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h-tpl\SimResults\"/>
    </mc:Choice>
  </mc:AlternateContent>
  <xr:revisionPtr revIDLastSave="0" documentId="13_ncr:1_{6DA8AB3A-4B4A-42F6-8C44-B870BE15A180}" xr6:coauthVersionLast="47" xr6:coauthVersionMax="47" xr10:uidLastSave="{00000000-0000-0000-0000-000000000000}"/>
  <bookViews>
    <workbookView xWindow="28680" yWindow="-120" windowWidth="29040" windowHeight="15720" firstSheet="22" activeTab="27" xr2:uid="{86C44CE1-1010-4E30-92B1-BDE677C7682C}"/>
  </bookViews>
  <sheets>
    <sheet name="2022a_250206_1736" sheetId="18" r:id="rId1"/>
    <sheet name="2022a_250407_2318" sheetId="20" r:id="rId2"/>
    <sheet name="2022a_250414_0011" sheetId="21" r:id="rId3"/>
    <sheet name="2022a_250418_1417" sheetId="22" r:id="rId4"/>
    <sheet name="2022a_250503_1632" sheetId="23" r:id="rId5"/>
    <sheet name="2022a_250601_0524" sheetId="25" r:id="rId6"/>
    <sheet name="2022a_250531_2225" sheetId="24" r:id="rId7"/>
    <sheet name="2022a_250601_1258" sheetId="26" r:id="rId8"/>
    <sheet name="2022a_250602_1237" sheetId="27" r:id="rId9"/>
    <sheet name="2022a_250620_2310" sheetId="28" r:id="rId10"/>
    <sheet name="2022a_250701_2310" sheetId="29" r:id="rId11"/>
    <sheet name="2022a_250702_0917" sheetId="30" r:id="rId12"/>
    <sheet name="2022a_250805_2313" sheetId="31" r:id="rId13"/>
    <sheet name="2022a_250817_2235" sheetId="32" r:id="rId14"/>
    <sheet name="2022a_250819_0008" sheetId="33" r:id="rId15"/>
    <sheet name="2022a_250819_2005" sheetId="34" r:id="rId16"/>
    <sheet name="2022a_250824_2329" sheetId="35" r:id="rId17"/>
    <sheet name="2022a_250825_2318" sheetId="36" r:id="rId18"/>
    <sheet name="2022a_250915_0045" sheetId="37" r:id="rId19"/>
    <sheet name="2022a_251026_0925" sheetId="38" r:id="rId20"/>
    <sheet name="2022a_251026_2256" sheetId="39" r:id="rId21"/>
    <sheet name="2022a_251116_2258" sheetId="40" r:id="rId22"/>
    <sheet name="2022a_260116_2048" sheetId="41" r:id="rId23"/>
    <sheet name="2024b_260221_0030" sheetId="42" r:id="rId24"/>
    <sheet name="2024b_260612_0028" sheetId="43" r:id="rId25"/>
    <sheet name="2024b_260613_0002" sheetId="44" r:id="rId26"/>
    <sheet name="2024b_260613_0458" sheetId="45" r:id="rId27"/>
    <sheet name="2024b_260705_0424" sheetId="46" r:id="rId28"/>
  </sheets>
  <definedNames>
    <definedName name="_xlnm._FilterDatabase" localSheetId="1" hidden="1">'2022a_250407_2318'!$A$1:$P$274</definedName>
    <definedName name="_xlnm._FilterDatabase" localSheetId="3" hidden="1">'2022a_250418_1417'!$A$1:$P$286</definedName>
    <definedName name="_xlnm._FilterDatabase" localSheetId="4" hidden="1">'2022a_250503_1632'!$A$1:$P$287</definedName>
    <definedName name="_xlnm._FilterDatabase" localSheetId="9" hidden="1">'2022a_250620_2310'!$A$1:$Q$271</definedName>
    <definedName name="_xlnm._FilterDatabase" localSheetId="10" hidden="1">'2022a_250701_2310'!$A$1:$Q$271</definedName>
    <definedName name="_xlnm._FilterDatabase" localSheetId="12" hidden="1">'2022a_250805_2313'!$A$1:$Q$275</definedName>
    <definedName name="_xlnm._FilterDatabase" localSheetId="13" hidden="1">'2022a_250817_2235'!$A$1:$Q$275</definedName>
    <definedName name="_xlnm._FilterDatabase" localSheetId="14" hidden="1">'2022a_250819_0008'!$A$1:$Q$275</definedName>
    <definedName name="_xlnm._FilterDatabase" localSheetId="15" hidden="1">'2022a_250819_2005'!$A$1:$Q$275</definedName>
    <definedName name="_xlnm._FilterDatabase" localSheetId="16" hidden="1">'2022a_250824_2329'!$A$1:$Q$277</definedName>
    <definedName name="_xlnm._FilterDatabase" localSheetId="17" hidden="1">'2022a_250825_2318'!$A$1:$Q$277</definedName>
    <definedName name="_xlnm._FilterDatabase" localSheetId="18" hidden="1">'2022a_250915_0045'!$A$1:$Q$279</definedName>
    <definedName name="_xlnm._FilterDatabase" localSheetId="19" hidden="1">'2022a_251026_0925'!$A$1:$Q$283</definedName>
    <definedName name="_xlnm._FilterDatabase" localSheetId="20" hidden="1">'2022a_251026_2256'!$A$1:$Q$283</definedName>
    <definedName name="_xlnm._FilterDatabase" localSheetId="21" hidden="1">'2022a_251116_2258'!$A$1:$Q$283</definedName>
    <definedName name="_xlnm._FilterDatabase" localSheetId="24" hidden="1">'2024b_260612_0028'!$A$1:$W$296</definedName>
    <definedName name="_xlnm._FilterDatabase" localSheetId="25" hidden="1">'2024b_260613_0002'!$A$1:$Q$282</definedName>
    <definedName name="_xlnm._FilterDatabase" localSheetId="26" hidden="1">'2024b_260613_0458'!$A$1:$Q$296</definedName>
    <definedName name="_xlnm._FilterDatabase" localSheetId="27" hidden="1">'2024b_260705_0424'!$A$1:$Q$296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" i="46" l="1"/>
  <c r="P3" i="46"/>
  <c r="P4" i="46"/>
  <c r="P5" i="46"/>
  <c r="P6" i="46"/>
  <c r="P7" i="46"/>
  <c r="P8" i="46"/>
  <c r="P9" i="46"/>
  <c r="P10" i="46"/>
  <c r="P11" i="46"/>
  <c r="P12" i="46"/>
  <c r="P13" i="46"/>
  <c r="P14" i="46"/>
  <c r="P15" i="46"/>
  <c r="P16" i="46"/>
  <c r="P17" i="46"/>
  <c r="P18" i="46"/>
  <c r="P19" i="46"/>
  <c r="P20" i="46"/>
  <c r="P21" i="46"/>
  <c r="P22" i="46"/>
  <c r="P23" i="46"/>
  <c r="P24" i="46"/>
  <c r="P25" i="46"/>
  <c r="P26" i="46"/>
  <c r="P27" i="46"/>
  <c r="P28" i="46"/>
  <c r="P29" i="46"/>
  <c r="P30" i="46"/>
  <c r="P31" i="46"/>
  <c r="P32" i="46"/>
  <c r="P33" i="46"/>
  <c r="P34" i="46"/>
  <c r="P35" i="46"/>
  <c r="P36" i="46"/>
  <c r="P37" i="46"/>
  <c r="P38" i="46"/>
  <c r="P39" i="46"/>
  <c r="P40" i="46"/>
  <c r="P41" i="46"/>
  <c r="P42" i="46"/>
  <c r="P43" i="46"/>
  <c r="P44" i="46"/>
  <c r="P45" i="46"/>
  <c r="P46" i="46"/>
  <c r="P47" i="46"/>
  <c r="P48" i="46"/>
  <c r="P49" i="46"/>
  <c r="P50" i="46"/>
  <c r="P51" i="46"/>
  <c r="P52" i="46"/>
  <c r="P53" i="46"/>
  <c r="P54" i="46"/>
  <c r="P55" i="46"/>
  <c r="P56" i="46"/>
  <c r="P57" i="46"/>
  <c r="P58" i="46"/>
  <c r="P59" i="46"/>
  <c r="P60" i="46"/>
  <c r="P61" i="46"/>
  <c r="P62" i="46"/>
  <c r="P63" i="46"/>
  <c r="P64" i="46"/>
  <c r="P65" i="46"/>
  <c r="P66" i="46"/>
  <c r="P67" i="46"/>
  <c r="P68" i="46"/>
  <c r="P69" i="46"/>
  <c r="P70" i="46"/>
  <c r="P71" i="46"/>
  <c r="P72" i="46"/>
  <c r="P73" i="46"/>
  <c r="P74" i="46"/>
  <c r="P75" i="46"/>
  <c r="P76" i="46"/>
  <c r="P77" i="46"/>
  <c r="P78" i="46"/>
  <c r="P79" i="46"/>
  <c r="P80" i="46"/>
  <c r="P81" i="46"/>
  <c r="P82" i="46"/>
  <c r="P83" i="46"/>
  <c r="P84" i="46"/>
  <c r="P85" i="46"/>
  <c r="P86" i="46"/>
  <c r="P87" i="46"/>
  <c r="P88" i="46"/>
  <c r="P89" i="46"/>
  <c r="P90" i="46"/>
  <c r="P91" i="46"/>
  <c r="P92" i="46"/>
  <c r="P93" i="46"/>
  <c r="P94" i="46"/>
  <c r="P95" i="46"/>
  <c r="P96" i="46"/>
  <c r="P97" i="46"/>
  <c r="P98" i="46"/>
  <c r="P99" i="46"/>
  <c r="P100" i="46"/>
  <c r="P101" i="46"/>
  <c r="P102" i="46"/>
  <c r="P103" i="46"/>
  <c r="P104" i="46"/>
  <c r="P105" i="46"/>
  <c r="P106" i="46"/>
  <c r="P107" i="46"/>
  <c r="P108" i="46"/>
  <c r="P109" i="46"/>
  <c r="P110" i="46"/>
  <c r="P111" i="46"/>
  <c r="P112" i="46"/>
  <c r="P113" i="46"/>
  <c r="P114" i="46"/>
  <c r="P115" i="46"/>
  <c r="P116" i="46"/>
  <c r="P117" i="46"/>
  <c r="P118" i="46"/>
  <c r="P119" i="46"/>
  <c r="P120" i="46"/>
  <c r="P121" i="46"/>
  <c r="P122" i="46"/>
  <c r="P123" i="46"/>
  <c r="P124" i="46"/>
  <c r="P125" i="46"/>
  <c r="P126" i="46"/>
  <c r="P127" i="46"/>
  <c r="P128" i="46"/>
  <c r="P129" i="46"/>
  <c r="P130" i="46"/>
  <c r="P131" i="46"/>
  <c r="P132" i="46"/>
  <c r="P133" i="46"/>
  <c r="P134" i="46"/>
  <c r="P135" i="46"/>
  <c r="P136" i="46"/>
  <c r="P137" i="46"/>
  <c r="P138" i="46"/>
  <c r="P139" i="46"/>
  <c r="P140" i="46"/>
  <c r="P141" i="46"/>
  <c r="P142" i="46"/>
  <c r="P143" i="46"/>
  <c r="P144" i="46"/>
  <c r="P145" i="46"/>
  <c r="P146" i="46"/>
  <c r="P147" i="46"/>
  <c r="P148" i="46"/>
  <c r="P149" i="46"/>
  <c r="P150" i="46"/>
  <c r="P151" i="46"/>
  <c r="P152" i="46"/>
  <c r="P153" i="46"/>
  <c r="P154" i="46"/>
  <c r="P155" i="46"/>
  <c r="P156" i="46"/>
  <c r="P157" i="46"/>
  <c r="P158" i="46"/>
  <c r="P159" i="46"/>
  <c r="P160" i="46"/>
  <c r="P161" i="46"/>
  <c r="P162" i="46"/>
  <c r="P163" i="46"/>
  <c r="P164" i="46"/>
  <c r="P165" i="46"/>
  <c r="P166" i="46"/>
  <c r="P167" i="46"/>
  <c r="P168" i="46"/>
  <c r="P169" i="46"/>
  <c r="P170" i="46"/>
  <c r="P171" i="46"/>
  <c r="P172" i="46"/>
  <c r="P173" i="46"/>
  <c r="P174" i="46"/>
  <c r="P175" i="46"/>
  <c r="P176" i="46"/>
  <c r="P177" i="46"/>
  <c r="P178" i="46"/>
  <c r="P179" i="46"/>
  <c r="P180" i="46"/>
  <c r="P181" i="46"/>
  <c r="P182" i="46"/>
  <c r="P183" i="46"/>
  <c r="P184" i="46"/>
  <c r="P185" i="46"/>
  <c r="P186" i="46"/>
  <c r="P187" i="46"/>
  <c r="P188" i="46"/>
  <c r="P189" i="46"/>
  <c r="P190" i="46"/>
  <c r="P191" i="46"/>
  <c r="P192" i="46"/>
  <c r="P193" i="46"/>
  <c r="P194" i="46"/>
  <c r="P195" i="46"/>
  <c r="P196" i="46"/>
  <c r="P197" i="46"/>
  <c r="P198" i="46"/>
  <c r="P199" i="46"/>
  <c r="P200" i="46"/>
  <c r="P201" i="46"/>
  <c r="P202" i="46"/>
  <c r="P203" i="46"/>
  <c r="P204" i="46"/>
  <c r="P205" i="46"/>
  <c r="P206" i="46"/>
  <c r="P207" i="46"/>
  <c r="P208" i="46"/>
  <c r="P209" i="46"/>
  <c r="P210" i="46"/>
  <c r="P211" i="46"/>
  <c r="P212" i="46"/>
  <c r="P213" i="46"/>
  <c r="P214" i="46"/>
  <c r="P215" i="46"/>
  <c r="P216" i="46"/>
  <c r="P217" i="46"/>
  <c r="P218" i="46"/>
  <c r="P219" i="46"/>
  <c r="P220" i="46"/>
  <c r="P221" i="46"/>
  <c r="P222" i="46"/>
  <c r="P223" i="46"/>
  <c r="P224" i="46"/>
  <c r="P225" i="46"/>
  <c r="P226" i="46"/>
  <c r="P227" i="46"/>
  <c r="P228" i="46"/>
  <c r="P229" i="46"/>
  <c r="P230" i="46"/>
  <c r="P231" i="46"/>
  <c r="P232" i="46"/>
  <c r="P233" i="46"/>
  <c r="P234" i="46"/>
  <c r="P235" i="46"/>
  <c r="P236" i="46"/>
  <c r="P237" i="46"/>
  <c r="P238" i="46"/>
  <c r="P239" i="46"/>
  <c r="P240" i="46"/>
  <c r="P241" i="46"/>
  <c r="P242" i="46"/>
  <c r="P243" i="46"/>
  <c r="P244" i="46"/>
  <c r="P245" i="46"/>
  <c r="P246" i="46"/>
  <c r="P247" i="46"/>
  <c r="P248" i="46"/>
  <c r="P249" i="46"/>
  <c r="P250" i="46"/>
  <c r="P251" i="46"/>
  <c r="P252" i="46"/>
  <c r="P253" i="46"/>
  <c r="P254" i="46"/>
  <c r="P255" i="46"/>
  <c r="P256" i="46"/>
  <c r="P257" i="46"/>
  <c r="P258" i="46"/>
  <c r="P259" i="46"/>
  <c r="P260" i="46"/>
  <c r="P261" i="46"/>
  <c r="P262" i="46"/>
  <c r="P263" i="46"/>
  <c r="P264" i="46"/>
  <c r="P265" i="46"/>
  <c r="P266" i="46"/>
  <c r="P267" i="46"/>
  <c r="P268" i="46"/>
  <c r="P269" i="46"/>
  <c r="P270" i="46"/>
  <c r="P271" i="46"/>
  <c r="P272" i="46"/>
  <c r="P273" i="46"/>
  <c r="P274" i="46"/>
  <c r="P275" i="46"/>
  <c r="P276" i="46"/>
  <c r="P277" i="46"/>
  <c r="P278" i="46"/>
  <c r="P279" i="46"/>
  <c r="P280" i="46"/>
  <c r="P281" i="46"/>
  <c r="P282" i="46"/>
  <c r="P283" i="46"/>
  <c r="P284" i="46"/>
  <c r="P285" i="46"/>
  <c r="P286" i="46"/>
  <c r="P287" i="46"/>
  <c r="P288" i="46"/>
  <c r="P289" i="46"/>
  <c r="P290" i="46"/>
  <c r="P291" i="46"/>
  <c r="P292" i="46"/>
  <c r="P293" i="46"/>
  <c r="P294" i="46"/>
  <c r="P295" i="46"/>
  <c r="P296" i="46"/>
  <c r="P2" i="45"/>
  <c r="P3" i="45"/>
  <c r="P4" i="45"/>
  <c r="P5" i="45"/>
  <c r="P6" i="45"/>
  <c r="P7" i="45"/>
  <c r="P8" i="45"/>
  <c r="P9" i="45"/>
  <c r="P10" i="45"/>
  <c r="P11" i="45"/>
  <c r="P12" i="45"/>
  <c r="P13" i="45"/>
  <c r="P14" i="45"/>
  <c r="P15" i="45"/>
  <c r="P16" i="45"/>
  <c r="P17" i="45"/>
  <c r="P18" i="45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5" i="45"/>
  <c r="P36" i="45"/>
  <c r="P37" i="45"/>
  <c r="P38" i="45"/>
  <c r="P39" i="45"/>
  <c r="P40" i="45"/>
  <c r="P41" i="45"/>
  <c r="P42" i="45"/>
  <c r="P43" i="45"/>
  <c r="P44" i="45"/>
  <c r="P45" i="45"/>
  <c r="P46" i="45"/>
  <c r="P47" i="45"/>
  <c r="P48" i="45"/>
  <c r="P49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74" i="45"/>
  <c r="P75" i="45"/>
  <c r="P76" i="45"/>
  <c r="P77" i="45"/>
  <c r="P78" i="45"/>
  <c r="P79" i="45"/>
  <c r="P80" i="45"/>
  <c r="P81" i="45"/>
  <c r="P82" i="45"/>
  <c r="P83" i="45"/>
  <c r="P84" i="45"/>
  <c r="P85" i="45"/>
  <c r="P86" i="45"/>
  <c r="P87" i="45"/>
  <c r="P88" i="45"/>
  <c r="P89" i="45"/>
  <c r="P90" i="45"/>
  <c r="P91" i="45"/>
  <c r="P92" i="45"/>
  <c r="P93" i="45"/>
  <c r="P94" i="45"/>
  <c r="P95" i="45"/>
  <c r="P96" i="45"/>
  <c r="P97" i="45"/>
  <c r="P98" i="45"/>
  <c r="P99" i="45"/>
  <c r="P100" i="45"/>
  <c r="P101" i="45"/>
  <c r="P102" i="45"/>
  <c r="P103" i="45"/>
  <c r="P104" i="45"/>
  <c r="P105" i="45"/>
  <c r="P106" i="45"/>
  <c r="P107" i="45"/>
  <c r="P108" i="45"/>
  <c r="P109" i="45"/>
  <c r="P110" i="45"/>
  <c r="P111" i="45"/>
  <c r="P112" i="45"/>
  <c r="P113" i="45"/>
  <c r="P114" i="45"/>
  <c r="P115" i="45"/>
  <c r="P116" i="45"/>
  <c r="P117" i="45"/>
  <c r="P118" i="45"/>
  <c r="P119" i="45"/>
  <c r="P120" i="45"/>
  <c r="P121" i="45"/>
  <c r="P122" i="45"/>
  <c r="P123" i="45"/>
  <c r="P124" i="45"/>
  <c r="P125" i="45"/>
  <c r="P126" i="45"/>
  <c r="P127" i="45"/>
  <c r="P128" i="45"/>
  <c r="P129" i="45"/>
  <c r="P130" i="45"/>
  <c r="P131" i="45"/>
  <c r="P132" i="45"/>
  <c r="P133" i="45"/>
  <c r="P134" i="45"/>
  <c r="P135" i="45"/>
  <c r="P136" i="45"/>
  <c r="P137" i="45"/>
  <c r="P138" i="45"/>
  <c r="P139" i="45"/>
  <c r="P140" i="45"/>
  <c r="P141" i="45"/>
  <c r="P142" i="45"/>
  <c r="P143" i="45"/>
  <c r="P144" i="45"/>
  <c r="P145" i="45"/>
  <c r="P146" i="45"/>
  <c r="P147" i="45"/>
  <c r="P148" i="45"/>
  <c r="P149" i="45"/>
  <c r="P150" i="45"/>
  <c r="P151" i="45"/>
  <c r="P152" i="45"/>
  <c r="P153" i="45"/>
  <c r="P154" i="45"/>
  <c r="P155" i="45"/>
  <c r="P156" i="45"/>
  <c r="P157" i="45"/>
  <c r="P158" i="45"/>
  <c r="P159" i="45"/>
  <c r="P160" i="45"/>
  <c r="P161" i="45"/>
  <c r="P162" i="45"/>
  <c r="P163" i="45"/>
  <c r="P164" i="45"/>
  <c r="P165" i="45"/>
  <c r="P166" i="45"/>
  <c r="P167" i="45"/>
  <c r="P168" i="45"/>
  <c r="P169" i="45"/>
  <c r="P170" i="45"/>
  <c r="P171" i="45"/>
  <c r="P172" i="45"/>
  <c r="P173" i="45"/>
  <c r="P174" i="45"/>
  <c r="P175" i="45"/>
  <c r="P176" i="45"/>
  <c r="P177" i="45"/>
  <c r="P178" i="45"/>
  <c r="P179" i="45"/>
  <c r="P180" i="45"/>
  <c r="P181" i="45"/>
  <c r="P182" i="45"/>
  <c r="P183" i="45"/>
  <c r="P184" i="45"/>
  <c r="P185" i="45"/>
  <c r="P186" i="45"/>
  <c r="P187" i="45"/>
  <c r="P188" i="45"/>
  <c r="P189" i="45"/>
  <c r="P190" i="45"/>
  <c r="P191" i="45"/>
  <c r="P192" i="45"/>
  <c r="P193" i="45"/>
  <c r="P194" i="45"/>
  <c r="P195" i="45"/>
  <c r="P196" i="45"/>
  <c r="P197" i="45"/>
  <c r="P198" i="45"/>
  <c r="P199" i="45"/>
  <c r="P200" i="45"/>
  <c r="P201" i="45"/>
  <c r="P202" i="45"/>
  <c r="P203" i="45"/>
  <c r="P204" i="45"/>
  <c r="P205" i="45"/>
  <c r="P206" i="45"/>
  <c r="P207" i="45"/>
  <c r="P208" i="45"/>
  <c r="P209" i="45"/>
  <c r="P210" i="45"/>
  <c r="P211" i="45"/>
  <c r="P212" i="45"/>
  <c r="P213" i="45"/>
  <c r="P214" i="45"/>
  <c r="P215" i="45"/>
  <c r="P216" i="45"/>
  <c r="P217" i="45"/>
  <c r="P218" i="45"/>
  <c r="P219" i="45"/>
  <c r="P220" i="45"/>
  <c r="P221" i="45"/>
  <c r="P222" i="45"/>
  <c r="P223" i="45"/>
  <c r="P224" i="45"/>
  <c r="P225" i="45"/>
  <c r="P226" i="45"/>
  <c r="P227" i="45"/>
  <c r="P228" i="45"/>
  <c r="P229" i="45"/>
  <c r="P230" i="45"/>
  <c r="P231" i="45"/>
  <c r="P232" i="45"/>
  <c r="P233" i="45"/>
  <c r="P234" i="45"/>
  <c r="P235" i="45"/>
  <c r="P236" i="45"/>
  <c r="P237" i="45"/>
  <c r="P238" i="45"/>
  <c r="P239" i="45"/>
  <c r="P240" i="45"/>
  <c r="P241" i="45"/>
  <c r="P242" i="45"/>
  <c r="P243" i="45"/>
  <c r="P244" i="45"/>
  <c r="P245" i="45"/>
  <c r="P246" i="45"/>
  <c r="P247" i="45"/>
  <c r="P248" i="45"/>
  <c r="P249" i="45"/>
  <c r="P250" i="45"/>
  <c r="P251" i="45"/>
  <c r="P252" i="45"/>
  <c r="P253" i="45"/>
  <c r="P254" i="45"/>
  <c r="P255" i="45"/>
  <c r="P256" i="45"/>
  <c r="P257" i="45"/>
  <c r="P258" i="45"/>
  <c r="P259" i="45"/>
  <c r="P260" i="45"/>
  <c r="P261" i="45"/>
  <c r="P262" i="45"/>
  <c r="P263" i="45"/>
  <c r="P264" i="45"/>
  <c r="P265" i="45"/>
  <c r="P266" i="45"/>
  <c r="P267" i="45"/>
  <c r="P268" i="45"/>
  <c r="P269" i="45"/>
  <c r="P270" i="45"/>
  <c r="P271" i="45"/>
  <c r="P272" i="45"/>
  <c r="P273" i="45"/>
  <c r="P274" i="45"/>
  <c r="P275" i="45"/>
  <c r="P276" i="45"/>
  <c r="P277" i="45"/>
  <c r="P278" i="45"/>
  <c r="P279" i="45"/>
  <c r="P280" i="45"/>
  <c r="P281" i="45"/>
  <c r="P282" i="45"/>
  <c r="P283" i="45"/>
  <c r="P284" i="45"/>
  <c r="P285" i="45"/>
  <c r="P286" i="45"/>
  <c r="P287" i="45"/>
  <c r="P288" i="45"/>
  <c r="P289" i="45"/>
  <c r="P290" i="45"/>
  <c r="P291" i="45"/>
  <c r="P292" i="45"/>
  <c r="P293" i="45"/>
  <c r="P294" i="45"/>
  <c r="P295" i="45"/>
  <c r="P296" i="45"/>
  <c r="P2" i="44"/>
  <c r="P3" i="44"/>
  <c r="P4" i="44"/>
  <c r="P5" i="44"/>
  <c r="P6" i="44"/>
  <c r="P7" i="44"/>
  <c r="P8" i="44"/>
  <c r="P9" i="44"/>
  <c r="P10" i="44"/>
  <c r="P11" i="44"/>
  <c r="P12" i="44"/>
  <c r="P13" i="44"/>
  <c r="P14" i="44"/>
  <c r="P15" i="44"/>
  <c r="P16" i="44"/>
  <c r="P17" i="44"/>
  <c r="P18" i="44"/>
  <c r="P19" i="44"/>
  <c r="P20" i="44"/>
  <c r="P21" i="44"/>
  <c r="P22" i="44"/>
  <c r="P23" i="44"/>
  <c r="P24" i="44"/>
  <c r="P25" i="44"/>
  <c r="P26" i="44"/>
  <c r="P27" i="44"/>
  <c r="P28" i="44"/>
  <c r="P29" i="44"/>
  <c r="P30" i="44"/>
  <c r="P31" i="44"/>
  <c r="P32" i="44"/>
  <c r="P33" i="44"/>
  <c r="P34" i="44"/>
  <c r="P35" i="44"/>
  <c r="P36" i="44"/>
  <c r="P37" i="44"/>
  <c r="P38" i="44"/>
  <c r="P39" i="44"/>
  <c r="P40" i="44"/>
  <c r="P41" i="44"/>
  <c r="P42" i="44"/>
  <c r="P43" i="44"/>
  <c r="P44" i="44"/>
  <c r="P45" i="44"/>
  <c r="P46" i="44"/>
  <c r="P47" i="44"/>
  <c r="P48" i="44"/>
  <c r="P49" i="44"/>
  <c r="P50" i="44"/>
  <c r="P51" i="44"/>
  <c r="P52" i="44"/>
  <c r="P53" i="44"/>
  <c r="P54" i="44"/>
  <c r="P55" i="44"/>
  <c r="P56" i="44"/>
  <c r="P57" i="44"/>
  <c r="P58" i="44"/>
  <c r="P59" i="44"/>
  <c r="P60" i="44"/>
  <c r="P61" i="44"/>
  <c r="P62" i="44"/>
  <c r="P63" i="44"/>
  <c r="P64" i="44"/>
  <c r="P65" i="44"/>
  <c r="P66" i="44"/>
  <c r="P67" i="44"/>
  <c r="P68" i="44"/>
  <c r="P69" i="44"/>
  <c r="P70" i="44"/>
  <c r="P71" i="44"/>
  <c r="P72" i="44"/>
  <c r="P73" i="44"/>
  <c r="P74" i="44"/>
  <c r="P75" i="44"/>
  <c r="P76" i="44"/>
  <c r="P77" i="44"/>
  <c r="P78" i="44"/>
  <c r="P79" i="44"/>
  <c r="P80" i="44"/>
  <c r="P81" i="44"/>
  <c r="P82" i="44"/>
  <c r="P83" i="44"/>
  <c r="P84" i="44"/>
  <c r="P85" i="44"/>
  <c r="P86" i="44"/>
  <c r="P87" i="44"/>
  <c r="P88" i="44"/>
  <c r="P89" i="44"/>
  <c r="P90" i="44"/>
  <c r="P91" i="44"/>
  <c r="P92" i="44"/>
  <c r="P93" i="44"/>
  <c r="P94" i="44"/>
  <c r="P95" i="44"/>
  <c r="P96" i="44"/>
  <c r="P97" i="44"/>
  <c r="P98" i="44"/>
  <c r="P99" i="44"/>
  <c r="P100" i="44"/>
  <c r="P101" i="44"/>
  <c r="P102" i="44"/>
  <c r="P103" i="44"/>
  <c r="P104" i="44"/>
  <c r="P105" i="44"/>
  <c r="P106" i="44"/>
  <c r="P107" i="44"/>
  <c r="P108" i="44"/>
  <c r="P109" i="44"/>
  <c r="P110" i="44"/>
  <c r="P111" i="44"/>
  <c r="P112" i="44"/>
  <c r="P113" i="44"/>
  <c r="P114" i="44"/>
  <c r="P115" i="44"/>
  <c r="P116" i="44"/>
  <c r="P117" i="44"/>
  <c r="P118" i="44"/>
  <c r="P119" i="44"/>
  <c r="P120" i="44"/>
  <c r="P121" i="44"/>
  <c r="P122" i="44"/>
  <c r="P123" i="44"/>
  <c r="P124" i="44"/>
  <c r="P125" i="44"/>
  <c r="P126" i="44"/>
  <c r="P127" i="44"/>
  <c r="P128" i="44"/>
  <c r="P129" i="44"/>
  <c r="P130" i="44"/>
  <c r="P131" i="44"/>
  <c r="P132" i="44"/>
  <c r="P133" i="44"/>
  <c r="P134" i="44"/>
  <c r="P135" i="44"/>
  <c r="P136" i="44"/>
  <c r="P137" i="44"/>
  <c r="P138" i="44"/>
  <c r="P139" i="44"/>
  <c r="P140" i="44"/>
  <c r="P141" i="44"/>
  <c r="P142" i="44"/>
  <c r="P143" i="44"/>
  <c r="P144" i="44"/>
  <c r="P145" i="44"/>
  <c r="P146" i="44"/>
  <c r="P147" i="44"/>
  <c r="P148" i="44"/>
  <c r="P149" i="44"/>
  <c r="P150" i="44"/>
  <c r="P151" i="44"/>
  <c r="P152" i="44"/>
  <c r="P153" i="44"/>
  <c r="P154" i="44"/>
  <c r="P155" i="44"/>
  <c r="P156" i="44"/>
  <c r="P157" i="44"/>
  <c r="P158" i="44"/>
  <c r="P159" i="44"/>
  <c r="P160" i="44"/>
  <c r="P161" i="44"/>
  <c r="P162" i="44"/>
  <c r="P163" i="44"/>
  <c r="P164" i="44"/>
  <c r="P165" i="44"/>
  <c r="P166" i="44"/>
  <c r="P167" i="44"/>
  <c r="P168" i="44"/>
  <c r="P169" i="44"/>
  <c r="P170" i="44"/>
  <c r="P171" i="44"/>
  <c r="P172" i="44"/>
  <c r="P173" i="44"/>
  <c r="P174" i="44"/>
  <c r="P175" i="44"/>
  <c r="P176" i="44"/>
  <c r="P177" i="44"/>
  <c r="P178" i="44"/>
  <c r="P179" i="44"/>
  <c r="P180" i="44"/>
  <c r="P181" i="44"/>
  <c r="P182" i="44"/>
  <c r="P183" i="44"/>
  <c r="P184" i="44"/>
  <c r="P185" i="44"/>
  <c r="P186" i="44"/>
  <c r="P187" i="44"/>
  <c r="P188" i="44"/>
  <c r="P189" i="44"/>
  <c r="P190" i="44"/>
  <c r="P191" i="44"/>
  <c r="P192" i="44"/>
  <c r="P193" i="44"/>
  <c r="P194" i="44"/>
  <c r="P195" i="44"/>
  <c r="P196" i="44"/>
  <c r="P197" i="44"/>
  <c r="P198" i="44"/>
  <c r="P199" i="44"/>
  <c r="P200" i="44"/>
  <c r="P201" i="44"/>
  <c r="P202" i="44"/>
  <c r="P203" i="44"/>
  <c r="P204" i="44"/>
  <c r="P205" i="44"/>
  <c r="P206" i="44"/>
  <c r="P207" i="44"/>
  <c r="P208" i="44"/>
  <c r="P209" i="44"/>
  <c r="P210" i="44"/>
  <c r="P211" i="44"/>
  <c r="P212" i="44"/>
  <c r="P213" i="44"/>
  <c r="P214" i="44"/>
  <c r="P215" i="44"/>
  <c r="P216" i="44"/>
  <c r="P217" i="44"/>
  <c r="P218" i="44"/>
  <c r="P219" i="44"/>
  <c r="P220" i="44"/>
  <c r="P221" i="44"/>
  <c r="P222" i="44"/>
  <c r="P223" i="44"/>
  <c r="P224" i="44"/>
  <c r="P225" i="44"/>
  <c r="P226" i="44"/>
  <c r="P227" i="44"/>
  <c r="P228" i="44"/>
  <c r="P229" i="44"/>
  <c r="P230" i="44"/>
  <c r="P231" i="44"/>
  <c r="P232" i="44"/>
  <c r="P233" i="44"/>
  <c r="P234" i="44"/>
  <c r="P235" i="44"/>
  <c r="P236" i="44"/>
  <c r="P237" i="44"/>
  <c r="P238" i="44"/>
  <c r="P239" i="44"/>
  <c r="P240" i="44"/>
  <c r="P241" i="44"/>
  <c r="P242" i="44"/>
  <c r="P243" i="44"/>
  <c r="P244" i="44"/>
  <c r="P245" i="44"/>
  <c r="P246" i="44"/>
  <c r="P247" i="44"/>
  <c r="P248" i="44"/>
  <c r="P249" i="44"/>
  <c r="P250" i="44"/>
  <c r="P251" i="44"/>
  <c r="P252" i="44"/>
  <c r="P253" i="44"/>
  <c r="P254" i="44"/>
  <c r="P255" i="44"/>
  <c r="P256" i="44"/>
  <c r="P257" i="44"/>
  <c r="P258" i="44"/>
  <c r="P259" i="44"/>
  <c r="P260" i="44"/>
  <c r="P261" i="44"/>
  <c r="P262" i="44"/>
  <c r="P263" i="44"/>
  <c r="P264" i="44"/>
  <c r="P265" i="44"/>
  <c r="P266" i="44"/>
  <c r="P267" i="44"/>
  <c r="P268" i="44"/>
  <c r="P269" i="44"/>
  <c r="P270" i="44"/>
  <c r="P271" i="44"/>
  <c r="P272" i="44"/>
  <c r="P273" i="44"/>
  <c r="P274" i="44"/>
  <c r="P275" i="44"/>
  <c r="P276" i="44"/>
  <c r="P277" i="44"/>
  <c r="P278" i="44"/>
  <c r="P279" i="44"/>
  <c r="P280" i="44"/>
  <c r="P281" i="44"/>
  <c r="P282" i="44"/>
  <c r="R296" i="43"/>
  <c r="R295" i="43"/>
  <c r="R294" i="43"/>
  <c r="R293" i="43"/>
  <c r="R292" i="43"/>
  <c r="R291" i="43"/>
  <c r="R290" i="43"/>
  <c r="R289" i="43"/>
  <c r="R288" i="43"/>
  <c r="R287" i="43"/>
  <c r="R286" i="43"/>
  <c r="R285" i="43"/>
  <c r="R284" i="43"/>
  <c r="R283" i="43"/>
  <c r="R282" i="43"/>
  <c r="R281" i="43"/>
  <c r="R280" i="43"/>
  <c r="R279" i="43"/>
  <c r="R278" i="43"/>
  <c r="R277" i="43"/>
  <c r="R276" i="43"/>
  <c r="R275" i="43"/>
  <c r="R274" i="43"/>
  <c r="R273" i="43"/>
  <c r="R272" i="43"/>
  <c r="R271" i="43"/>
  <c r="R270" i="43"/>
  <c r="R269" i="43"/>
  <c r="R268" i="43"/>
  <c r="R267" i="43"/>
  <c r="R266" i="43"/>
  <c r="R265" i="43"/>
  <c r="R264" i="43"/>
  <c r="R263" i="43"/>
  <c r="R262" i="43"/>
  <c r="R261" i="43"/>
  <c r="R260" i="43"/>
  <c r="R259" i="43"/>
  <c r="R258" i="43"/>
  <c r="R257" i="43"/>
  <c r="R256" i="43"/>
  <c r="R255" i="43"/>
  <c r="R254" i="43"/>
  <c r="R253" i="43"/>
  <c r="R252" i="43"/>
  <c r="R251" i="43"/>
  <c r="R250" i="43"/>
  <c r="R249" i="43"/>
  <c r="R248" i="43"/>
  <c r="R247" i="43"/>
  <c r="R246" i="43"/>
  <c r="R245" i="43"/>
  <c r="R244" i="43"/>
  <c r="R243" i="43"/>
  <c r="R242" i="43"/>
  <c r="R241" i="43"/>
  <c r="R240" i="43"/>
  <c r="R239" i="43"/>
  <c r="R238" i="43"/>
  <c r="R237" i="43"/>
  <c r="R236" i="43"/>
  <c r="R235" i="43"/>
  <c r="R234" i="43"/>
  <c r="R233" i="43"/>
  <c r="R232" i="43"/>
  <c r="R231" i="43"/>
  <c r="R230" i="43"/>
  <c r="R229" i="43"/>
  <c r="R228" i="43"/>
  <c r="R227" i="43"/>
  <c r="R226" i="43"/>
  <c r="R225" i="43"/>
  <c r="R224" i="43"/>
  <c r="R223" i="43"/>
  <c r="R222" i="43"/>
  <c r="R221" i="43"/>
  <c r="R220" i="43"/>
  <c r="R219" i="43"/>
  <c r="R218" i="43"/>
  <c r="R217" i="43"/>
  <c r="R216" i="43"/>
  <c r="R215" i="43"/>
  <c r="R214" i="43"/>
  <c r="R213" i="43"/>
  <c r="R212" i="43"/>
  <c r="R211" i="43"/>
  <c r="R210" i="43"/>
  <c r="R209" i="43"/>
  <c r="R208" i="43"/>
  <c r="R207" i="43"/>
  <c r="R206" i="43"/>
  <c r="R205" i="43"/>
  <c r="R204" i="43"/>
  <c r="R203" i="43"/>
  <c r="R202" i="43"/>
  <c r="R201" i="43"/>
  <c r="R200" i="43"/>
  <c r="R199" i="43"/>
  <c r="R198" i="43"/>
  <c r="R197" i="43"/>
  <c r="R196" i="43"/>
  <c r="R195" i="43"/>
  <c r="R194" i="43"/>
  <c r="R193" i="43"/>
  <c r="R192" i="43"/>
  <c r="R191" i="43"/>
  <c r="R190" i="43"/>
  <c r="R189" i="43"/>
  <c r="R188" i="43"/>
  <c r="R187" i="43"/>
  <c r="R186" i="43"/>
  <c r="R185" i="43"/>
  <c r="R184" i="43"/>
  <c r="R183" i="43"/>
  <c r="R182" i="43"/>
  <c r="R181" i="43"/>
  <c r="R180" i="43"/>
  <c r="R179" i="43"/>
  <c r="R178" i="43"/>
  <c r="R177" i="43"/>
  <c r="R176" i="43"/>
  <c r="R175" i="43"/>
  <c r="R174" i="43"/>
  <c r="R173" i="43"/>
  <c r="R172" i="43"/>
  <c r="R171" i="43"/>
  <c r="R170" i="43"/>
  <c r="R169" i="43"/>
  <c r="R168" i="43"/>
  <c r="R167" i="43"/>
  <c r="R166" i="43"/>
  <c r="R165" i="43"/>
  <c r="R164" i="43"/>
  <c r="R163" i="43"/>
  <c r="R162" i="43"/>
  <c r="R161" i="43"/>
  <c r="R160" i="43"/>
  <c r="R159" i="43"/>
  <c r="R158" i="43"/>
  <c r="R157" i="43"/>
  <c r="R156" i="43"/>
  <c r="R155" i="43"/>
  <c r="R154" i="43"/>
  <c r="R153" i="43"/>
  <c r="R152" i="43"/>
  <c r="R151" i="43"/>
  <c r="R150" i="43"/>
  <c r="R149" i="43"/>
  <c r="R148" i="43"/>
  <c r="R147" i="43"/>
  <c r="R146" i="43"/>
  <c r="R145" i="43"/>
  <c r="R144" i="43"/>
  <c r="R143" i="43"/>
  <c r="R142" i="43"/>
  <c r="R141" i="43"/>
  <c r="R140" i="43"/>
  <c r="R139" i="43"/>
  <c r="R138" i="43"/>
  <c r="R137" i="43"/>
  <c r="R136" i="43"/>
  <c r="R135" i="43"/>
  <c r="R134" i="43"/>
  <c r="R133" i="43"/>
  <c r="R132" i="43"/>
  <c r="R131" i="43"/>
  <c r="R130" i="43"/>
  <c r="R129" i="43"/>
  <c r="R128" i="43"/>
  <c r="R127" i="43"/>
  <c r="R126" i="43"/>
  <c r="R125" i="43"/>
  <c r="R124" i="43"/>
  <c r="R123" i="43"/>
  <c r="R122" i="43"/>
  <c r="R121" i="43"/>
  <c r="R120" i="43"/>
  <c r="R119" i="43"/>
  <c r="R118" i="43"/>
  <c r="R117" i="43"/>
  <c r="R116" i="43"/>
  <c r="R115" i="43"/>
  <c r="R114" i="43"/>
  <c r="R113" i="43"/>
  <c r="R112" i="43"/>
  <c r="R111" i="43"/>
  <c r="R110" i="43"/>
  <c r="R109" i="43"/>
  <c r="R108" i="43"/>
  <c r="R107" i="43"/>
  <c r="R106" i="43"/>
  <c r="R105" i="43"/>
  <c r="R104" i="43"/>
  <c r="R103" i="43"/>
  <c r="R102" i="43"/>
  <c r="R101" i="43"/>
  <c r="R100" i="43"/>
  <c r="R99" i="43"/>
  <c r="R98" i="43"/>
  <c r="R97" i="43"/>
  <c r="R96" i="43"/>
  <c r="R95" i="43"/>
  <c r="R94" i="43"/>
  <c r="R93" i="43"/>
  <c r="R92" i="43"/>
  <c r="R91" i="43"/>
  <c r="R90" i="43"/>
  <c r="R89" i="43"/>
  <c r="R88" i="43"/>
  <c r="R87" i="43"/>
  <c r="R86" i="43"/>
  <c r="R85" i="43"/>
  <c r="R84" i="43"/>
  <c r="R83" i="43"/>
  <c r="R82" i="43"/>
  <c r="R81" i="43"/>
  <c r="R80" i="43"/>
  <c r="R79" i="43"/>
  <c r="R78" i="43"/>
  <c r="R77" i="43"/>
  <c r="R76" i="43"/>
  <c r="R75" i="43"/>
  <c r="R74" i="43"/>
  <c r="R73" i="43"/>
  <c r="R72" i="43"/>
  <c r="R71" i="43"/>
  <c r="R70" i="43"/>
  <c r="R69" i="43"/>
  <c r="R68" i="43"/>
  <c r="R67" i="43"/>
  <c r="R66" i="43"/>
  <c r="R65" i="43"/>
  <c r="R64" i="43"/>
  <c r="R63" i="43"/>
  <c r="R62" i="43"/>
  <c r="R61" i="43"/>
  <c r="R60" i="43"/>
  <c r="R59" i="43"/>
  <c r="R58" i="43"/>
  <c r="R57" i="43"/>
  <c r="R56" i="43"/>
  <c r="R55" i="43"/>
  <c r="R54" i="43"/>
  <c r="R53" i="43"/>
  <c r="R52" i="43"/>
  <c r="R51" i="43"/>
  <c r="R50" i="43"/>
  <c r="R49" i="43"/>
  <c r="R48" i="43"/>
  <c r="R47" i="43"/>
  <c r="R46" i="43"/>
  <c r="R45" i="43"/>
  <c r="R44" i="43"/>
  <c r="R43" i="43"/>
  <c r="R42" i="43"/>
  <c r="R41" i="43"/>
  <c r="R40" i="43"/>
  <c r="R39" i="43"/>
  <c r="R38" i="43"/>
  <c r="R37" i="43"/>
  <c r="R36" i="43"/>
  <c r="R35" i="43"/>
  <c r="R34" i="43"/>
  <c r="R33" i="43"/>
  <c r="R32" i="43"/>
  <c r="R31" i="43"/>
  <c r="R30" i="43"/>
  <c r="R29" i="43"/>
  <c r="R28" i="43"/>
  <c r="R27" i="43"/>
  <c r="R26" i="43"/>
  <c r="R25" i="43"/>
  <c r="R24" i="43"/>
  <c r="R23" i="43"/>
  <c r="R22" i="43"/>
  <c r="R21" i="43"/>
  <c r="R20" i="43"/>
  <c r="R19" i="43"/>
  <c r="R18" i="43"/>
  <c r="R17" i="43"/>
  <c r="R16" i="43"/>
  <c r="R15" i="43"/>
  <c r="R14" i="43"/>
  <c r="R13" i="43"/>
  <c r="R12" i="43"/>
  <c r="R11" i="43"/>
  <c r="R10" i="43"/>
  <c r="R9" i="43"/>
  <c r="R8" i="43"/>
  <c r="R7" i="43"/>
  <c r="R6" i="43"/>
  <c r="R5" i="43"/>
  <c r="R4" i="43"/>
  <c r="R3" i="43"/>
  <c r="R2" i="43"/>
  <c r="P2" i="43"/>
  <c r="P3" i="43"/>
  <c r="P4" i="43"/>
  <c r="P5" i="43"/>
  <c r="P6" i="43"/>
  <c r="P7" i="43"/>
  <c r="P8" i="43"/>
  <c r="P9" i="43"/>
  <c r="P10" i="43"/>
  <c r="P11" i="43"/>
  <c r="P12" i="43"/>
  <c r="P13" i="43"/>
  <c r="P14" i="43"/>
  <c r="P15" i="43"/>
  <c r="P16" i="43"/>
  <c r="P17" i="43"/>
  <c r="P18" i="43"/>
  <c r="P19" i="43"/>
  <c r="P20" i="43"/>
  <c r="P21" i="43"/>
  <c r="P22" i="43"/>
  <c r="P23" i="43"/>
  <c r="P24" i="43"/>
  <c r="P25" i="43"/>
  <c r="P26" i="43"/>
  <c r="P27" i="43"/>
  <c r="P28" i="43"/>
  <c r="P29" i="43"/>
  <c r="P30" i="43"/>
  <c r="P31" i="43"/>
  <c r="P32" i="43"/>
  <c r="P33" i="43"/>
  <c r="P34" i="43"/>
  <c r="P35" i="43"/>
  <c r="P36" i="43"/>
  <c r="P37" i="43"/>
  <c r="P38" i="43"/>
  <c r="P39" i="43"/>
  <c r="P40" i="43"/>
  <c r="P41" i="43"/>
  <c r="P42" i="43"/>
  <c r="P43" i="43"/>
  <c r="P44" i="43"/>
  <c r="P45" i="43"/>
  <c r="P46" i="43"/>
  <c r="P47" i="43"/>
  <c r="P48" i="43"/>
  <c r="P49" i="43"/>
  <c r="P50" i="43"/>
  <c r="P51" i="43"/>
  <c r="P52" i="43"/>
  <c r="P53" i="43"/>
  <c r="P54" i="43"/>
  <c r="P55" i="43"/>
  <c r="P56" i="43"/>
  <c r="P57" i="43"/>
  <c r="P58" i="43"/>
  <c r="P59" i="43"/>
  <c r="P60" i="43"/>
  <c r="P61" i="43"/>
  <c r="P62" i="43"/>
  <c r="P63" i="43"/>
  <c r="P64" i="43"/>
  <c r="P65" i="43"/>
  <c r="P66" i="43"/>
  <c r="P67" i="43"/>
  <c r="P68" i="43"/>
  <c r="P69" i="43"/>
  <c r="P70" i="43"/>
  <c r="P71" i="43"/>
  <c r="P72" i="43"/>
  <c r="P73" i="43"/>
  <c r="P74" i="43"/>
  <c r="P75" i="43"/>
  <c r="P76" i="43"/>
  <c r="P77" i="43"/>
  <c r="P78" i="43"/>
  <c r="P79" i="43"/>
  <c r="P80" i="43"/>
  <c r="P81" i="43"/>
  <c r="P82" i="43"/>
  <c r="P83" i="43"/>
  <c r="P84" i="43"/>
  <c r="P85" i="43"/>
  <c r="P86" i="43"/>
  <c r="P87" i="43"/>
  <c r="P88" i="43"/>
  <c r="P89" i="43"/>
  <c r="P90" i="43"/>
  <c r="P91" i="43"/>
  <c r="P92" i="43"/>
  <c r="P93" i="43"/>
  <c r="P94" i="43"/>
  <c r="P95" i="43"/>
  <c r="P96" i="43"/>
  <c r="P97" i="43"/>
  <c r="P98" i="43"/>
  <c r="P99" i="43"/>
  <c r="P100" i="43"/>
  <c r="P101" i="43"/>
  <c r="P102" i="43"/>
  <c r="P103" i="43"/>
  <c r="P104" i="43"/>
  <c r="P105" i="43"/>
  <c r="P106" i="43"/>
  <c r="P107" i="43"/>
  <c r="P108" i="43"/>
  <c r="P109" i="43"/>
  <c r="P110" i="43"/>
  <c r="P111" i="43"/>
  <c r="P112" i="43"/>
  <c r="P113" i="43"/>
  <c r="P114" i="43"/>
  <c r="P115" i="43"/>
  <c r="P116" i="43"/>
  <c r="P117" i="43"/>
  <c r="P118" i="43"/>
  <c r="P119" i="43"/>
  <c r="P120" i="43"/>
  <c r="P121" i="43"/>
  <c r="P122" i="43"/>
  <c r="P123" i="43"/>
  <c r="P124" i="43"/>
  <c r="P125" i="43"/>
  <c r="P126" i="43"/>
  <c r="P127" i="43"/>
  <c r="P128" i="43"/>
  <c r="P129" i="43"/>
  <c r="P130" i="43"/>
  <c r="P131" i="43"/>
  <c r="P132" i="43"/>
  <c r="P133" i="43"/>
  <c r="P134" i="43"/>
  <c r="P135" i="43"/>
  <c r="P136" i="43"/>
  <c r="P137" i="43"/>
  <c r="P138" i="43"/>
  <c r="P139" i="43"/>
  <c r="P140" i="43"/>
  <c r="P141" i="43"/>
  <c r="P142" i="43"/>
  <c r="P143" i="43"/>
  <c r="P144" i="43"/>
  <c r="P145" i="43"/>
  <c r="P146" i="43"/>
  <c r="P147" i="43"/>
  <c r="P148" i="43"/>
  <c r="P149" i="43"/>
  <c r="P150" i="43"/>
  <c r="P151" i="43"/>
  <c r="P152" i="43"/>
  <c r="P153" i="43"/>
  <c r="P154" i="43"/>
  <c r="P155" i="43"/>
  <c r="P156" i="43"/>
  <c r="P157" i="43"/>
  <c r="P158" i="43"/>
  <c r="P159" i="43"/>
  <c r="P160" i="43"/>
  <c r="P161" i="43"/>
  <c r="P162" i="43"/>
  <c r="P163" i="43"/>
  <c r="P164" i="43"/>
  <c r="P165" i="43"/>
  <c r="P166" i="43"/>
  <c r="P167" i="43"/>
  <c r="P168" i="43"/>
  <c r="P169" i="43"/>
  <c r="P170" i="43"/>
  <c r="P171" i="43"/>
  <c r="P172" i="43"/>
  <c r="P173" i="43"/>
  <c r="P174" i="43"/>
  <c r="P175" i="43"/>
  <c r="P176" i="43"/>
  <c r="P177" i="43"/>
  <c r="P178" i="43"/>
  <c r="P179" i="43"/>
  <c r="P180" i="43"/>
  <c r="P181" i="43"/>
  <c r="P182" i="43"/>
  <c r="P183" i="43"/>
  <c r="P184" i="43"/>
  <c r="P185" i="43"/>
  <c r="P186" i="43"/>
  <c r="P187" i="43"/>
  <c r="P188" i="43"/>
  <c r="P189" i="43"/>
  <c r="P190" i="43"/>
  <c r="P191" i="43"/>
  <c r="P192" i="43"/>
  <c r="P193" i="43"/>
  <c r="P194" i="43"/>
  <c r="P195" i="43"/>
  <c r="P196" i="43"/>
  <c r="P197" i="43"/>
  <c r="P198" i="43"/>
  <c r="P199" i="43"/>
  <c r="P200" i="43"/>
  <c r="P201" i="43"/>
  <c r="P202" i="43"/>
  <c r="P203" i="43"/>
  <c r="P204" i="43"/>
  <c r="P205" i="43"/>
  <c r="P206" i="43"/>
  <c r="P207" i="43"/>
  <c r="P208" i="43"/>
  <c r="P209" i="43"/>
  <c r="P210" i="43"/>
  <c r="P211" i="43"/>
  <c r="P212" i="43"/>
  <c r="P213" i="43"/>
  <c r="P214" i="43"/>
  <c r="P215" i="43"/>
  <c r="P216" i="43"/>
  <c r="P217" i="43"/>
  <c r="P218" i="43"/>
  <c r="P219" i="43"/>
  <c r="P220" i="43"/>
  <c r="P221" i="43"/>
  <c r="P222" i="43"/>
  <c r="P223" i="43"/>
  <c r="P224" i="43"/>
  <c r="P225" i="43"/>
  <c r="P226" i="43"/>
  <c r="P227" i="43"/>
  <c r="P228" i="43"/>
  <c r="P229" i="43"/>
  <c r="P230" i="43"/>
  <c r="P231" i="43"/>
  <c r="P232" i="43"/>
  <c r="P233" i="43"/>
  <c r="P234" i="43"/>
  <c r="P235" i="43"/>
  <c r="P236" i="43"/>
  <c r="P237" i="43"/>
  <c r="P238" i="43"/>
  <c r="P239" i="43"/>
  <c r="P240" i="43"/>
  <c r="P241" i="43"/>
  <c r="P242" i="43"/>
  <c r="P243" i="43"/>
  <c r="P244" i="43"/>
  <c r="P245" i="43"/>
  <c r="P246" i="43"/>
  <c r="P247" i="43"/>
  <c r="P248" i="43"/>
  <c r="P249" i="43"/>
  <c r="P250" i="43"/>
  <c r="P251" i="43"/>
  <c r="P252" i="43"/>
  <c r="P253" i="43"/>
  <c r="P254" i="43"/>
  <c r="P255" i="43"/>
  <c r="P256" i="43"/>
  <c r="P257" i="43"/>
  <c r="P258" i="43"/>
  <c r="P259" i="43"/>
  <c r="P260" i="43"/>
  <c r="P261" i="43"/>
  <c r="P262" i="43"/>
  <c r="P263" i="43"/>
  <c r="P264" i="43"/>
  <c r="P265" i="43"/>
  <c r="P266" i="43"/>
  <c r="P267" i="43"/>
  <c r="P268" i="43"/>
  <c r="P269" i="43"/>
  <c r="P270" i="43"/>
  <c r="P271" i="43"/>
  <c r="P272" i="43"/>
  <c r="P273" i="43"/>
  <c r="P274" i="43"/>
  <c r="P275" i="43"/>
  <c r="P276" i="43"/>
  <c r="P277" i="43"/>
  <c r="P278" i="43"/>
  <c r="P279" i="43"/>
  <c r="P280" i="43"/>
  <c r="P281" i="43"/>
  <c r="P282" i="43"/>
  <c r="P283" i="43"/>
  <c r="P284" i="43"/>
  <c r="P285" i="43"/>
  <c r="P286" i="43"/>
  <c r="P287" i="43"/>
  <c r="P288" i="43"/>
  <c r="P289" i="43"/>
  <c r="P290" i="43"/>
  <c r="P291" i="43"/>
  <c r="P292" i="43"/>
  <c r="P293" i="43"/>
  <c r="P294" i="43"/>
  <c r="P295" i="43"/>
  <c r="P296" i="43"/>
  <c r="W296" i="43"/>
  <c r="V296" i="43"/>
  <c r="U296" i="43"/>
  <c r="T296" i="43"/>
  <c r="W295" i="43"/>
  <c r="V295" i="43"/>
  <c r="U295" i="43"/>
  <c r="T295" i="43"/>
  <c r="W294" i="43"/>
  <c r="V294" i="43"/>
  <c r="U294" i="43"/>
  <c r="T294" i="43"/>
  <c r="W293" i="43"/>
  <c r="V293" i="43"/>
  <c r="U293" i="43"/>
  <c r="T293" i="43"/>
  <c r="W292" i="43"/>
  <c r="V292" i="43"/>
  <c r="U292" i="43"/>
  <c r="T292" i="43"/>
  <c r="W291" i="43"/>
  <c r="V291" i="43"/>
  <c r="U291" i="43"/>
  <c r="T291" i="43"/>
  <c r="W290" i="43"/>
  <c r="V290" i="43"/>
  <c r="U290" i="43"/>
  <c r="T290" i="43"/>
  <c r="W289" i="43"/>
  <c r="V289" i="43"/>
  <c r="U289" i="43"/>
  <c r="T289" i="43"/>
  <c r="W288" i="43"/>
  <c r="V288" i="43"/>
  <c r="U288" i="43"/>
  <c r="T288" i="43"/>
  <c r="W287" i="43"/>
  <c r="V287" i="43"/>
  <c r="U287" i="43"/>
  <c r="T287" i="43"/>
  <c r="W286" i="43"/>
  <c r="V286" i="43"/>
  <c r="U286" i="43"/>
  <c r="T286" i="43"/>
  <c r="W285" i="43"/>
  <c r="V285" i="43"/>
  <c r="U285" i="43"/>
  <c r="T285" i="43"/>
  <c r="W284" i="43"/>
  <c r="V284" i="43"/>
  <c r="U284" i="43"/>
  <c r="T284" i="43"/>
  <c r="W283" i="43"/>
  <c r="V283" i="43"/>
  <c r="U283" i="43"/>
  <c r="T283" i="43"/>
  <c r="W282" i="43"/>
  <c r="V282" i="43"/>
  <c r="U282" i="43"/>
  <c r="T282" i="43"/>
  <c r="W281" i="43"/>
  <c r="V281" i="43"/>
  <c r="U281" i="43"/>
  <c r="T281" i="43"/>
  <c r="W280" i="43"/>
  <c r="V280" i="43"/>
  <c r="U280" i="43"/>
  <c r="T280" i="43"/>
  <c r="W279" i="43"/>
  <c r="V279" i="43"/>
  <c r="U279" i="43"/>
  <c r="T279" i="43"/>
  <c r="W278" i="43"/>
  <c r="V278" i="43"/>
  <c r="U278" i="43"/>
  <c r="T278" i="43"/>
  <c r="W277" i="43"/>
  <c r="V277" i="43"/>
  <c r="U277" i="43"/>
  <c r="T277" i="43"/>
  <c r="W276" i="43"/>
  <c r="V276" i="43"/>
  <c r="U276" i="43"/>
  <c r="T276" i="43"/>
  <c r="W275" i="43"/>
  <c r="V275" i="43"/>
  <c r="U275" i="43"/>
  <c r="T275" i="43"/>
  <c r="W274" i="43"/>
  <c r="V274" i="43"/>
  <c r="U274" i="43"/>
  <c r="T274" i="43"/>
  <c r="W273" i="43"/>
  <c r="V273" i="43"/>
  <c r="U273" i="43"/>
  <c r="T273" i="43"/>
  <c r="W272" i="43"/>
  <c r="V272" i="43"/>
  <c r="U272" i="43"/>
  <c r="T272" i="43"/>
  <c r="W271" i="43"/>
  <c r="V271" i="43"/>
  <c r="U271" i="43"/>
  <c r="T271" i="43"/>
  <c r="W270" i="43"/>
  <c r="V270" i="43"/>
  <c r="U270" i="43"/>
  <c r="T270" i="43"/>
  <c r="W269" i="43"/>
  <c r="V269" i="43"/>
  <c r="U269" i="43"/>
  <c r="T269" i="43"/>
  <c r="W268" i="43"/>
  <c r="V268" i="43"/>
  <c r="U268" i="43"/>
  <c r="T268" i="43"/>
  <c r="W267" i="43"/>
  <c r="V267" i="43"/>
  <c r="U267" i="43"/>
  <c r="T267" i="43"/>
  <c r="W266" i="43"/>
  <c r="V266" i="43"/>
  <c r="U266" i="43"/>
  <c r="T266" i="43"/>
  <c r="W265" i="43"/>
  <c r="V265" i="43"/>
  <c r="U265" i="43"/>
  <c r="T265" i="43"/>
  <c r="W264" i="43"/>
  <c r="V264" i="43"/>
  <c r="U264" i="43"/>
  <c r="T264" i="43"/>
  <c r="W263" i="43"/>
  <c r="V263" i="43"/>
  <c r="U263" i="43"/>
  <c r="T263" i="43"/>
  <c r="W262" i="43"/>
  <c r="V262" i="43"/>
  <c r="U262" i="43"/>
  <c r="T262" i="43"/>
  <c r="W261" i="43"/>
  <c r="V261" i="43"/>
  <c r="U261" i="43"/>
  <c r="T261" i="43"/>
  <c r="W260" i="43"/>
  <c r="V260" i="43"/>
  <c r="U260" i="43"/>
  <c r="T260" i="43"/>
  <c r="W259" i="43"/>
  <c r="V259" i="43"/>
  <c r="U259" i="43"/>
  <c r="T259" i="43"/>
  <c r="W258" i="43"/>
  <c r="V258" i="43"/>
  <c r="U258" i="43"/>
  <c r="T258" i="43"/>
  <c r="W257" i="43"/>
  <c r="V257" i="43"/>
  <c r="U257" i="43"/>
  <c r="T257" i="43"/>
  <c r="W256" i="43"/>
  <c r="V256" i="43"/>
  <c r="U256" i="43"/>
  <c r="T256" i="43"/>
  <c r="W255" i="43"/>
  <c r="V255" i="43"/>
  <c r="U255" i="43"/>
  <c r="T255" i="43"/>
  <c r="W254" i="43"/>
  <c r="V254" i="43"/>
  <c r="U254" i="43"/>
  <c r="T254" i="43"/>
  <c r="W253" i="43"/>
  <c r="V253" i="43"/>
  <c r="U253" i="43"/>
  <c r="T253" i="43"/>
  <c r="W252" i="43"/>
  <c r="V252" i="43"/>
  <c r="U252" i="43"/>
  <c r="T252" i="43"/>
  <c r="W251" i="43"/>
  <c r="V251" i="43"/>
  <c r="U251" i="43"/>
  <c r="T251" i="43"/>
  <c r="W250" i="43"/>
  <c r="V250" i="43"/>
  <c r="U250" i="43"/>
  <c r="T250" i="43"/>
  <c r="W249" i="43"/>
  <c r="V249" i="43"/>
  <c r="U249" i="43"/>
  <c r="T249" i="43"/>
  <c r="W248" i="43"/>
  <c r="V248" i="43"/>
  <c r="U248" i="43"/>
  <c r="T248" i="43"/>
  <c r="W247" i="43"/>
  <c r="V247" i="43"/>
  <c r="U247" i="43"/>
  <c r="T247" i="43"/>
  <c r="W246" i="43"/>
  <c r="V246" i="43"/>
  <c r="U246" i="43"/>
  <c r="T246" i="43"/>
  <c r="W245" i="43"/>
  <c r="V245" i="43"/>
  <c r="U245" i="43"/>
  <c r="T245" i="43"/>
  <c r="W244" i="43"/>
  <c r="V244" i="43"/>
  <c r="U244" i="43"/>
  <c r="T244" i="43"/>
  <c r="W243" i="43"/>
  <c r="V243" i="43"/>
  <c r="U243" i="43"/>
  <c r="T243" i="43"/>
  <c r="W242" i="43"/>
  <c r="V242" i="43"/>
  <c r="U242" i="43"/>
  <c r="T242" i="43"/>
  <c r="W241" i="43"/>
  <c r="V241" i="43"/>
  <c r="U241" i="43"/>
  <c r="T241" i="43"/>
  <c r="W240" i="43"/>
  <c r="V240" i="43"/>
  <c r="U240" i="43"/>
  <c r="T240" i="43"/>
  <c r="W239" i="43"/>
  <c r="V239" i="43"/>
  <c r="U239" i="43"/>
  <c r="T239" i="43"/>
  <c r="W238" i="43"/>
  <c r="V238" i="43"/>
  <c r="U238" i="43"/>
  <c r="T238" i="43"/>
  <c r="W237" i="43"/>
  <c r="V237" i="43"/>
  <c r="U237" i="43"/>
  <c r="T237" i="43"/>
  <c r="W236" i="43"/>
  <c r="V236" i="43"/>
  <c r="U236" i="43"/>
  <c r="T236" i="43"/>
  <c r="W235" i="43"/>
  <c r="V235" i="43"/>
  <c r="U235" i="43"/>
  <c r="T235" i="43"/>
  <c r="W234" i="43"/>
  <c r="V234" i="43"/>
  <c r="U234" i="43"/>
  <c r="T234" i="43"/>
  <c r="W233" i="43"/>
  <c r="V233" i="43"/>
  <c r="U233" i="43"/>
  <c r="T233" i="43"/>
  <c r="W232" i="43"/>
  <c r="V232" i="43"/>
  <c r="U232" i="43"/>
  <c r="T232" i="43"/>
  <c r="W231" i="43"/>
  <c r="V231" i="43"/>
  <c r="U231" i="43"/>
  <c r="T231" i="43"/>
  <c r="W230" i="43"/>
  <c r="V230" i="43"/>
  <c r="U230" i="43"/>
  <c r="T230" i="43"/>
  <c r="W229" i="43"/>
  <c r="V229" i="43"/>
  <c r="U229" i="43"/>
  <c r="T229" i="43"/>
  <c r="W228" i="43"/>
  <c r="V228" i="43"/>
  <c r="U228" i="43"/>
  <c r="T228" i="43"/>
  <c r="W227" i="43"/>
  <c r="V227" i="43"/>
  <c r="U227" i="43"/>
  <c r="T227" i="43"/>
  <c r="W226" i="43"/>
  <c r="V226" i="43"/>
  <c r="U226" i="43"/>
  <c r="T226" i="43"/>
  <c r="W225" i="43"/>
  <c r="V225" i="43"/>
  <c r="U225" i="43"/>
  <c r="T225" i="43"/>
  <c r="W224" i="43"/>
  <c r="V224" i="43"/>
  <c r="U224" i="43"/>
  <c r="T224" i="43"/>
  <c r="W223" i="43"/>
  <c r="V223" i="43"/>
  <c r="U223" i="43"/>
  <c r="T223" i="43"/>
  <c r="W222" i="43"/>
  <c r="V222" i="43"/>
  <c r="U222" i="43"/>
  <c r="T222" i="43"/>
  <c r="W221" i="43"/>
  <c r="V221" i="43"/>
  <c r="U221" i="43"/>
  <c r="T221" i="43"/>
  <c r="W220" i="43"/>
  <c r="V220" i="43"/>
  <c r="U220" i="43"/>
  <c r="T220" i="43"/>
  <c r="W219" i="43"/>
  <c r="V219" i="43"/>
  <c r="U219" i="43"/>
  <c r="T219" i="43"/>
  <c r="W218" i="43"/>
  <c r="V218" i="43"/>
  <c r="U218" i="43"/>
  <c r="T218" i="43"/>
  <c r="W217" i="43"/>
  <c r="V217" i="43"/>
  <c r="U217" i="43"/>
  <c r="T217" i="43"/>
  <c r="W216" i="43"/>
  <c r="V216" i="43"/>
  <c r="U216" i="43"/>
  <c r="T216" i="43"/>
  <c r="W215" i="43"/>
  <c r="V215" i="43"/>
  <c r="U215" i="43"/>
  <c r="T215" i="43"/>
  <c r="W214" i="43"/>
  <c r="V214" i="43"/>
  <c r="U214" i="43"/>
  <c r="T214" i="43"/>
  <c r="W213" i="43"/>
  <c r="V213" i="43"/>
  <c r="U213" i="43"/>
  <c r="T213" i="43"/>
  <c r="W212" i="43"/>
  <c r="V212" i="43"/>
  <c r="U212" i="43"/>
  <c r="T212" i="43"/>
  <c r="W211" i="43"/>
  <c r="V211" i="43"/>
  <c r="U211" i="43"/>
  <c r="T211" i="43"/>
  <c r="W210" i="43"/>
  <c r="V210" i="43"/>
  <c r="U210" i="43"/>
  <c r="T210" i="43"/>
  <c r="W209" i="43"/>
  <c r="V209" i="43"/>
  <c r="U209" i="43"/>
  <c r="T209" i="43"/>
  <c r="W208" i="43"/>
  <c r="V208" i="43"/>
  <c r="U208" i="43"/>
  <c r="T208" i="43"/>
  <c r="W207" i="43"/>
  <c r="V207" i="43"/>
  <c r="U207" i="43"/>
  <c r="T207" i="43"/>
  <c r="W206" i="43"/>
  <c r="V206" i="43"/>
  <c r="U206" i="43"/>
  <c r="T206" i="43"/>
  <c r="W205" i="43"/>
  <c r="V205" i="43"/>
  <c r="U205" i="43"/>
  <c r="T205" i="43"/>
  <c r="W204" i="43"/>
  <c r="V204" i="43"/>
  <c r="U204" i="43"/>
  <c r="T204" i="43"/>
  <c r="W203" i="43"/>
  <c r="V203" i="43"/>
  <c r="U203" i="43"/>
  <c r="T203" i="43"/>
  <c r="W202" i="43"/>
  <c r="V202" i="43"/>
  <c r="U202" i="43"/>
  <c r="T202" i="43"/>
  <c r="W201" i="43"/>
  <c r="V201" i="43"/>
  <c r="U201" i="43"/>
  <c r="T201" i="43"/>
  <c r="W200" i="43"/>
  <c r="V200" i="43"/>
  <c r="U200" i="43"/>
  <c r="T200" i="43"/>
  <c r="W199" i="43"/>
  <c r="V199" i="43"/>
  <c r="U199" i="43"/>
  <c r="T199" i="43"/>
  <c r="W198" i="43"/>
  <c r="V198" i="43"/>
  <c r="U198" i="43"/>
  <c r="T198" i="43"/>
  <c r="W197" i="43"/>
  <c r="V197" i="43"/>
  <c r="U197" i="43"/>
  <c r="T197" i="43"/>
  <c r="W196" i="43"/>
  <c r="V196" i="43"/>
  <c r="U196" i="43"/>
  <c r="T196" i="43"/>
  <c r="W195" i="43"/>
  <c r="V195" i="43"/>
  <c r="U195" i="43"/>
  <c r="T195" i="43"/>
  <c r="W194" i="43"/>
  <c r="V194" i="43"/>
  <c r="U194" i="43"/>
  <c r="T194" i="43"/>
  <c r="W193" i="43"/>
  <c r="V193" i="43"/>
  <c r="U193" i="43"/>
  <c r="T193" i="43"/>
  <c r="W192" i="43"/>
  <c r="V192" i="43"/>
  <c r="U192" i="43"/>
  <c r="T192" i="43"/>
  <c r="W191" i="43"/>
  <c r="V191" i="43"/>
  <c r="U191" i="43"/>
  <c r="T191" i="43"/>
  <c r="W190" i="43"/>
  <c r="V190" i="43"/>
  <c r="U190" i="43"/>
  <c r="T190" i="43"/>
  <c r="W189" i="43"/>
  <c r="V189" i="43"/>
  <c r="U189" i="43"/>
  <c r="T189" i="43"/>
  <c r="W188" i="43"/>
  <c r="V188" i="43"/>
  <c r="U188" i="43"/>
  <c r="T188" i="43"/>
  <c r="W187" i="43"/>
  <c r="V187" i="43"/>
  <c r="U187" i="43"/>
  <c r="T187" i="43"/>
  <c r="W186" i="43"/>
  <c r="V186" i="43"/>
  <c r="U186" i="43"/>
  <c r="T186" i="43"/>
  <c r="W185" i="43"/>
  <c r="V185" i="43"/>
  <c r="U185" i="43"/>
  <c r="T185" i="43"/>
  <c r="W184" i="43"/>
  <c r="V184" i="43"/>
  <c r="U184" i="43"/>
  <c r="T184" i="43"/>
  <c r="W183" i="43"/>
  <c r="V183" i="43"/>
  <c r="U183" i="43"/>
  <c r="T183" i="43"/>
  <c r="W182" i="43"/>
  <c r="V182" i="43"/>
  <c r="U182" i="43"/>
  <c r="T182" i="43"/>
  <c r="W181" i="43"/>
  <c r="V181" i="43"/>
  <c r="U181" i="43"/>
  <c r="T181" i="43"/>
  <c r="W180" i="43"/>
  <c r="V180" i="43"/>
  <c r="U180" i="43"/>
  <c r="T180" i="43"/>
  <c r="W179" i="43"/>
  <c r="V179" i="43"/>
  <c r="U179" i="43"/>
  <c r="T179" i="43"/>
  <c r="W178" i="43"/>
  <c r="V178" i="43"/>
  <c r="U178" i="43"/>
  <c r="T178" i="43"/>
  <c r="W177" i="43"/>
  <c r="V177" i="43"/>
  <c r="U177" i="43"/>
  <c r="T177" i="43"/>
  <c r="W176" i="43"/>
  <c r="V176" i="43"/>
  <c r="U176" i="43"/>
  <c r="T176" i="43"/>
  <c r="W175" i="43"/>
  <c r="V175" i="43"/>
  <c r="U175" i="43"/>
  <c r="T175" i="43"/>
  <c r="W174" i="43"/>
  <c r="V174" i="43"/>
  <c r="U174" i="43"/>
  <c r="T174" i="43"/>
  <c r="W173" i="43"/>
  <c r="V173" i="43"/>
  <c r="U173" i="43"/>
  <c r="T173" i="43"/>
  <c r="W172" i="43"/>
  <c r="V172" i="43"/>
  <c r="U172" i="43"/>
  <c r="T172" i="43"/>
  <c r="W171" i="43"/>
  <c r="V171" i="43"/>
  <c r="U171" i="43"/>
  <c r="T171" i="43"/>
  <c r="W170" i="43"/>
  <c r="V170" i="43"/>
  <c r="U170" i="43"/>
  <c r="T170" i="43"/>
  <c r="W169" i="43"/>
  <c r="V169" i="43"/>
  <c r="U169" i="43"/>
  <c r="T169" i="43"/>
  <c r="W168" i="43"/>
  <c r="V168" i="43"/>
  <c r="U168" i="43"/>
  <c r="T168" i="43"/>
  <c r="W167" i="43"/>
  <c r="V167" i="43"/>
  <c r="U167" i="43"/>
  <c r="T167" i="43"/>
  <c r="W166" i="43"/>
  <c r="V166" i="43"/>
  <c r="U166" i="43"/>
  <c r="T166" i="43"/>
  <c r="W165" i="43"/>
  <c r="V165" i="43"/>
  <c r="U165" i="43"/>
  <c r="T165" i="43"/>
  <c r="W164" i="43"/>
  <c r="V164" i="43"/>
  <c r="U164" i="43"/>
  <c r="T164" i="43"/>
  <c r="W163" i="43"/>
  <c r="V163" i="43"/>
  <c r="U163" i="43"/>
  <c r="T163" i="43"/>
  <c r="W162" i="43"/>
  <c r="V162" i="43"/>
  <c r="U162" i="43"/>
  <c r="T162" i="43"/>
  <c r="W161" i="43"/>
  <c r="V161" i="43"/>
  <c r="U161" i="43"/>
  <c r="T161" i="43"/>
  <c r="W160" i="43"/>
  <c r="V160" i="43"/>
  <c r="U160" i="43"/>
  <c r="T160" i="43"/>
  <c r="W159" i="43"/>
  <c r="V159" i="43"/>
  <c r="U159" i="43"/>
  <c r="T159" i="43"/>
  <c r="W158" i="43"/>
  <c r="V158" i="43"/>
  <c r="U158" i="43"/>
  <c r="T158" i="43"/>
  <c r="W157" i="43"/>
  <c r="V157" i="43"/>
  <c r="U157" i="43"/>
  <c r="T157" i="43"/>
  <c r="W156" i="43"/>
  <c r="V156" i="43"/>
  <c r="U156" i="43"/>
  <c r="T156" i="43"/>
  <c r="W155" i="43"/>
  <c r="V155" i="43"/>
  <c r="U155" i="43"/>
  <c r="T155" i="43"/>
  <c r="W154" i="43"/>
  <c r="V154" i="43"/>
  <c r="U154" i="43"/>
  <c r="T154" i="43"/>
  <c r="W153" i="43"/>
  <c r="V153" i="43"/>
  <c r="U153" i="43"/>
  <c r="T153" i="43"/>
  <c r="W152" i="43"/>
  <c r="V152" i="43"/>
  <c r="U152" i="43"/>
  <c r="T152" i="43"/>
  <c r="W151" i="43"/>
  <c r="V151" i="43"/>
  <c r="U151" i="43"/>
  <c r="T151" i="43"/>
  <c r="W150" i="43"/>
  <c r="V150" i="43"/>
  <c r="U150" i="43"/>
  <c r="T150" i="43"/>
  <c r="W149" i="43"/>
  <c r="V149" i="43"/>
  <c r="U149" i="43"/>
  <c r="T149" i="43"/>
  <c r="W148" i="43"/>
  <c r="V148" i="43"/>
  <c r="U148" i="43"/>
  <c r="T148" i="43"/>
  <c r="W147" i="43"/>
  <c r="V147" i="43"/>
  <c r="U147" i="43"/>
  <c r="T147" i="43"/>
  <c r="W146" i="43"/>
  <c r="V146" i="43"/>
  <c r="U146" i="43"/>
  <c r="T146" i="43"/>
  <c r="W145" i="43"/>
  <c r="V145" i="43"/>
  <c r="U145" i="43"/>
  <c r="T145" i="43"/>
  <c r="W144" i="43"/>
  <c r="V144" i="43"/>
  <c r="U144" i="43"/>
  <c r="T144" i="43"/>
  <c r="W143" i="43"/>
  <c r="V143" i="43"/>
  <c r="U143" i="43"/>
  <c r="T143" i="43"/>
  <c r="W142" i="43"/>
  <c r="V142" i="43"/>
  <c r="U142" i="43"/>
  <c r="T142" i="43"/>
  <c r="W141" i="43"/>
  <c r="V141" i="43"/>
  <c r="U141" i="43"/>
  <c r="T141" i="43"/>
  <c r="W140" i="43"/>
  <c r="V140" i="43"/>
  <c r="U140" i="43"/>
  <c r="T140" i="43"/>
  <c r="W139" i="43"/>
  <c r="V139" i="43"/>
  <c r="U139" i="43"/>
  <c r="T139" i="43"/>
  <c r="W138" i="43"/>
  <c r="V138" i="43"/>
  <c r="U138" i="43"/>
  <c r="T138" i="43"/>
  <c r="W137" i="43"/>
  <c r="V137" i="43"/>
  <c r="U137" i="43"/>
  <c r="T137" i="43"/>
  <c r="W136" i="43"/>
  <c r="V136" i="43"/>
  <c r="U136" i="43"/>
  <c r="T136" i="43"/>
  <c r="W135" i="43"/>
  <c r="V135" i="43"/>
  <c r="U135" i="43"/>
  <c r="T135" i="43"/>
  <c r="W134" i="43"/>
  <c r="V134" i="43"/>
  <c r="U134" i="43"/>
  <c r="T134" i="43"/>
  <c r="W133" i="43"/>
  <c r="V133" i="43"/>
  <c r="U133" i="43"/>
  <c r="T133" i="43"/>
  <c r="W132" i="43"/>
  <c r="V132" i="43"/>
  <c r="U132" i="43"/>
  <c r="T132" i="43"/>
  <c r="W131" i="43"/>
  <c r="V131" i="43"/>
  <c r="U131" i="43"/>
  <c r="T131" i="43"/>
  <c r="W130" i="43"/>
  <c r="V130" i="43"/>
  <c r="U130" i="43"/>
  <c r="T130" i="43"/>
  <c r="W129" i="43"/>
  <c r="V129" i="43"/>
  <c r="U129" i="43"/>
  <c r="T129" i="43"/>
  <c r="W128" i="43"/>
  <c r="V128" i="43"/>
  <c r="U128" i="43"/>
  <c r="T128" i="43"/>
  <c r="W127" i="43"/>
  <c r="V127" i="43"/>
  <c r="U127" i="43"/>
  <c r="T127" i="43"/>
  <c r="W126" i="43"/>
  <c r="V126" i="43"/>
  <c r="U126" i="43"/>
  <c r="T126" i="43"/>
  <c r="W125" i="43"/>
  <c r="V125" i="43"/>
  <c r="U125" i="43"/>
  <c r="T125" i="43"/>
  <c r="W124" i="43"/>
  <c r="V124" i="43"/>
  <c r="U124" i="43"/>
  <c r="T124" i="43"/>
  <c r="W123" i="43"/>
  <c r="V123" i="43"/>
  <c r="U123" i="43"/>
  <c r="T123" i="43"/>
  <c r="W122" i="43"/>
  <c r="V122" i="43"/>
  <c r="U122" i="43"/>
  <c r="T122" i="43"/>
  <c r="W121" i="43"/>
  <c r="V121" i="43"/>
  <c r="U121" i="43"/>
  <c r="T121" i="43"/>
  <c r="W120" i="43"/>
  <c r="V120" i="43"/>
  <c r="U120" i="43"/>
  <c r="T120" i="43"/>
  <c r="W119" i="43"/>
  <c r="V119" i="43"/>
  <c r="U119" i="43"/>
  <c r="T119" i="43"/>
  <c r="W118" i="43"/>
  <c r="V118" i="43"/>
  <c r="U118" i="43"/>
  <c r="T118" i="43"/>
  <c r="W117" i="43"/>
  <c r="V117" i="43"/>
  <c r="U117" i="43"/>
  <c r="T117" i="43"/>
  <c r="W116" i="43"/>
  <c r="V116" i="43"/>
  <c r="U116" i="43"/>
  <c r="T116" i="43"/>
  <c r="W115" i="43"/>
  <c r="V115" i="43"/>
  <c r="U115" i="43"/>
  <c r="T115" i="43"/>
  <c r="W114" i="43"/>
  <c r="V114" i="43"/>
  <c r="U114" i="43"/>
  <c r="T114" i="43"/>
  <c r="W113" i="43"/>
  <c r="V113" i="43"/>
  <c r="U113" i="43"/>
  <c r="T113" i="43"/>
  <c r="W112" i="43"/>
  <c r="V112" i="43"/>
  <c r="U112" i="43"/>
  <c r="T112" i="43"/>
  <c r="W111" i="43"/>
  <c r="V111" i="43"/>
  <c r="U111" i="43"/>
  <c r="T111" i="43"/>
  <c r="W110" i="43"/>
  <c r="V110" i="43"/>
  <c r="U110" i="43"/>
  <c r="T110" i="43"/>
  <c r="W109" i="43"/>
  <c r="V109" i="43"/>
  <c r="U109" i="43"/>
  <c r="T109" i="43"/>
  <c r="W108" i="43"/>
  <c r="V108" i="43"/>
  <c r="U108" i="43"/>
  <c r="T108" i="43"/>
  <c r="W107" i="43"/>
  <c r="V107" i="43"/>
  <c r="U107" i="43"/>
  <c r="T107" i="43"/>
  <c r="W106" i="43"/>
  <c r="V106" i="43"/>
  <c r="U106" i="43"/>
  <c r="T106" i="43"/>
  <c r="W105" i="43"/>
  <c r="V105" i="43"/>
  <c r="U105" i="43"/>
  <c r="T105" i="43"/>
  <c r="W104" i="43"/>
  <c r="V104" i="43"/>
  <c r="U104" i="43"/>
  <c r="T104" i="43"/>
  <c r="W103" i="43"/>
  <c r="V103" i="43"/>
  <c r="U103" i="43"/>
  <c r="T103" i="43"/>
  <c r="W102" i="43"/>
  <c r="V102" i="43"/>
  <c r="U102" i="43"/>
  <c r="T102" i="43"/>
  <c r="W101" i="43"/>
  <c r="V101" i="43"/>
  <c r="U101" i="43"/>
  <c r="T101" i="43"/>
  <c r="W100" i="43"/>
  <c r="V100" i="43"/>
  <c r="U100" i="43"/>
  <c r="T100" i="43"/>
  <c r="W99" i="43"/>
  <c r="V99" i="43"/>
  <c r="U99" i="43"/>
  <c r="T99" i="43"/>
  <c r="W98" i="43"/>
  <c r="V98" i="43"/>
  <c r="U98" i="43"/>
  <c r="T98" i="43"/>
  <c r="W97" i="43"/>
  <c r="V97" i="43"/>
  <c r="U97" i="43"/>
  <c r="T97" i="43"/>
  <c r="W96" i="43"/>
  <c r="V96" i="43"/>
  <c r="U96" i="43"/>
  <c r="T96" i="43"/>
  <c r="W95" i="43"/>
  <c r="V95" i="43"/>
  <c r="U95" i="43"/>
  <c r="T95" i="43"/>
  <c r="W94" i="43"/>
  <c r="V94" i="43"/>
  <c r="U94" i="43"/>
  <c r="T94" i="43"/>
  <c r="W93" i="43"/>
  <c r="V93" i="43"/>
  <c r="U93" i="43"/>
  <c r="T93" i="43"/>
  <c r="W92" i="43"/>
  <c r="V92" i="43"/>
  <c r="U92" i="43"/>
  <c r="T92" i="43"/>
  <c r="W91" i="43"/>
  <c r="V91" i="43"/>
  <c r="U91" i="43"/>
  <c r="T91" i="43"/>
  <c r="W90" i="43"/>
  <c r="V90" i="43"/>
  <c r="U90" i="43"/>
  <c r="T90" i="43"/>
  <c r="W89" i="43"/>
  <c r="V89" i="43"/>
  <c r="U89" i="43"/>
  <c r="T89" i="43"/>
  <c r="W88" i="43"/>
  <c r="V88" i="43"/>
  <c r="U88" i="43"/>
  <c r="T88" i="43"/>
  <c r="W87" i="43"/>
  <c r="V87" i="43"/>
  <c r="U87" i="43"/>
  <c r="T87" i="43"/>
  <c r="W86" i="43"/>
  <c r="V86" i="43"/>
  <c r="U86" i="43"/>
  <c r="T86" i="43"/>
  <c r="W85" i="43"/>
  <c r="V85" i="43"/>
  <c r="U85" i="43"/>
  <c r="T85" i="43"/>
  <c r="W84" i="43"/>
  <c r="V84" i="43"/>
  <c r="U84" i="43"/>
  <c r="T84" i="43"/>
  <c r="W83" i="43"/>
  <c r="V83" i="43"/>
  <c r="U83" i="43"/>
  <c r="T83" i="43"/>
  <c r="W82" i="43"/>
  <c r="V82" i="43"/>
  <c r="U82" i="43"/>
  <c r="T82" i="43"/>
  <c r="W81" i="43"/>
  <c r="V81" i="43"/>
  <c r="U81" i="43"/>
  <c r="T81" i="43"/>
  <c r="W80" i="43"/>
  <c r="V80" i="43"/>
  <c r="U80" i="43"/>
  <c r="T80" i="43"/>
  <c r="W79" i="43"/>
  <c r="V79" i="43"/>
  <c r="U79" i="43"/>
  <c r="T79" i="43"/>
  <c r="W78" i="43"/>
  <c r="V78" i="43"/>
  <c r="U78" i="43"/>
  <c r="T78" i="43"/>
  <c r="W77" i="43"/>
  <c r="V77" i="43"/>
  <c r="U77" i="43"/>
  <c r="T77" i="43"/>
  <c r="W76" i="43"/>
  <c r="V76" i="43"/>
  <c r="U76" i="43"/>
  <c r="T76" i="43"/>
  <c r="W75" i="43"/>
  <c r="V75" i="43"/>
  <c r="U75" i="43"/>
  <c r="T75" i="43"/>
  <c r="W74" i="43"/>
  <c r="V74" i="43"/>
  <c r="U74" i="43"/>
  <c r="T74" i="43"/>
  <c r="W73" i="43"/>
  <c r="V73" i="43"/>
  <c r="U73" i="43"/>
  <c r="T73" i="43"/>
  <c r="W72" i="43"/>
  <c r="V72" i="43"/>
  <c r="U72" i="43"/>
  <c r="T72" i="43"/>
  <c r="W71" i="43"/>
  <c r="V71" i="43"/>
  <c r="U71" i="43"/>
  <c r="T71" i="43"/>
  <c r="W70" i="43"/>
  <c r="V70" i="43"/>
  <c r="U70" i="43"/>
  <c r="T70" i="43"/>
  <c r="W69" i="43"/>
  <c r="V69" i="43"/>
  <c r="U69" i="43"/>
  <c r="T69" i="43"/>
  <c r="W68" i="43"/>
  <c r="V68" i="43"/>
  <c r="U68" i="43"/>
  <c r="T68" i="43"/>
  <c r="W67" i="43"/>
  <c r="V67" i="43"/>
  <c r="U67" i="43"/>
  <c r="T67" i="43"/>
  <c r="W66" i="43"/>
  <c r="V66" i="43"/>
  <c r="U66" i="43"/>
  <c r="T66" i="43"/>
  <c r="W65" i="43"/>
  <c r="V65" i="43"/>
  <c r="U65" i="43"/>
  <c r="T65" i="43"/>
  <c r="W64" i="43"/>
  <c r="V64" i="43"/>
  <c r="U64" i="43"/>
  <c r="T64" i="43"/>
  <c r="W63" i="43"/>
  <c r="V63" i="43"/>
  <c r="U63" i="43"/>
  <c r="T63" i="43"/>
  <c r="W62" i="43"/>
  <c r="V62" i="43"/>
  <c r="U62" i="43"/>
  <c r="T62" i="43"/>
  <c r="W61" i="43"/>
  <c r="V61" i="43"/>
  <c r="U61" i="43"/>
  <c r="T61" i="43"/>
  <c r="W60" i="43"/>
  <c r="V60" i="43"/>
  <c r="U60" i="43"/>
  <c r="T60" i="43"/>
  <c r="W59" i="43"/>
  <c r="V59" i="43"/>
  <c r="U59" i="43"/>
  <c r="T59" i="43"/>
  <c r="W58" i="43"/>
  <c r="V58" i="43"/>
  <c r="U58" i="43"/>
  <c r="T58" i="43"/>
  <c r="W57" i="43"/>
  <c r="V57" i="43"/>
  <c r="U57" i="43"/>
  <c r="T57" i="43"/>
  <c r="W56" i="43"/>
  <c r="V56" i="43"/>
  <c r="U56" i="43"/>
  <c r="T56" i="43"/>
  <c r="W55" i="43"/>
  <c r="V55" i="43"/>
  <c r="U55" i="43"/>
  <c r="T55" i="43"/>
  <c r="W54" i="43"/>
  <c r="V54" i="43"/>
  <c r="U54" i="43"/>
  <c r="T54" i="43"/>
  <c r="W53" i="43"/>
  <c r="V53" i="43"/>
  <c r="U53" i="43"/>
  <c r="T53" i="43"/>
  <c r="W52" i="43"/>
  <c r="V52" i="43"/>
  <c r="U52" i="43"/>
  <c r="T52" i="43"/>
  <c r="W51" i="43"/>
  <c r="V51" i="43"/>
  <c r="U51" i="43"/>
  <c r="T51" i="43"/>
  <c r="W50" i="43"/>
  <c r="V50" i="43"/>
  <c r="U50" i="43"/>
  <c r="T50" i="43"/>
  <c r="W49" i="43"/>
  <c r="V49" i="43"/>
  <c r="U49" i="43"/>
  <c r="T49" i="43"/>
  <c r="W48" i="43"/>
  <c r="V48" i="43"/>
  <c r="U48" i="43"/>
  <c r="T48" i="43"/>
  <c r="W47" i="43"/>
  <c r="V47" i="43"/>
  <c r="U47" i="43"/>
  <c r="T47" i="43"/>
  <c r="W46" i="43"/>
  <c r="V46" i="43"/>
  <c r="U46" i="43"/>
  <c r="T46" i="43"/>
  <c r="W45" i="43"/>
  <c r="V45" i="43"/>
  <c r="U45" i="43"/>
  <c r="T45" i="43"/>
  <c r="W44" i="43"/>
  <c r="V44" i="43"/>
  <c r="U44" i="43"/>
  <c r="T44" i="43"/>
  <c r="W43" i="43"/>
  <c r="V43" i="43"/>
  <c r="U43" i="43"/>
  <c r="T43" i="43"/>
  <c r="W42" i="43"/>
  <c r="V42" i="43"/>
  <c r="U42" i="43"/>
  <c r="T42" i="43"/>
  <c r="W41" i="43"/>
  <c r="V41" i="43"/>
  <c r="U41" i="43"/>
  <c r="T41" i="43"/>
  <c r="W40" i="43"/>
  <c r="V40" i="43"/>
  <c r="U40" i="43"/>
  <c r="T40" i="43"/>
  <c r="W39" i="43"/>
  <c r="V39" i="43"/>
  <c r="U39" i="43"/>
  <c r="T39" i="43"/>
  <c r="W38" i="43"/>
  <c r="V38" i="43"/>
  <c r="U38" i="43"/>
  <c r="T38" i="43"/>
  <c r="W37" i="43"/>
  <c r="V37" i="43"/>
  <c r="U37" i="43"/>
  <c r="T37" i="43"/>
  <c r="W36" i="43"/>
  <c r="V36" i="43"/>
  <c r="U36" i="43"/>
  <c r="T36" i="43"/>
  <c r="W35" i="43"/>
  <c r="V35" i="43"/>
  <c r="U35" i="43"/>
  <c r="T35" i="43"/>
  <c r="W34" i="43"/>
  <c r="V34" i="43"/>
  <c r="U34" i="43"/>
  <c r="T34" i="43"/>
  <c r="W33" i="43"/>
  <c r="V33" i="43"/>
  <c r="U33" i="43"/>
  <c r="T33" i="43"/>
  <c r="W32" i="43"/>
  <c r="V32" i="43"/>
  <c r="U32" i="43"/>
  <c r="T32" i="43"/>
  <c r="W31" i="43"/>
  <c r="V31" i="43"/>
  <c r="U31" i="43"/>
  <c r="T31" i="43"/>
  <c r="W30" i="43"/>
  <c r="V30" i="43"/>
  <c r="U30" i="43"/>
  <c r="T30" i="43"/>
  <c r="W29" i="43"/>
  <c r="V29" i="43"/>
  <c r="U29" i="43"/>
  <c r="T29" i="43"/>
  <c r="W28" i="43"/>
  <c r="V28" i="43"/>
  <c r="U28" i="43"/>
  <c r="T28" i="43"/>
  <c r="W27" i="43"/>
  <c r="V27" i="43"/>
  <c r="U27" i="43"/>
  <c r="T27" i="43"/>
  <c r="W26" i="43"/>
  <c r="V26" i="43"/>
  <c r="U26" i="43"/>
  <c r="T26" i="43"/>
  <c r="W25" i="43"/>
  <c r="V25" i="43"/>
  <c r="U25" i="43"/>
  <c r="T25" i="43"/>
  <c r="W24" i="43"/>
  <c r="V24" i="43"/>
  <c r="U24" i="43"/>
  <c r="T24" i="43"/>
  <c r="W23" i="43"/>
  <c r="V23" i="43"/>
  <c r="U23" i="43"/>
  <c r="T23" i="43"/>
  <c r="W22" i="43"/>
  <c r="V22" i="43"/>
  <c r="U22" i="43"/>
  <c r="T22" i="43"/>
  <c r="W21" i="43"/>
  <c r="V21" i="43"/>
  <c r="U21" i="43"/>
  <c r="T21" i="43"/>
  <c r="W20" i="43"/>
  <c r="V20" i="43"/>
  <c r="U20" i="43"/>
  <c r="T20" i="43"/>
  <c r="W19" i="43"/>
  <c r="V19" i="43"/>
  <c r="U19" i="43"/>
  <c r="T19" i="43"/>
  <c r="W18" i="43"/>
  <c r="V18" i="43"/>
  <c r="U18" i="43"/>
  <c r="T18" i="43"/>
  <c r="W17" i="43"/>
  <c r="V17" i="43"/>
  <c r="U17" i="43"/>
  <c r="T17" i="43"/>
  <c r="W16" i="43"/>
  <c r="V16" i="43"/>
  <c r="U16" i="43"/>
  <c r="T16" i="43"/>
  <c r="W15" i="43"/>
  <c r="V15" i="43"/>
  <c r="U15" i="43"/>
  <c r="T15" i="43"/>
  <c r="W14" i="43"/>
  <c r="V14" i="43"/>
  <c r="U14" i="43"/>
  <c r="T14" i="43"/>
  <c r="W13" i="43"/>
  <c r="V13" i="43"/>
  <c r="U13" i="43"/>
  <c r="T13" i="43"/>
  <c r="W12" i="43"/>
  <c r="V12" i="43"/>
  <c r="U12" i="43"/>
  <c r="T12" i="43"/>
  <c r="W11" i="43"/>
  <c r="V11" i="43"/>
  <c r="U11" i="43"/>
  <c r="T11" i="43"/>
  <c r="W10" i="43"/>
  <c r="V10" i="43"/>
  <c r="U10" i="43"/>
  <c r="T10" i="43"/>
  <c r="W9" i="43"/>
  <c r="V9" i="43"/>
  <c r="U9" i="43"/>
  <c r="T9" i="43"/>
  <c r="W8" i="43"/>
  <c r="V8" i="43"/>
  <c r="U8" i="43"/>
  <c r="T8" i="43"/>
  <c r="W7" i="43"/>
  <c r="V7" i="43"/>
  <c r="U7" i="43"/>
  <c r="T7" i="43"/>
  <c r="W6" i="43"/>
  <c r="V6" i="43"/>
  <c r="U6" i="43"/>
  <c r="T6" i="43"/>
  <c r="W5" i="43"/>
  <c r="V5" i="43"/>
  <c r="U5" i="43"/>
  <c r="T5" i="43"/>
  <c r="W4" i="43"/>
  <c r="V4" i="43"/>
  <c r="U4" i="43"/>
  <c r="T4" i="43"/>
  <c r="W3" i="43"/>
  <c r="V3" i="43"/>
  <c r="U3" i="43"/>
  <c r="T3" i="43"/>
  <c r="V2" i="43"/>
  <c r="W2" i="43"/>
  <c r="T2" i="43"/>
  <c r="U2" i="43"/>
  <c r="P2" i="42"/>
  <c r="P3" i="42"/>
  <c r="P4" i="42"/>
  <c r="P5" i="42"/>
  <c r="P6" i="42"/>
  <c r="P7" i="42"/>
  <c r="P8" i="42"/>
  <c r="P9" i="42"/>
  <c r="P10" i="42"/>
  <c r="P11" i="42"/>
  <c r="P12" i="42"/>
  <c r="P13" i="42"/>
  <c r="P14" i="42"/>
  <c r="P15" i="42"/>
  <c r="P16" i="42"/>
  <c r="P17" i="42"/>
  <c r="P18" i="42"/>
  <c r="P19" i="42"/>
  <c r="P20" i="42"/>
  <c r="P21" i="42"/>
  <c r="P22" i="42"/>
  <c r="P23" i="42"/>
  <c r="P24" i="42"/>
  <c r="P25" i="42"/>
  <c r="P26" i="42"/>
  <c r="P27" i="42"/>
  <c r="P28" i="42"/>
  <c r="P29" i="42"/>
  <c r="P30" i="42"/>
  <c r="P31" i="42"/>
  <c r="P32" i="42"/>
  <c r="P33" i="42"/>
  <c r="P34" i="42"/>
  <c r="P35" i="42"/>
  <c r="P36" i="42"/>
  <c r="P37" i="42"/>
  <c r="P38" i="42"/>
  <c r="P39" i="42"/>
  <c r="P40" i="42"/>
  <c r="P41" i="42"/>
  <c r="P42" i="42"/>
  <c r="P43" i="42"/>
  <c r="P44" i="42"/>
  <c r="P45" i="42"/>
  <c r="P46" i="42"/>
  <c r="P47" i="42"/>
  <c r="P48" i="42"/>
  <c r="P49" i="42"/>
  <c r="P50" i="42"/>
  <c r="P51" i="42"/>
  <c r="P52" i="42"/>
  <c r="P53" i="42"/>
  <c r="P54" i="42"/>
  <c r="P55" i="42"/>
  <c r="P56" i="42"/>
  <c r="P57" i="42"/>
  <c r="P58" i="42"/>
  <c r="P59" i="42"/>
  <c r="P60" i="42"/>
  <c r="P61" i="42"/>
  <c r="P62" i="42"/>
  <c r="P63" i="42"/>
  <c r="P64" i="42"/>
  <c r="P65" i="42"/>
  <c r="P66" i="42"/>
  <c r="P67" i="42"/>
  <c r="P68" i="42"/>
  <c r="P69" i="42"/>
  <c r="P70" i="42"/>
  <c r="P71" i="42"/>
  <c r="P72" i="42"/>
  <c r="P73" i="42"/>
  <c r="P74" i="42"/>
  <c r="P75" i="42"/>
  <c r="P76" i="42"/>
  <c r="P77" i="42"/>
  <c r="P78" i="42"/>
  <c r="P79" i="42"/>
  <c r="P80" i="42"/>
  <c r="P81" i="42"/>
  <c r="P82" i="42"/>
  <c r="P83" i="42"/>
  <c r="P84" i="42"/>
  <c r="P85" i="42"/>
  <c r="P86" i="42"/>
  <c r="P87" i="42"/>
  <c r="P88" i="42"/>
  <c r="P89" i="42"/>
  <c r="P90" i="42"/>
  <c r="P91" i="42"/>
  <c r="P92" i="42"/>
  <c r="P93" i="42"/>
  <c r="P94" i="42"/>
  <c r="P95" i="42"/>
  <c r="P96" i="42"/>
  <c r="P97" i="42"/>
  <c r="P98" i="42"/>
  <c r="P99" i="42"/>
  <c r="P100" i="42"/>
  <c r="P101" i="42"/>
  <c r="P102" i="42"/>
  <c r="P103" i="42"/>
  <c r="P104" i="42"/>
  <c r="P105" i="42"/>
  <c r="P106" i="42"/>
  <c r="P107" i="42"/>
  <c r="P108" i="42"/>
  <c r="P109" i="42"/>
  <c r="P110" i="42"/>
  <c r="P111" i="42"/>
  <c r="P112" i="42"/>
  <c r="P113" i="42"/>
  <c r="P114" i="42"/>
  <c r="P115" i="42"/>
  <c r="P116" i="42"/>
  <c r="P117" i="42"/>
  <c r="P118" i="42"/>
  <c r="P119" i="42"/>
  <c r="P120" i="42"/>
  <c r="P121" i="42"/>
  <c r="P122" i="42"/>
  <c r="P123" i="42"/>
  <c r="P124" i="42"/>
  <c r="P125" i="42"/>
  <c r="P126" i="42"/>
  <c r="P127" i="42"/>
  <c r="P128" i="42"/>
  <c r="P129" i="42"/>
  <c r="P130" i="42"/>
  <c r="P131" i="42"/>
  <c r="P132" i="42"/>
  <c r="P133" i="42"/>
  <c r="P134" i="42"/>
  <c r="P135" i="42"/>
  <c r="P136" i="42"/>
  <c r="P137" i="42"/>
  <c r="P138" i="42"/>
  <c r="P139" i="42"/>
  <c r="P140" i="42"/>
  <c r="P141" i="42"/>
  <c r="P142" i="42"/>
  <c r="P143" i="42"/>
  <c r="P144" i="42"/>
  <c r="P145" i="42"/>
  <c r="P146" i="42"/>
  <c r="P147" i="42"/>
  <c r="P148" i="42"/>
  <c r="P149" i="42"/>
  <c r="P150" i="42"/>
  <c r="P151" i="42"/>
  <c r="P152" i="42"/>
  <c r="P153" i="42"/>
  <c r="P154" i="42"/>
  <c r="P155" i="42"/>
  <c r="P156" i="42"/>
  <c r="P157" i="42"/>
  <c r="P158" i="42"/>
  <c r="P159" i="42"/>
  <c r="P160" i="42"/>
  <c r="P161" i="42"/>
  <c r="P162" i="42"/>
  <c r="P163" i="42"/>
  <c r="P164" i="42"/>
  <c r="P165" i="42"/>
  <c r="P166" i="42"/>
  <c r="P167" i="42"/>
  <c r="P168" i="42"/>
  <c r="P169" i="42"/>
  <c r="P170" i="42"/>
  <c r="P171" i="42"/>
  <c r="P172" i="42"/>
  <c r="P173" i="42"/>
  <c r="P174" i="42"/>
  <c r="P175" i="42"/>
  <c r="P176" i="42"/>
  <c r="P177" i="42"/>
  <c r="P178" i="42"/>
  <c r="P179" i="42"/>
  <c r="P180" i="42"/>
  <c r="P181" i="42"/>
  <c r="P182" i="42"/>
  <c r="P183" i="42"/>
  <c r="P184" i="42"/>
  <c r="P185" i="42"/>
  <c r="P186" i="42"/>
  <c r="P187" i="42"/>
  <c r="P188" i="42"/>
  <c r="P189" i="42"/>
  <c r="P190" i="42"/>
  <c r="P191" i="42"/>
  <c r="P192" i="42"/>
  <c r="P193" i="42"/>
  <c r="P194" i="42"/>
  <c r="P195" i="42"/>
  <c r="P196" i="42"/>
  <c r="P197" i="42"/>
  <c r="P198" i="42"/>
  <c r="P199" i="42"/>
  <c r="P200" i="42"/>
  <c r="P201" i="42"/>
  <c r="P202" i="42"/>
  <c r="P203" i="42"/>
  <c r="P204" i="42"/>
  <c r="P205" i="42"/>
  <c r="P206" i="42"/>
  <c r="P207" i="42"/>
  <c r="P208" i="42"/>
  <c r="P209" i="42"/>
  <c r="P210" i="42"/>
  <c r="P211" i="42"/>
  <c r="P212" i="42"/>
  <c r="P213" i="42"/>
  <c r="P214" i="42"/>
  <c r="P215" i="42"/>
  <c r="P216" i="42"/>
  <c r="P217" i="42"/>
  <c r="P218" i="42"/>
  <c r="P219" i="42"/>
  <c r="P220" i="42"/>
  <c r="P221" i="42"/>
  <c r="P222" i="42"/>
  <c r="P223" i="42"/>
  <c r="P224" i="42"/>
  <c r="P225" i="42"/>
  <c r="P226" i="42"/>
  <c r="P227" i="42"/>
  <c r="P228" i="42"/>
  <c r="P229" i="42"/>
  <c r="P230" i="42"/>
  <c r="P231" i="42"/>
  <c r="P232" i="42"/>
  <c r="P233" i="42"/>
  <c r="P234" i="42"/>
  <c r="P235" i="42"/>
  <c r="P236" i="42"/>
  <c r="P237" i="42"/>
  <c r="P238" i="42"/>
  <c r="P239" i="42"/>
  <c r="P240" i="42"/>
  <c r="P241" i="42"/>
  <c r="P242" i="42"/>
  <c r="P243" i="42"/>
  <c r="P244" i="42"/>
  <c r="P245" i="42"/>
  <c r="P246" i="42"/>
  <c r="P247" i="42"/>
  <c r="P248" i="42"/>
  <c r="P249" i="42"/>
  <c r="P250" i="42"/>
  <c r="P251" i="42"/>
  <c r="P252" i="42"/>
  <c r="P253" i="42"/>
  <c r="P254" i="42"/>
  <c r="P255" i="42"/>
  <c r="P256" i="42"/>
  <c r="P257" i="42"/>
  <c r="P258" i="42"/>
  <c r="P259" i="42"/>
  <c r="P260" i="42"/>
  <c r="P261" i="42"/>
  <c r="P262" i="42"/>
  <c r="P263" i="42"/>
  <c r="P264" i="42"/>
  <c r="P265" i="42"/>
  <c r="P266" i="42"/>
  <c r="P267" i="42"/>
  <c r="P268" i="42"/>
  <c r="P269" i="42"/>
  <c r="P270" i="42"/>
  <c r="P271" i="42"/>
  <c r="P272" i="42"/>
  <c r="P273" i="42"/>
  <c r="P274" i="42"/>
  <c r="P275" i="42"/>
  <c r="P276" i="42"/>
  <c r="P277" i="42"/>
  <c r="P278" i="42"/>
  <c r="P279" i="42"/>
  <c r="P280" i="42"/>
  <c r="P281" i="42"/>
  <c r="P282" i="42"/>
  <c r="P283" i="42"/>
  <c r="P284" i="42"/>
  <c r="P285" i="42"/>
  <c r="P286" i="42"/>
  <c r="P287" i="42"/>
  <c r="P288" i="42"/>
  <c r="P289" i="42"/>
  <c r="P290" i="42"/>
  <c r="P291" i="42"/>
  <c r="P292" i="42"/>
  <c r="P293" i="42"/>
  <c r="P294" i="42"/>
  <c r="P295" i="42"/>
  <c r="P296" i="42"/>
  <c r="P2" i="41"/>
  <c r="P3" i="41"/>
  <c r="P4" i="41"/>
  <c r="P5" i="41"/>
  <c r="P6" i="41"/>
  <c r="P7" i="41"/>
  <c r="P8" i="41"/>
  <c r="P9" i="41"/>
  <c r="P10" i="41"/>
  <c r="P11" i="41"/>
  <c r="P12" i="41"/>
  <c r="P13" i="41"/>
  <c r="P14" i="41"/>
  <c r="P15" i="41"/>
  <c r="P16" i="41"/>
  <c r="P17" i="41"/>
  <c r="P18" i="41"/>
  <c r="P19" i="41"/>
  <c r="P20" i="41"/>
  <c r="P21" i="41"/>
  <c r="P22" i="41"/>
  <c r="P23" i="41"/>
  <c r="P24" i="41"/>
  <c r="P25" i="41"/>
  <c r="P26" i="41"/>
  <c r="P27" i="41"/>
  <c r="P28" i="41"/>
  <c r="P29" i="41"/>
  <c r="P30" i="41"/>
  <c r="P31" i="41"/>
  <c r="P32" i="41"/>
  <c r="P33" i="41"/>
  <c r="P34" i="41"/>
  <c r="P35" i="41"/>
  <c r="P36" i="41"/>
  <c r="P37" i="41"/>
  <c r="P38" i="41"/>
  <c r="P39" i="41"/>
  <c r="P40" i="41"/>
  <c r="P41" i="41"/>
  <c r="P42" i="41"/>
  <c r="P43" i="41"/>
  <c r="P44" i="41"/>
  <c r="P45" i="41"/>
  <c r="P46" i="41"/>
  <c r="P47" i="41"/>
  <c r="P48" i="41"/>
  <c r="P49" i="41"/>
  <c r="P50" i="41"/>
  <c r="P51" i="41"/>
  <c r="P52" i="41"/>
  <c r="P53" i="41"/>
  <c r="P54" i="41"/>
  <c r="P55" i="41"/>
  <c r="P56" i="41"/>
  <c r="P57" i="41"/>
  <c r="P58" i="41"/>
  <c r="P59" i="41"/>
  <c r="P60" i="41"/>
  <c r="P61" i="41"/>
  <c r="P62" i="41"/>
  <c r="P63" i="41"/>
  <c r="P64" i="41"/>
  <c r="P65" i="41"/>
  <c r="P66" i="41"/>
  <c r="P67" i="41"/>
  <c r="P68" i="41"/>
  <c r="P69" i="41"/>
  <c r="P70" i="41"/>
  <c r="P71" i="41"/>
  <c r="P72" i="41"/>
  <c r="P73" i="41"/>
  <c r="P74" i="41"/>
  <c r="P75" i="41"/>
  <c r="P76" i="41"/>
  <c r="P77" i="41"/>
  <c r="P78" i="41"/>
  <c r="P79" i="41"/>
  <c r="P80" i="41"/>
  <c r="P81" i="41"/>
  <c r="P82" i="41"/>
  <c r="P83" i="41"/>
  <c r="P84" i="41"/>
  <c r="P85" i="41"/>
  <c r="P86" i="41"/>
  <c r="P87" i="41"/>
  <c r="P88" i="41"/>
  <c r="P89" i="41"/>
  <c r="P90" i="41"/>
  <c r="P91" i="41"/>
  <c r="P92" i="41"/>
  <c r="P93" i="41"/>
  <c r="P94" i="41"/>
  <c r="P95" i="41"/>
  <c r="P96" i="41"/>
  <c r="P97" i="41"/>
  <c r="P98" i="41"/>
  <c r="P99" i="41"/>
  <c r="P100" i="41"/>
  <c r="P101" i="41"/>
  <c r="P102" i="41"/>
  <c r="P103" i="41"/>
  <c r="P104" i="41"/>
  <c r="P105" i="41"/>
  <c r="P106" i="41"/>
  <c r="P107" i="41"/>
  <c r="P108" i="41"/>
  <c r="P109" i="41"/>
  <c r="P110" i="41"/>
  <c r="P111" i="41"/>
  <c r="P112" i="41"/>
  <c r="P113" i="41"/>
  <c r="P114" i="41"/>
  <c r="P115" i="41"/>
  <c r="P116" i="41"/>
  <c r="P117" i="41"/>
  <c r="P118" i="41"/>
  <c r="P119" i="41"/>
  <c r="P120" i="41"/>
  <c r="P121" i="41"/>
  <c r="P122" i="41"/>
  <c r="P123" i="41"/>
  <c r="P124" i="41"/>
  <c r="P125" i="41"/>
  <c r="P126" i="41"/>
  <c r="P127" i="41"/>
  <c r="P128" i="41"/>
  <c r="P129" i="41"/>
  <c r="P130" i="41"/>
  <c r="P131" i="41"/>
  <c r="P132" i="41"/>
  <c r="P133" i="41"/>
  <c r="P134" i="41"/>
  <c r="P135" i="41"/>
  <c r="P136" i="41"/>
  <c r="P137" i="41"/>
  <c r="P138" i="41"/>
  <c r="P139" i="41"/>
  <c r="P140" i="41"/>
  <c r="P141" i="41"/>
  <c r="P142" i="41"/>
  <c r="P143" i="41"/>
  <c r="P144" i="41"/>
  <c r="P145" i="41"/>
  <c r="P146" i="41"/>
  <c r="P147" i="41"/>
  <c r="P148" i="41"/>
  <c r="P149" i="41"/>
  <c r="P150" i="41"/>
  <c r="P151" i="41"/>
  <c r="P152" i="41"/>
  <c r="P153" i="41"/>
  <c r="P154" i="41"/>
  <c r="P155" i="41"/>
  <c r="P156" i="41"/>
  <c r="P157" i="41"/>
  <c r="P158" i="41"/>
  <c r="P159" i="41"/>
  <c r="P160" i="41"/>
  <c r="P161" i="41"/>
  <c r="P162" i="41"/>
  <c r="P163" i="41"/>
  <c r="P164" i="41"/>
  <c r="P165" i="41"/>
  <c r="P166" i="41"/>
  <c r="P167" i="41"/>
  <c r="P168" i="41"/>
  <c r="P169" i="41"/>
  <c r="P170" i="41"/>
  <c r="P171" i="41"/>
  <c r="P172" i="41"/>
  <c r="P173" i="41"/>
  <c r="P174" i="41"/>
  <c r="P175" i="41"/>
  <c r="P176" i="41"/>
  <c r="P177" i="41"/>
  <c r="P178" i="41"/>
  <c r="P179" i="41"/>
  <c r="P180" i="41"/>
  <c r="P181" i="41"/>
  <c r="P182" i="41"/>
  <c r="P183" i="41"/>
  <c r="P184" i="41"/>
  <c r="P185" i="41"/>
  <c r="P186" i="41"/>
  <c r="P187" i="41"/>
  <c r="P188" i="41"/>
  <c r="P189" i="41"/>
  <c r="P190" i="41"/>
  <c r="P191" i="41"/>
  <c r="P192" i="41"/>
  <c r="P193" i="41"/>
  <c r="P194" i="41"/>
  <c r="P195" i="41"/>
  <c r="P196" i="41"/>
  <c r="P197" i="41"/>
  <c r="P198" i="41"/>
  <c r="P199" i="41"/>
  <c r="P200" i="41"/>
  <c r="P201" i="41"/>
  <c r="P202" i="41"/>
  <c r="P203" i="41"/>
  <c r="P204" i="41"/>
  <c r="P205" i="41"/>
  <c r="P206" i="41"/>
  <c r="P207" i="41"/>
  <c r="P208" i="41"/>
  <c r="P209" i="41"/>
  <c r="P210" i="41"/>
  <c r="P211" i="41"/>
  <c r="P212" i="41"/>
  <c r="P213" i="41"/>
  <c r="P214" i="41"/>
  <c r="P215" i="41"/>
  <c r="P216" i="41"/>
  <c r="P217" i="41"/>
  <c r="P218" i="41"/>
  <c r="P219" i="41"/>
  <c r="P220" i="41"/>
  <c r="P221" i="41"/>
  <c r="P222" i="41"/>
  <c r="P223" i="41"/>
  <c r="P224" i="41"/>
  <c r="P225" i="41"/>
  <c r="P226" i="41"/>
  <c r="P227" i="41"/>
  <c r="P228" i="41"/>
  <c r="P229" i="41"/>
  <c r="P230" i="41"/>
  <c r="P231" i="41"/>
  <c r="P232" i="41"/>
  <c r="P233" i="41"/>
  <c r="P234" i="41"/>
  <c r="P235" i="41"/>
  <c r="P236" i="41"/>
  <c r="P237" i="41"/>
  <c r="P238" i="41"/>
  <c r="P239" i="41"/>
  <c r="P240" i="41"/>
  <c r="P241" i="41"/>
  <c r="P242" i="41"/>
  <c r="P243" i="41"/>
  <c r="P244" i="41"/>
  <c r="P245" i="41"/>
  <c r="P246" i="41"/>
  <c r="P247" i="41"/>
  <c r="P248" i="41"/>
  <c r="P249" i="41"/>
  <c r="P250" i="41"/>
  <c r="P251" i="41"/>
  <c r="P252" i="41"/>
  <c r="P253" i="41"/>
  <c r="P254" i="41"/>
  <c r="P255" i="41"/>
  <c r="P256" i="41"/>
  <c r="P257" i="41"/>
  <c r="P258" i="41"/>
  <c r="P259" i="41"/>
  <c r="P260" i="41"/>
  <c r="P261" i="41"/>
  <c r="P262" i="41"/>
  <c r="P263" i="41"/>
  <c r="P264" i="41"/>
  <c r="P265" i="41"/>
  <c r="P266" i="41"/>
  <c r="P267" i="41"/>
  <c r="P268" i="41"/>
  <c r="P269" i="41"/>
  <c r="P270" i="41"/>
  <c r="P271" i="41"/>
  <c r="P272" i="41"/>
  <c r="P273" i="41"/>
  <c r="P274" i="41"/>
  <c r="P275" i="41"/>
  <c r="P276" i="41"/>
  <c r="P277" i="41"/>
  <c r="P278" i="41"/>
  <c r="P279" i="41"/>
  <c r="P280" i="41"/>
  <c r="P281" i="41"/>
  <c r="P282" i="41"/>
  <c r="P283" i="41"/>
  <c r="P284" i="41"/>
  <c r="P285" i="41"/>
  <c r="P286" i="41"/>
  <c r="P287" i="41"/>
  <c r="W283" i="40"/>
  <c r="W282" i="40"/>
  <c r="W281" i="40"/>
  <c r="W280" i="40"/>
  <c r="W279" i="40"/>
  <c r="W278" i="40"/>
  <c r="W277" i="40"/>
  <c r="W276" i="40"/>
  <c r="W275" i="40"/>
  <c r="W274" i="40"/>
  <c r="W273" i="40"/>
  <c r="W272" i="40"/>
  <c r="W271" i="40"/>
  <c r="W270" i="40"/>
  <c r="W269" i="40"/>
  <c r="W268" i="40"/>
  <c r="W267" i="40"/>
  <c r="W266" i="40"/>
  <c r="W265" i="40"/>
  <c r="W264" i="40"/>
  <c r="W263" i="40"/>
  <c r="W262" i="40"/>
  <c r="W261" i="40"/>
  <c r="W260" i="40"/>
  <c r="W259" i="40"/>
  <c r="W258" i="40"/>
  <c r="W257" i="40"/>
  <c r="W256" i="40"/>
  <c r="W255" i="40"/>
  <c r="W254" i="40"/>
  <c r="W253" i="40"/>
  <c r="W252" i="40"/>
  <c r="W251" i="40"/>
  <c r="W250" i="40"/>
  <c r="W249" i="40"/>
  <c r="W248" i="40"/>
  <c r="W247" i="40"/>
  <c r="W246" i="40"/>
  <c r="W245" i="40"/>
  <c r="W244" i="40"/>
  <c r="W243" i="40"/>
  <c r="W242" i="40"/>
  <c r="W241" i="40"/>
  <c r="W240" i="40"/>
  <c r="W239" i="40"/>
  <c r="W238" i="40"/>
  <c r="W237" i="40"/>
  <c r="W236" i="40"/>
  <c r="W235" i="40"/>
  <c r="W234" i="40"/>
  <c r="W233" i="40"/>
  <c r="W232" i="40"/>
  <c r="W231" i="40"/>
  <c r="W230" i="40"/>
  <c r="W229" i="40"/>
  <c r="W228" i="40"/>
  <c r="W227" i="40"/>
  <c r="W226" i="40"/>
  <c r="W225" i="40"/>
  <c r="W224" i="40"/>
  <c r="W223" i="40"/>
  <c r="W222" i="40"/>
  <c r="W221" i="40"/>
  <c r="W220" i="40"/>
  <c r="W219" i="40"/>
  <c r="W218" i="40"/>
  <c r="W217" i="40"/>
  <c r="W216" i="40"/>
  <c r="W215" i="40"/>
  <c r="W214" i="40"/>
  <c r="W213" i="40"/>
  <c r="W212" i="40"/>
  <c r="W211" i="40"/>
  <c r="W210" i="40"/>
  <c r="W209" i="40"/>
  <c r="W208" i="40"/>
  <c r="W207" i="40"/>
  <c r="W206" i="40"/>
  <c r="W205" i="40"/>
  <c r="W204" i="40"/>
  <c r="W203" i="40"/>
  <c r="W202" i="40"/>
  <c r="W201" i="40"/>
  <c r="W200" i="40"/>
  <c r="W199" i="40"/>
  <c r="W198" i="40"/>
  <c r="W197" i="40"/>
  <c r="W196" i="40"/>
  <c r="W195" i="40"/>
  <c r="W194" i="40"/>
  <c r="W193" i="40"/>
  <c r="W192" i="40"/>
  <c r="W191" i="40"/>
  <c r="W190" i="40"/>
  <c r="W189" i="40"/>
  <c r="W188" i="40"/>
  <c r="W187" i="40"/>
  <c r="W186" i="40"/>
  <c r="W185" i="40"/>
  <c r="W184" i="40"/>
  <c r="W183" i="40"/>
  <c r="W182" i="40"/>
  <c r="W181" i="40"/>
  <c r="W180" i="40"/>
  <c r="W179" i="40"/>
  <c r="W178" i="40"/>
  <c r="W177" i="40"/>
  <c r="W176" i="40"/>
  <c r="W175" i="40"/>
  <c r="W174" i="40"/>
  <c r="W173" i="40"/>
  <c r="W172" i="40"/>
  <c r="W171" i="40"/>
  <c r="W170" i="40"/>
  <c r="W169" i="40"/>
  <c r="W168" i="40"/>
  <c r="W167" i="40"/>
  <c r="W166" i="40"/>
  <c r="W165" i="40"/>
  <c r="W164" i="40"/>
  <c r="W163" i="40"/>
  <c r="W162" i="40"/>
  <c r="W161" i="40"/>
  <c r="W160" i="40"/>
  <c r="W159" i="40"/>
  <c r="W158" i="40"/>
  <c r="W157" i="40"/>
  <c r="W156" i="40"/>
  <c r="W155" i="40"/>
  <c r="W154" i="40"/>
  <c r="W153" i="40"/>
  <c r="W152" i="40"/>
  <c r="W151" i="40"/>
  <c r="W150" i="40"/>
  <c r="W149" i="40"/>
  <c r="W148" i="40"/>
  <c r="W147" i="40"/>
  <c r="W146" i="40"/>
  <c r="W145" i="40"/>
  <c r="W144" i="40"/>
  <c r="W143" i="40"/>
  <c r="W142" i="40"/>
  <c r="W141" i="40"/>
  <c r="W140" i="40"/>
  <c r="W139" i="40"/>
  <c r="W138" i="40"/>
  <c r="W137" i="40"/>
  <c r="W136" i="40"/>
  <c r="W135" i="40"/>
  <c r="W134" i="40"/>
  <c r="W133" i="40"/>
  <c r="W132" i="40"/>
  <c r="W131" i="40"/>
  <c r="W130" i="40"/>
  <c r="W129" i="40"/>
  <c r="W128" i="40"/>
  <c r="W127" i="40"/>
  <c r="W126" i="40"/>
  <c r="W125" i="40"/>
  <c r="W124" i="40"/>
  <c r="W123" i="40"/>
  <c r="W122" i="40"/>
  <c r="W121" i="40"/>
  <c r="W120" i="40"/>
  <c r="W119" i="40"/>
  <c r="W118" i="40"/>
  <c r="W117" i="40"/>
  <c r="W116" i="40"/>
  <c r="W115" i="40"/>
  <c r="W114" i="40"/>
  <c r="W113" i="40"/>
  <c r="W112" i="40"/>
  <c r="W111" i="40"/>
  <c r="W110" i="40"/>
  <c r="W109" i="40"/>
  <c r="W108" i="40"/>
  <c r="W107" i="40"/>
  <c r="W106" i="40"/>
  <c r="W105" i="40"/>
  <c r="W104" i="40"/>
  <c r="W103" i="40"/>
  <c r="W102" i="40"/>
  <c r="W101" i="40"/>
  <c r="W100" i="40"/>
  <c r="W99" i="40"/>
  <c r="W98" i="40"/>
  <c r="W97" i="40"/>
  <c r="W96" i="40"/>
  <c r="W95" i="40"/>
  <c r="W94" i="40"/>
  <c r="W93" i="40"/>
  <c r="W92" i="40"/>
  <c r="W91" i="40"/>
  <c r="W90" i="40"/>
  <c r="W89" i="40"/>
  <c r="W88" i="40"/>
  <c r="W87" i="40"/>
  <c r="W86" i="40"/>
  <c r="W85" i="40"/>
  <c r="W84" i="40"/>
  <c r="W83" i="40"/>
  <c r="W82" i="40"/>
  <c r="W81" i="40"/>
  <c r="W80" i="40"/>
  <c r="W79" i="40"/>
  <c r="W78" i="40"/>
  <c r="W77" i="40"/>
  <c r="W76" i="40"/>
  <c r="W75" i="40"/>
  <c r="W74" i="40"/>
  <c r="W73" i="40"/>
  <c r="W72" i="40"/>
  <c r="W71" i="40"/>
  <c r="W70" i="40"/>
  <c r="W69" i="40"/>
  <c r="W68" i="40"/>
  <c r="W67" i="40"/>
  <c r="W66" i="40"/>
  <c r="W65" i="40"/>
  <c r="W64" i="40"/>
  <c r="W63" i="40"/>
  <c r="W62" i="40"/>
  <c r="W61" i="40"/>
  <c r="W60" i="40"/>
  <c r="W59" i="40"/>
  <c r="W58" i="40"/>
  <c r="W57" i="40"/>
  <c r="W56" i="40"/>
  <c r="W55" i="40"/>
  <c r="W54" i="40"/>
  <c r="W53" i="40"/>
  <c r="W52" i="40"/>
  <c r="W51" i="40"/>
  <c r="W50" i="40"/>
  <c r="W49" i="40"/>
  <c r="W48" i="40"/>
  <c r="W47" i="40"/>
  <c r="W46" i="40"/>
  <c r="W45" i="40"/>
  <c r="W44" i="40"/>
  <c r="W43" i="40"/>
  <c r="W42" i="40"/>
  <c r="W41" i="40"/>
  <c r="W40" i="40"/>
  <c r="W39" i="40"/>
  <c r="W38" i="40"/>
  <c r="W37" i="40"/>
  <c r="W36" i="40"/>
  <c r="W35" i="40"/>
  <c r="W34" i="40"/>
  <c r="W33" i="40"/>
  <c r="W32" i="40"/>
  <c r="W31" i="40"/>
  <c r="W30" i="40"/>
  <c r="W29" i="40"/>
  <c r="W28" i="40"/>
  <c r="W27" i="40"/>
  <c r="W26" i="40"/>
  <c r="W25" i="40"/>
  <c r="W24" i="40"/>
  <c r="W23" i="40"/>
  <c r="W22" i="40"/>
  <c r="W21" i="40"/>
  <c r="W20" i="40"/>
  <c r="W19" i="40"/>
  <c r="W18" i="40"/>
  <c r="W17" i="40"/>
  <c r="W16" i="40"/>
  <c r="W15" i="40"/>
  <c r="W14" i="40"/>
  <c r="W13" i="40"/>
  <c r="W12" i="40"/>
  <c r="W11" i="40"/>
  <c r="W10" i="40"/>
  <c r="W9" i="40"/>
  <c r="W8" i="40"/>
  <c r="W7" i="40"/>
  <c r="W6" i="40"/>
  <c r="W5" i="40"/>
  <c r="W4" i="40"/>
  <c r="W3" i="40"/>
  <c r="W2" i="40"/>
  <c r="P2" i="40"/>
  <c r="P3" i="40"/>
  <c r="P4" i="40"/>
  <c r="P5" i="40"/>
  <c r="P6" i="40"/>
  <c r="P7" i="40"/>
  <c r="P8" i="40"/>
  <c r="P9" i="40"/>
  <c r="P10" i="40"/>
  <c r="P11" i="40"/>
  <c r="P12" i="40"/>
  <c r="P13" i="40"/>
  <c r="P14" i="40"/>
  <c r="P15" i="40"/>
  <c r="P16" i="40"/>
  <c r="P17" i="40"/>
  <c r="P18" i="40"/>
  <c r="P19" i="40"/>
  <c r="P20" i="40"/>
  <c r="P21" i="40"/>
  <c r="P22" i="40"/>
  <c r="P23" i="40"/>
  <c r="P24" i="40"/>
  <c r="P25" i="40"/>
  <c r="P26" i="40"/>
  <c r="P27" i="40"/>
  <c r="P28" i="40"/>
  <c r="P29" i="40"/>
  <c r="P30" i="40"/>
  <c r="P31" i="40"/>
  <c r="P32" i="40"/>
  <c r="P33" i="40"/>
  <c r="P34" i="40"/>
  <c r="P35" i="40"/>
  <c r="P36" i="40"/>
  <c r="P37" i="40"/>
  <c r="P38" i="40"/>
  <c r="P39" i="40"/>
  <c r="P40" i="40"/>
  <c r="P41" i="40"/>
  <c r="P42" i="40"/>
  <c r="P43" i="40"/>
  <c r="P44" i="40"/>
  <c r="P45" i="40"/>
  <c r="P46" i="40"/>
  <c r="P47" i="40"/>
  <c r="P48" i="40"/>
  <c r="P49" i="40"/>
  <c r="P50" i="40"/>
  <c r="P51" i="40"/>
  <c r="P52" i="40"/>
  <c r="P53" i="40"/>
  <c r="P54" i="40"/>
  <c r="P55" i="40"/>
  <c r="P56" i="40"/>
  <c r="P57" i="40"/>
  <c r="P58" i="40"/>
  <c r="P59" i="40"/>
  <c r="P60" i="40"/>
  <c r="P61" i="40"/>
  <c r="P62" i="40"/>
  <c r="P63" i="40"/>
  <c r="P64" i="40"/>
  <c r="P65" i="40"/>
  <c r="P66" i="40"/>
  <c r="P67" i="40"/>
  <c r="P68" i="40"/>
  <c r="P69" i="40"/>
  <c r="P70" i="40"/>
  <c r="P71" i="40"/>
  <c r="P72" i="40"/>
  <c r="P73" i="40"/>
  <c r="P74" i="40"/>
  <c r="P75" i="40"/>
  <c r="P76" i="40"/>
  <c r="P77" i="40"/>
  <c r="P78" i="40"/>
  <c r="P79" i="40"/>
  <c r="P80" i="40"/>
  <c r="P81" i="40"/>
  <c r="P82" i="40"/>
  <c r="P83" i="40"/>
  <c r="P84" i="40"/>
  <c r="P85" i="40"/>
  <c r="P86" i="40"/>
  <c r="P87" i="40"/>
  <c r="P88" i="40"/>
  <c r="P89" i="40"/>
  <c r="P90" i="40"/>
  <c r="P91" i="40"/>
  <c r="P92" i="40"/>
  <c r="P93" i="40"/>
  <c r="P94" i="40"/>
  <c r="P95" i="40"/>
  <c r="P96" i="40"/>
  <c r="P97" i="40"/>
  <c r="P98" i="40"/>
  <c r="P99" i="40"/>
  <c r="P100" i="40"/>
  <c r="P101" i="40"/>
  <c r="P102" i="40"/>
  <c r="P103" i="40"/>
  <c r="P104" i="40"/>
  <c r="P105" i="40"/>
  <c r="P106" i="40"/>
  <c r="P107" i="40"/>
  <c r="P108" i="40"/>
  <c r="P109" i="40"/>
  <c r="P110" i="40"/>
  <c r="P111" i="40"/>
  <c r="P112" i="40"/>
  <c r="P113" i="40"/>
  <c r="P114" i="40"/>
  <c r="P115" i="40"/>
  <c r="P116" i="40"/>
  <c r="P117" i="40"/>
  <c r="P118" i="40"/>
  <c r="P119" i="40"/>
  <c r="P120" i="40"/>
  <c r="P121" i="40"/>
  <c r="P122" i="40"/>
  <c r="P123" i="40"/>
  <c r="P124" i="40"/>
  <c r="P125" i="40"/>
  <c r="P126" i="40"/>
  <c r="P127" i="40"/>
  <c r="P128" i="40"/>
  <c r="P129" i="40"/>
  <c r="P130" i="40"/>
  <c r="P131" i="40"/>
  <c r="P132" i="40"/>
  <c r="P133" i="40"/>
  <c r="P134" i="40"/>
  <c r="P135" i="40"/>
  <c r="P136" i="40"/>
  <c r="P137" i="40"/>
  <c r="P138" i="40"/>
  <c r="P139" i="40"/>
  <c r="P140" i="40"/>
  <c r="P141" i="40"/>
  <c r="P142" i="40"/>
  <c r="P143" i="40"/>
  <c r="P144" i="40"/>
  <c r="P145" i="40"/>
  <c r="P146" i="40"/>
  <c r="P147" i="40"/>
  <c r="P148" i="40"/>
  <c r="P149" i="40"/>
  <c r="P150" i="40"/>
  <c r="P151" i="40"/>
  <c r="P152" i="40"/>
  <c r="P153" i="40"/>
  <c r="P154" i="40"/>
  <c r="P155" i="40"/>
  <c r="P156" i="40"/>
  <c r="P157" i="40"/>
  <c r="P158" i="40"/>
  <c r="P159" i="40"/>
  <c r="P160" i="40"/>
  <c r="P161" i="40"/>
  <c r="P162" i="40"/>
  <c r="P163" i="40"/>
  <c r="P164" i="40"/>
  <c r="P165" i="40"/>
  <c r="P166" i="40"/>
  <c r="P167" i="40"/>
  <c r="P168" i="40"/>
  <c r="P169" i="40"/>
  <c r="P170" i="40"/>
  <c r="P171" i="40"/>
  <c r="P172" i="40"/>
  <c r="P173" i="40"/>
  <c r="P174" i="40"/>
  <c r="P175" i="40"/>
  <c r="P176" i="40"/>
  <c r="P177" i="40"/>
  <c r="P178" i="40"/>
  <c r="P179" i="40"/>
  <c r="P180" i="40"/>
  <c r="P181" i="40"/>
  <c r="P182" i="40"/>
  <c r="P183" i="40"/>
  <c r="P184" i="40"/>
  <c r="P185" i="40"/>
  <c r="P186" i="40"/>
  <c r="P187" i="40"/>
  <c r="P188" i="40"/>
  <c r="P189" i="40"/>
  <c r="P190" i="40"/>
  <c r="P191" i="40"/>
  <c r="P192" i="40"/>
  <c r="P193" i="40"/>
  <c r="P194" i="40"/>
  <c r="P195" i="40"/>
  <c r="P196" i="40"/>
  <c r="P197" i="40"/>
  <c r="P198" i="40"/>
  <c r="P199" i="40"/>
  <c r="P200" i="40"/>
  <c r="P201" i="40"/>
  <c r="P202" i="40"/>
  <c r="P203" i="40"/>
  <c r="P204" i="40"/>
  <c r="P205" i="40"/>
  <c r="P206" i="40"/>
  <c r="P207" i="40"/>
  <c r="P208" i="40"/>
  <c r="P209" i="40"/>
  <c r="P210" i="40"/>
  <c r="P211" i="40"/>
  <c r="P212" i="40"/>
  <c r="P213" i="40"/>
  <c r="P214" i="40"/>
  <c r="P215" i="40"/>
  <c r="P216" i="40"/>
  <c r="P217" i="40"/>
  <c r="P218" i="40"/>
  <c r="P219" i="40"/>
  <c r="P220" i="40"/>
  <c r="P221" i="40"/>
  <c r="P222" i="40"/>
  <c r="P223" i="40"/>
  <c r="P224" i="40"/>
  <c r="P225" i="40"/>
  <c r="P226" i="40"/>
  <c r="P227" i="40"/>
  <c r="P228" i="40"/>
  <c r="P229" i="40"/>
  <c r="P230" i="40"/>
  <c r="P231" i="40"/>
  <c r="P232" i="40"/>
  <c r="P233" i="40"/>
  <c r="P234" i="40"/>
  <c r="P235" i="40"/>
  <c r="P236" i="40"/>
  <c r="P237" i="40"/>
  <c r="P238" i="40"/>
  <c r="P239" i="40"/>
  <c r="P240" i="40"/>
  <c r="P241" i="40"/>
  <c r="P242" i="40"/>
  <c r="P243" i="40"/>
  <c r="P244" i="40"/>
  <c r="P245" i="40"/>
  <c r="P246" i="40"/>
  <c r="P247" i="40"/>
  <c r="P248" i="40"/>
  <c r="P249" i="40"/>
  <c r="P250" i="40"/>
  <c r="P251" i="40"/>
  <c r="P252" i="40"/>
  <c r="P253" i="40"/>
  <c r="P254" i="40"/>
  <c r="P255" i="40"/>
  <c r="P256" i="40"/>
  <c r="P257" i="40"/>
  <c r="P258" i="40"/>
  <c r="P259" i="40"/>
  <c r="P260" i="40"/>
  <c r="P261" i="40"/>
  <c r="P262" i="40"/>
  <c r="P263" i="40"/>
  <c r="P264" i="40"/>
  <c r="P265" i="40"/>
  <c r="P266" i="40"/>
  <c r="P267" i="40"/>
  <c r="P268" i="40"/>
  <c r="P269" i="40"/>
  <c r="P270" i="40"/>
  <c r="P271" i="40"/>
  <c r="P272" i="40"/>
  <c r="P273" i="40"/>
  <c r="P274" i="40"/>
  <c r="P275" i="40"/>
  <c r="P276" i="40"/>
  <c r="P277" i="40"/>
  <c r="P278" i="40"/>
  <c r="P279" i="40"/>
  <c r="P280" i="40"/>
  <c r="P281" i="40"/>
  <c r="P282" i="40"/>
  <c r="P283" i="40"/>
  <c r="P2" i="39"/>
  <c r="P3" i="39"/>
  <c r="P4" i="39"/>
  <c r="P5" i="39"/>
  <c r="P6" i="39"/>
  <c r="P7" i="39"/>
  <c r="P8" i="39"/>
  <c r="P9" i="39"/>
  <c r="P10" i="39"/>
  <c r="P11" i="39"/>
  <c r="P12" i="39"/>
  <c r="P13" i="39"/>
  <c r="P14" i="39"/>
  <c r="P15" i="39"/>
  <c r="P16" i="39"/>
  <c r="P17" i="39"/>
  <c r="P18" i="39"/>
  <c r="P19" i="39"/>
  <c r="P20" i="39"/>
  <c r="P21" i="39"/>
  <c r="P22" i="39"/>
  <c r="P23" i="39"/>
  <c r="P24" i="39"/>
  <c r="P25" i="39"/>
  <c r="P26" i="39"/>
  <c r="P27" i="39"/>
  <c r="P28" i="39"/>
  <c r="P29" i="39"/>
  <c r="P30" i="39"/>
  <c r="P31" i="39"/>
  <c r="P32" i="39"/>
  <c r="P33" i="39"/>
  <c r="P34" i="39"/>
  <c r="P35" i="39"/>
  <c r="P36" i="39"/>
  <c r="P37" i="39"/>
  <c r="P38" i="39"/>
  <c r="P39" i="39"/>
  <c r="P40" i="39"/>
  <c r="P41" i="39"/>
  <c r="P42" i="39"/>
  <c r="P43" i="39"/>
  <c r="P44" i="39"/>
  <c r="P45" i="39"/>
  <c r="P46" i="39"/>
  <c r="P47" i="39"/>
  <c r="P48" i="39"/>
  <c r="P49" i="39"/>
  <c r="P50" i="39"/>
  <c r="P51" i="39"/>
  <c r="P52" i="39"/>
  <c r="P53" i="39"/>
  <c r="P54" i="39"/>
  <c r="P55" i="39"/>
  <c r="P56" i="39"/>
  <c r="P57" i="39"/>
  <c r="P58" i="39"/>
  <c r="P59" i="39"/>
  <c r="P60" i="39"/>
  <c r="P61" i="39"/>
  <c r="P62" i="39"/>
  <c r="P63" i="39"/>
  <c r="P64" i="39"/>
  <c r="P65" i="39"/>
  <c r="P66" i="39"/>
  <c r="P67" i="39"/>
  <c r="P68" i="39"/>
  <c r="P69" i="39"/>
  <c r="P70" i="39"/>
  <c r="P71" i="39"/>
  <c r="P72" i="39"/>
  <c r="P73" i="39"/>
  <c r="P74" i="39"/>
  <c r="P75" i="39"/>
  <c r="P76" i="39"/>
  <c r="P77" i="39"/>
  <c r="P78" i="39"/>
  <c r="P79" i="39"/>
  <c r="P80" i="39"/>
  <c r="P81" i="39"/>
  <c r="P82" i="39"/>
  <c r="P83" i="39"/>
  <c r="P84" i="39"/>
  <c r="P85" i="39"/>
  <c r="P86" i="39"/>
  <c r="P87" i="39"/>
  <c r="P88" i="39"/>
  <c r="P89" i="39"/>
  <c r="P90" i="39"/>
  <c r="P91" i="39"/>
  <c r="P92" i="39"/>
  <c r="P93" i="39"/>
  <c r="P94" i="39"/>
  <c r="P95" i="39"/>
  <c r="P96" i="39"/>
  <c r="P97" i="39"/>
  <c r="P98" i="39"/>
  <c r="P99" i="39"/>
  <c r="P100" i="39"/>
  <c r="P101" i="39"/>
  <c r="P102" i="39"/>
  <c r="P103" i="39"/>
  <c r="P104" i="39"/>
  <c r="P105" i="39"/>
  <c r="P106" i="39"/>
  <c r="P107" i="39"/>
  <c r="P108" i="39"/>
  <c r="P109" i="39"/>
  <c r="P110" i="39"/>
  <c r="P111" i="39"/>
  <c r="P112" i="39"/>
  <c r="P113" i="39"/>
  <c r="P114" i="39"/>
  <c r="P115" i="39"/>
  <c r="P116" i="39"/>
  <c r="P117" i="39"/>
  <c r="P118" i="39"/>
  <c r="P119" i="39"/>
  <c r="P120" i="39"/>
  <c r="P121" i="39"/>
  <c r="P122" i="39"/>
  <c r="P123" i="39"/>
  <c r="P124" i="39"/>
  <c r="P125" i="39"/>
  <c r="P126" i="39"/>
  <c r="P127" i="39"/>
  <c r="P128" i="39"/>
  <c r="P129" i="39"/>
  <c r="P130" i="39"/>
  <c r="P131" i="39"/>
  <c r="P132" i="39"/>
  <c r="P133" i="39"/>
  <c r="P134" i="39"/>
  <c r="P135" i="39"/>
  <c r="P136" i="39"/>
  <c r="P137" i="39"/>
  <c r="P138" i="39"/>
  <c r="P139" i="39"/>
  <c r="P140" i="39"/>
  <c r="P141" i="39"/>
  <c r="P142" i="39"/>
  <c r="P143" i="39"/>
  <c r="P144" i="39"/>
  <c r="P145" i="39"/>
  <c r="P146" i="39"/>
  <c r="P147" i="39"/>
  <c r="P148" i="39"/>
  <c r="P149" i="39"/>
  <c r="P150" i="39"/>
  <c r="P151" i="39"/>
  <c r="P152" i="39"/>
  <c r="P153" i="39"/>
  <c r="P154" i="39"/>
  <c r="P155" i="39"/>
  <c r="P156" i="39"/>
  <c r="P157" i="39"/>
  <c r="P158" i="39"/>
  <c r="P159" i="39"/>
  <c r="P160" i="39"/>
  <c r="P161" i="39"/>
  <c r="P162" i="39"/>
  <c r="P163" i="39"/>
  <c r="P164" i="39"/>
  <c r="P165" i="39"/>
  <c r="P166" i="39"/>
  <c r="P167" i="39"/>
  <c r="P168" i="39"/>
  <c r="P169" i="39"/>
  <c r="P170" i="39"/>
  <c r="P171" i="39"/>
  <c r="P172" i="39"/>
  <c r="P173" i="39"/>
  <c r="P174" i="39"/>
  <c r="P175" i="39"/>
  <c r="P176" i="39"/>
  <c r="P177" i="39"/>
  <c r="P178" i="39"/>
  <c r="P179" i="39"/>
  <c r="P180" i="39"/>
  <c r="P181" i="39"/>
  <c r="P182" i="39"/>
  <c r="P183" i="39"/>
  <c r="P184" i="39"/>
  <c r="P185" i="39"/>
  <c r="P186" i="39"/>
  <c r="P187" i="39"/>
  <c r="P188" i="39"/>
  <c r="P189" i="39"/>
  <c r="P190" i="39"/>
  <c r="P191" i="39"/>
  <c r="P192" i="39"/>
  <c r="P193" i="39"/>
  <c r="P194" i="39"/>
  <c r="P195" i="39"/>
  <c r="P196" i="39"/>
  <c r="P197" i="39"/>
  <c r="P198" i="39"/>
  <c r="P199" i="39"/>
  <c r="P200" i="39"/>
  <c r="P201" i="39"/>
  <c r="P202" i="39"/>
  <c r="P203" i="39"/>
  <c r="P204" i="39"/>
  <c r="P205" i="39"/>
  <c r="P206" i="39"/>
  <c r="P207" i="39"/>
  <c r="P208" i="39"/>
  <c r="P209" i="39"/>
  <c r="P210" i="39"/>
  <c r="P211" i="39"/>
  <c r="P212" i="39"/>
  <c r="P213" i="39"/>
  <c r="P214" i="39"/>
  <c r="P215" i="39"/>
  <c r="P216" i="39"/>
  <c r="P217" i="39"/>
  <c r="P218" i="39"/>
  <c r="P219" i="39"/>
  <c r="P220" i="39"/>
  <c r="P221" i="39"/>
  <c r="P222" i="39"/>
  <c r="P223" i="39"/>
  <c r="P224" i="39"/>
  <c r="P225" i="39"/>
  <c r="P226" i="39"/>
  <c r="P227" i="39"/>
  <c r="P228" i="39"/>
  <c r="P229" i="39"/>
  <c r="P230" i="39"/>
  <c r="P231" i="39"/>
  <c r="P232" i="39"/>
  <c r="P233" i="39"/>
  <c r="P234" i="39"/>
  <c r="P235" i="39"/>
  <c r="P236" i="39"/>
  <c r="P237" i="39"/>
  <c r="P238" i="39"/>
  <c r="P239" i="39"/>
  <c r="P240" i="39"/>
  <c r="P241" i="39"/>
  <c r="P242" i="39"/>
  <c r="P243" i="39"/>
  <c r="P244" i="39"/>
  <c r="P245" i="39"/>
  <c r="P246" i="39"/>
  <c r="P247" i="39"/>
  <c r="P248" i="39"/>
  <c r="P249" i="39"/>
  <c r="P250" i="39"/>
  <c r="P251" i="39"/>
  <c r="P252" i="39"/>
  <c r="P253" i="39"/>
  <c r="P254" i="39"/>
  <c r="P255" i="39"/>
  <c r="P256" i="39"/>
  <c r="P257" i="39"/>
  <c r="P258" i="39"/>
  <c r="P259" i="39"/>
  <c r="P260" i="39"/>
  <c r="P261" i="39"/>
  <c r="P262" i="39"/>
  <c r="P263" i="39"/>
  <c r="P264" i="39"/>
  <c r="P265" i="39"/>
  <c r="P266" i="39"/>
  <c r="P267" i="39"/>
  <c r="P268" i="39"/>
  <c r="P269" i="39"/>
  <c r="P270" i="39"/>
  <c r="P271" i="39"/>
  <c r="P272" i="39"/>
  <c r="P273" i="39"/>
  <c r="P274" i="39"/>
  <c r="P275" i="39"/>
  <c r="P276" i="39"/>
  <c r="P277" i="39"/>
  <c r="P278" i="39"/>
  <c r="P279" i="39"/>
  <c r="P280" i="39"/>
  <c r="P281" i="39"/>
  <c r="P282" i="39"/>
  <c r="P283" i="39"/>
  <c r="V283" i="38"/>
  <c r="W283" i="38" s="1"/>
  <c r="T283" i="38"/>
  <c r="U283" i="38" s="1"/>
  <c r="W282" i="38"/>
  <c r="V282" i="38"/>
  <c r="T282" i="38"/>
  <c r="U282" i="38" s="1"/>
  <c r="W281" i="38"/>
  <c r="V281" i="38"/>
  <c r="T281" i="38"/>
  <c r="U281" i="38" s="1"/>
  <c r="W280" i="38"/>
  <c r="V280" i="38"/>
  <c r="T280" i="38"/>
  <c r="U280" i="38" s="1"/>
  <c r="W279" i="38"/>
  <c r="V279" i="38"/>
  <c r="U279" i="38"/>
  <c r="T279" i="38"/>
  <c r="V278" i="38"/>
  <c r="W278" i="38" s="1"/>
  <c r="U278" i="38"/>
  <c r="T278" i="38"/>
  <c r="V277" i="38"/>
  <c r="W277" i="38" s="1"/>
  <c r="T277" i="38"/>
  <c r="U277" i="38" s="1"/>
  <c r="W276" i="38"/>
  <c r="V276" i="38"/>
  <c r="T276" i="38"/>
  <c r="U276" i="38" s="1"/>
  <c r="W275" i="38"/>
  <c r="V275" i="38"/>
  <c r="T275" i="38"/>
  <c r="U275" i="38" s="1"/>
  <c r="W274" i="38"/>
  <c r="V274" i="38"/>
  <c r="T274" i="38"/>
  <c r="U274" i="38" s="1"/>
  <c r="W273" i="38"/>
  <c r="V273" i="38"/>
  <c r="U273" i="38"/>
  <c r="T273" i="38"/>
  <c r="V272" i="38"/>
  <c r="W272" i="38" s="1"/>
  <c r="U272" i="38"/>
  <c r="T272" i="38"/>
  <c r="V271" i="38"/>
  <c r="W271" i="38" s="1"/>
  <c r="T271" i="38"/>
  <c r="U271" i="38" s="1"/>
  <c r="W270" i="38"/>
  <c r="V270" i="38"/>
  <c r="T270" i="38"/>
  <c r="U270" i="38" s="1"/>
  <c r="W269" i="38"/>
  <c r="V269" i="38"/>
  <c r="T269" i="38"/>
  <c r="U269" i="38" s="1"/>
  <c r="W268" i="38"/>
  <c r="V268" i="38"/>
  <c r="T268" i="38"/>
  <c r="U268" i="38" s="1"/>
  <c r="W267" i="38"/>
  <c r="V267" i="38"/>
  <c r="U267" i="38"/>
  <c r="T267" i="38"/>
  <c r="V266" i="38"/>
  <c r="W266" i="38" s="1"/>
  <c r="U266" i="38"/>
  <c r="T266" i="38"/>
  <c r="V265" i="38"/>
  <c r="W265" i="38" s="1"/>
  <c r="T265" i="38"/>
  <c r="U265" i="38" s="1"/>
  <c r="W264" i="38"/>
  <c r="V264" i="38"/>
  <c r="T264" i="38"/>
  <c r="U264" i="38" s="1"/>
  <c r="W263" i="38"/>
  <c r="V263" i="38"/>
  <c r="T263" i="38"/>
  <c r="U263" i="38" s="1"/>
  <c r="W262" i="38"/>
  <c r="V262" i="38"/>
  <c r="T262" i="38"/>
  <c r="U262" i="38" s="1"/>
  <c r="W261" i="38"/>
  <c r="V261" i="38"/>
  <c r="U261" i="38"/>
  <c r="T261" i="38"/>
  <c r="V260" i="38"/>
  <c r="W260" i="38" s="1"/>
  <c r="U260" i="38"/>
  <c r="T260" i="38"/>
  <c r="V259" i="38"/>
  <c r="W259" i="38" s="1"/>
  <c r="T259" i="38"/>
  <c r="U259" i="38" s="1"/>
  <c r="W258" i="38"/>
  <c r="V258" i="38"/>
  <c r="T258" i="38"/>
  <c r="U258" i="38" s="1"/>
  <c r="W257" i="38"/>
  <c r="V257" i="38"/>
  <c r="T257" i="38"/>
  <c r="U257" i="38" s="1"/>
  <c r="W256" i="38"/>
  <c r="V256" i="38"/>
  <c r="T256" i="38"/>
  <c r="U256" i="38" s="1"/>
  <c r="W255" i="38"/>
  <c r="V255" i="38"/>
  <c r="U255" i="38"/>
  <c r="T255" i="38"/>
  <c r="V254" i="38"/>
  <c r="W254" i="38" s="1"/>
  <c r="U254" i="38"/>
  <c r="T254" i="38"/>
  <c r="V253" i="38"/>
  <c r="W253" i="38" s="1"/>
  <c r="T253" i="38"/>
  <c r="U253" i="38" s="1"/>
  <c r="W252" i="38"/>
  <c r="V252" i="38"/>
  <c r="T252" i="38"/>
  <c r="U252" i="38" s="1"/>
  <c r="W251" i="38"/>
  <c r="V251" i="38"/>
  <c r="T251" i="38"/>
  <c r="U251" i="38" s="1"/>
  <c r="W250" i="38"/>
  <c r="V250" i="38"/>
  <c r="T250" i="38"/>
  <c r="U250" i="38" s="1"/>
  <c r="W249" i="38"/>
  <c r="V249" i="38"/>
  <c r="U249" i="38"/>
  <c r="T249" i="38"/>
  <c r="V248" i="38"/>
  <c r="W248" i="38" s="1"/>
  <c r="U248" i="38"/>
  <c r="T248" i="38"/>
  <c r="V247" i="38"/>
  <c r="W247" i="38" s="1"/>
  <c r="T247" i="38"/>
  <c r="U247" i="38" s="1"/>
  <c r="W246" i="38"/>
  <c r="V246" i="38"/>
  <c r="T246" i="38"/>
  <c r="U246" i="38" s="1"/>
  <c r="W245" i="38"/>
  <c r="V245" i="38"/>
  <c r="T245" i="38"/>
  <c r="U245" i="38" s="1"/>
  <c r="W244" i="38"/>
  <c r="V244" i="38"/>
  <c r="T244" i="38"/>
  <c r="U244" i="38" s="1"/>
  <c r="W243" i="38"/>
  <c r="V243" i="38"/>
  <c r="U243" i="38"/>
  <c r="T243" i="38"/>
  <c r="V242" i="38"/>
  <c r="W242" i="38" s="1"/>
  <c r="U242" i="38"/>
  <c r="T242" i="38"/>
  <c r="V241" i="38"/>
  <c r="W241" i="38" s="1"/>
  <c r="T241" i="38"/>
  <c r="U241" i="38" s="1"/>
  <c r="W240" i="38"/>
  <c r="V240" i="38"/>
  <c r="T240" i="38"/>
  <c r="U240" i="38" s="1"/>
  <c r="W239" i="38"/>
  <c r="V239" i="38"/>
  <c r="T239" i="38"/>
  <c r="U239" i="38" s="1"/>
  <c r="W238" i="38"/>
  <c r="V238" i="38"/>
  <c r="T238" i="38"/>
  <c r="U238" i="38" s="1"/>
  <c r="W237" i="38"/>
  <c r="V237" i="38"/>
  <c r="U237" i="38"/>
  <c r="T237" i="38"/>
  <c r="V236" i="38"/>
  <c r="W236" i="38" s="1"/>
  <c r="U236" i="38"/>
  <c r="T236" i="38"/>
  <c r="V235" i="38"/>
  <c r="W235" i="38" s="1"/>
  <c r="T235" i="38"/>
  <c r="U235" i="38" s="1"/>
  <c r="W234" i="38"/>
  <c r="V234" i="38"/>
  <c r="T234" i="38"/>
  <c r="U234" i="38" s="1"/>
  <c r="W233" i="38"/>
  <c r="V233" i="38"/>
  <c r="T233" i="38"/>
  <c r="U233" i="38" s="1"/>
  <c r="W232" i="38"/>
  <c r="V232" i="38"/>
  <c r="T232" i="38"/>
  <c r="U232" i="38" s="1"/>
  <c r="W231" i="38"/>
  <c r="V231" i="38"/>
  <c r="U231" i="38"/>
  <c r="T231" i="38"/>
  <c r="V230" i="38"/>
  <c r="W230" i="38" s="1"/>
  <c r="U230" i="38"/>
  <c r="T230" i="38"/>
  <c r="V229" i="38"/>
  <c r="W229" i="38" s="1"/>
  <c r="T229" i="38"/>
  <c r="U229" i="38" s="1"/>
  <c r="W228" i="38"/>
  <c r="V228" i="38"/>
  <c r="T228" i="38"/>
  <c r="U228" i="38" s="1"/>
  <c r="W227" i="38"/>
  <c r="V227" i="38"/>
  <c r="T227" i="38"/>
  <c r="U227" i="38" s="1"/>
  <c r="W226" i="38"/>
  <c r="V226" i="38"/>
  <c r="T226" i="38"/>
  <c r="U226" i="38" s="1"/>
  <c r="W225" i="38"/>
  <c r="V225" i="38"/>
  <c r="U225" i="38"/>
  <c r="T225" i="38"/>
  <c r="V224" i="38"/>
  <c r="W224" i="38" s="1"/>
  <c r="U224" i="38"/>
  <c r="T224" i="38"/>
  <c r="V223" i="38"/>
  <c r="W223" i="38" s="1"/>
  <c r="T223" i="38"/>
  <c r="U223" i="38" s="1"/>
  <c r="W222" i="38"/>
  <c r="V222" i="38"/>
  <c r="T222" i="38"/>
  <c r="U222" i="38" s="1"/>
  <c r="W221" i="38"/>
  <c r="V221" i="38"/>
  <c r="T221" i="38"/>
  <c r="U221" i="38" s="1"/>
  <c r="W220" i="38"/>
  <c r="V220" i="38"/>
  <c r="T220" i="38"/>
  <c r="U220" i="38" s="1"/>
  <c r="W219" i="38"/>
  <c r="V219" i="38"/>
  <c r="U219" i="38"/>
  <c r="T219" i="38"/>
  <c r="V218" i="38"/>
  <c r="W218" i="38" s="1"/>
  <c r="U218" i="38"/>
  <c r="T218" i="38"/>
  <c r="V217" i="38"/>
  <c r="W217" i="38" s="1"/>
  <c r="T217" i="38"/>
  <c r="U217" i="38" s="1"/>
  <c r="W216" i="38"/>
  <c r="V216" i="38"/>
  <c r="T216" i="38"/>
  <c r="U216" i="38" s="1"/>
  <c r="W215" i="38"/>
  <c r="V215" i="38"/>
  <c r="T215" i="38"/>
  <c r="U215" i="38" s="1"/>
  <c r="W214" i="38"/>
  <c r="V214" i="38"/>
  <c r="T214" i="38"/>
  <c r="U214" i="38" s="1"/>
  <c r="W213" i="38"/>
  <c r="V213" i="38"/>
  <c r="U213" i="38"/>
  <c r="T213" i="38"/>
  <c r="V212" i="38"/>
  <c r="W212" i="38" s="1"/>
  <c r="U212" i="38"/>
  <c r="T212" i="38"/>
  <c r="V211" i="38"/>
  <c r="W211" i="38" s="1"/>
  <c r="T211" i="38"/>
  <c r="U211" i="38" s="1"/>
  <c r="W210" i="38"/>
  <c r="V210" i="38"/>
  <c r="T210" i="38"/>
  <c r="U210" i="38" s="1"/>
  <c r="W209" i="38"/>
  <c r="V209" i="38"/>
  <c r="U209" i="38"/>
  <c r="T209" i="38"/>
  <c r="W204" i="38"/>
  <c r="V204" i="38"/>
  <c r="U204" i="38"/>
  <c r="T204" i="38"/>
  <c r="W203" i="38"/>
  <c r="V203" i="38"/>
  <c r="U203" i="38"/>
  <c r="T203" i="38"/>
  <c r="V202" i="38"/>
  <c r="W202" i="38" s="1"/>
  <c r="U202" i="38"/>
  <c r="T202" i="38"/>
  <c r="W201" i="38"/>
  <c r="V201" i="38"/>
  <c r="U201" i="38"/>
  <c r="T201" i="38"/>
  <c r="W200" i="38"/>
  <c r="V200" i="38"/>
  <c r="U200" i="38"/>
  <c r="T200" i="38"/>
  <c r="W199" i="38"/>
  <c r="V199" i="38"/>
  <c r="U199" i="38"/>
  <c r="T199" i="38"/>
  <c r="W198" i="38"/>
  <c r="V198" i="38"/>
  <c r="U198" i="38"/>
  <c r="T198" i="38"/>
  <c r="W197" i="38"/>
  <c r="V197" i="38"/>
  <c r="U197" i="38"/>
  <c r="T197" i="38"/>
  <c r="V196" i="38"/>
  <c r="W196" i="38" s="1"/>
  <c r="U196" i="38"/>
  <c r="T196" i="38"/>
  <c r="W195" i="38"/>
  <c r="V195" i="38"/>
  <c r="U195" i="38"/>
  <c r="T195" i="38"/>
  <c r="W194" i="38"/>
  <c r="V194" i="38"/>
  <c r="U194" i="38"/>
  <c r="T194" i="38"/>
  <c r="W193" i="38"/>
  <c r="V193" i="38"/>
  <c r="U193" i="38"/>
  <c r="T193" i="38"/>
  <c r="W192" i="38"/>
  <c r="V192" i="38"/>
  <c r="U192" i="38"/>
  <c r="T192" i="38"/>
  <c r="W191" i="38"/>
  <c r="V191" i="38"/>
  <c r="U191" i="38"/>
  <c r="T191" i="38"/>
  <c r="V190" i="38"/>
  <c r="W190" i="38" s="1"/>
  <c r="U190" i="38"/>
  <c r="T190" i="38"/>
  <c r="W189" i="38"/>
  <c r="V189" i="38"/>
  <c r="U189" i="38"/>
  <c r="T189" i="38"/>
  <c r="W188" i="38"/>
  <c r="V188" i="38"/>
  <c r="U188" i="38"/>
  <c r="T188" i="38"/>
  <c r="W187" i="38"/>
  <c r="V187" i="38"/>
  <c r="U187" i="38"/>
  <c r="T187" i="38"/>
  <c r="W186" i="38"/>
  <c r="V186" i="38"/>
  <c r="U186" i="38"/>
  <c r="T186" i="38"/>
  <c r="W185" i="38"/>
  <c r="V185" i="38"/>
  <c r="U185" i="38"/>
  <c r="T185" i="38"/>
  <c r="V184" i="38"/>
  <c r="W184" i="38" s="1"/>
  <c r="U184" i="38"/>
  <c r="T184" i="38"/>
  <c r="W183" i="38"/>
  <c r="V183" i="38"/>
  <c r="U183" i="38"/>
  <c r="T183" i="38"/>
  <c r="W182" i="38"/>
  <c r="V182" i="38"/>
  <c r="U182" i="38"/>
  <c r="T182" i="38"/>
  <c r="W181" i="38"/>
  <c r="V181" i="38"/>
  <c r="U181" i="38"/>
  <c r="T181" i="38"/>
  <c r="W180" i="38"/>
  <c r="V180" i="38"/>
  <c r="U180" i="38"/>
  <c r="T180" i="38"/>
  <c r="W179" i="38"/>
  <c r="V179" i="38"/>
  <c r="U179" i="38"/>
  <c r="T179" i="38"/>
  <c r="V178" i="38"/>
  <c r="W178" i="38" s="1"/>
  <c r="U178" i="38"/>
  <c r="T178" i="38"/>
  <c r="W177" i="38"/>
  <c r="V177" i="38"/>
  <c r="U177" i="38"/>
  <c r="T177" i="38"/>
  <c r="W176" i="38"/>
  <c r="V176" i="38"/>
  <c r="U176" i="38"/>
  <c r="T176" i="38"/>
  <c r="W175" i="38"/>
  <c r="V175" i="38"/>
  <c r="U175" i="38"/>
  <c r="T175" i="38"/>
  <c r="W174" i="38"/>
  <c r="V174" i="38"/>
  <c r="U174" i="38"/>
  <c r="T174" i="38"/>
  <c r="W173" i="38"/>
  <c r="V173" i="38"/>
  <c r="U173" i="38"/>
  <c r="T173" i="38"/>
  <c r="V172" i="38"/>
  <c r="W172" i="38" s="1"/>
  <c r="U172" i="38"/>
  <c r="T172" i="38"/>
  <c r="W171" i="38"/>
  <c r="V171" i="38"/>
  <c r="U171" i="38"/>
  <c r="T171" i="38"/>
  <c r="W170" i="38"/>
  <c r="V170" i="38"/>
  <c r="U170" i="38"/>
  <c r="T170" i="38"/>
  <c r="W169" i="38"/>
  <c r="V169" i="38"/>
  <c r="U169" i="38"/>
  <c r="T169" i="38"/>
  <c r="W168" i="38"/>
  <c r="V168" i="38"/>
  <c r="U168" i="38"/>
  <c r="T168" i="38"/>
  <c r="W167" i="38"/>
  <c r="V167" i="38"/>
  <c r="U167" i="38"/>
  <c r="T167" i="38"/>
  <c r="V166" i="38"/>
  <c r="W166" i="38" s="1"/>
  <c r="U166" i="38"/>
  <c r="T166" i="38"/>
  <c r="W165" i="38"/>
  <c r="V165" i="38"/>
  <c r="U165" i="38"/>
  <c r="T165" i="38"/>
  <c r="W164" i="38"/>
  <c r="V164" i="38"/>
  <c r="U164" i="38"/>
  <c r="T164" i="38"/>
  <c r="W163" i="38"/>
  <c r="V163" i="38"/>
  <c r="U163" i="38"/>
  <c r="T163" i="38"/>
  <c r="W162" i="38"/>
  <c r="V162" i="38"/>
  <c r="U162" i="38"/>
  <c r="T162" i="38"/>
  <c r="W161" i="38"/>
  <c r="V161" i="38"/>
  <c r="U161" i="38"/>
  <c r="T161" i="38"/>
  <c r="W160" i="38"/>
  <c r="V160" i="38"/>
  <c r="U160" i="38"/>
  <c r="T160" i="38"/>
  <c r="W159" i="38"/>
  <c r="V159" i="38"/>
  <c r="U159" i="38"/>
  <c r="T159" i="38"/>
  <c r="W158" i="38"/>
  <c r="V158" i="38"/>
  <c r="U158" i="38"/>
  <c r="T158" i="38"/>
  <c r="W157" i="38"/>
  <c r="V157" i="38"/>
  <c r="U157" i="38"/>
  <c r="T157" i="38"/>
  <c r="W156" i="38"/>
  <c r="V156" i="38"/>
  <c r="U156" i="38"/>
  <c r="T156" i="38"/>
  <c r="W155" i="38"/>
  <c r="V155" i="38"/>
  <c r="U155" i="38"/>
  <c r="T155" i="38"/>
  <c r="W154" i="38"/>
  <c r="V154" i="38"/>
  <c r="U154" i="38"/>
  <c r="T154" i="38"/>
  <c r="W153" i="38"/>
  <c r="V153" i="38"/>
  <c r="U153" i="38"/>
  <c r="T153" i="38"/>
  <c r="W152" i="38"/>
  <c r="V152" i="38"/>
  <c r="U152" i="38"/>
  <c r="T152" i="38"/>
  <c r="W151" i="38"/>
  <c r="V151" i="38"/>
  <c r="U151" i="38"/>
  <c r="T151" i="38"/>
  <c r="W150" i="38"/>
  <c r="V150" i="38"/>
  <c r="U150" i="38"/>
  <c r="T150" i="38"/>
  <c r="W149" i="38"/>
  <c r="V149" i="38"/>
  <c r="U149" i="38"/>
  <c r="T149" i="38"/>
  <c r="W148" i="38"/>
  <c r="V148" i="38"/>
  <c r="U148" i="38"/>
  <c r="T148" i="38"/>
  <c r="W147" i="38"/>
  <c r="V147" i="38"/>
  <c r="U147" i="38"/>
  <c r="T147" i="38"/>
  <c r="W146" i="38"/>
  <c r="V146" i="38"/>
  <c r="U146" i="38"/>
  <c r="T146" i="38"/>
  <c r="W145" i="38"/>
  <c r="V145" i="38"/>
  <c r="U145" i="38"/>
  <c r="T145" i="38"/>
  <c r="W144" i="38"/>
  <c r="V144" i="38"/>
  <c r="U144" i="38"/>
  <c r="T144" i="38"/>
  <c r="W143" i="38"/>
  <c r="V143" i="38"/>
  <c r="U143" i="38"/>
  <c r="T143" i="38"/>
  <c r="W142" i="38"/>
  <c r="V142" i="38"/>
  <c r="U142" i="38"/>
  <c r="T142" i="38"/>
  <c r="W141" i="38"/>
  <c r="V141" i="38"/>
  <c r="U141" i="38"/>
  <c r="T141" i="38"/>
  <c r="W140" i="38"/>
  <c r="V140" i="38"/>
  <c r="U140" i="38"/>
  <c r="T140" i="38"/>
  <c r="W139" i="38"/>
  <c r="V139" i="38"/>
  <c r="U139" i="38"/>
  <c r="T139" i="38"/>
  <c r="W138" i="38"/>
  <c r="V138" i="38"/>
  <c r="U138" i="38"/>
  <c r="T138" i="38"/>
  <c r="W137" i="38"/>
  <c r="V137" i="38"/>
  <c r="U137" i="38"/>
  <c r="T137" i="38"/>
  <c r="W136" i="38"/>
  <c r="V136" i="38"/>
  <c r="U136" i="38"/>
  <c r="T136" i="38"/>
  <c r="W135" i="38"/>
  <c r="V135" i="38"/>
  <c r="U135" i="38"/>
  <c r="T135" i="38"/>
  <c r="W134" i="38"/>
  <c r="V134" i="38"/>
  <c r="U134" i="38"/>
  <c r="T134" i="38"/>
  <c r="W133" i="38"/>
  <c r="V133" i="38"/>
  <c r="U133" i="38"/>
  <c r="T133" i="38"/>
  <c r="W132" i="38"/>
  <c r="V132" i="38"/>
  <c r="U132" i="38"/>
  <c r="T132" i="38"/>
  <c r="W131" i="38"/>
  <c r="V131" i="38"/>
  <c r="U131" i="38"/>
  <c r="T131" i="38"/>
  <c r="W130" i="38"/>
  <c r="V130" i="38"/>
  <c r="U130" i="38"/>
  <c r="T130" i="38"/>
  <c r="W129" i="38"/>
  <c r="V129" i="38"/>
  <c r="U129" i="38"/>
  <c r="T129" i="38"/>
  <c r="W128" i="38"/>
  <c r="V128" i="38"/>
  <c r="U128" i="38"/>
  <c r="T128" i="38"/>
  <c r="W127" i="38"/>
  <c r="V127" i="38"/>
  <c r="U127" i="38"/>
  <c r="T127" i="38"/>
  <c r="W126" i="38"/>
  <c r="V126" i="38"/>
  <c r="U126" i="38"/>
  <c r="T126" i="38"/>
  <c r="W125" i="38"/>
  <c r="V125" i="38"/>
  <c r="U125" i="38"/>
  <c r="T125" i="38"/>
  <c r="V124" i="38"/>
  <c r="W124" i="38" s="1"/>
  <c r="U124" i="38"/>
  <c r="T124" i="38"/>
  <c r="W123" i="38"/>
  <c r="V123" i="38"/>
  <c r="U123" i="38"/>
  <c r="T123" i="38"/>
  <c r="W122" i="38"/>
  <c r="V122" i="38"/>
  <c r="U122" i="38"/>
  <c r="T122" i="38"/>
  <c r="W121" i="38"/>
  <c r="V121" i="38"/>
  <c r="U121" i="38"/>
  <c r="T121" i="38"/>
  <c r="W120" i="38"/>
  <c r="V120" i="38"/>
  <c r="U120" i="38"/>
  <c r="T120" i="38"/>
  <c r="W119" i="38"/>
  <c r="V119" i="38"/>
  <c r="U119" i="38"/>
  <c r="T119" i="38"/>
  <c r="W118" i="38"/>
  <c r="V118" i="38"/>
  <c r="U118" i="38"/>
  <c r="T118" i="38"/>
  <c r="W117" i="38"/>
  <c r="V117" i="38"/>
  <c r="U117" i="38"/>
  <c r="T117" i="38"/>
  <c r="W116" i="38"/>
  <c r="V116" i="38"/>
  <c r="U116" i="38"/>
  <c r="T116" i="38"/>
  <c r="W115" i="38"/>
  <c r="V115" i="38"/>
  <c r="U115" i="38"/>
  <c r="T115" i="38"/>
  <c r="W114" i="38"/>
  <c r="V114" i="38"/>
  <c r="U114" i="38"/>
  <c r="T114" i="38"/>
  <c r="W113" i="38"/>
  <c r="V113" i="38"/>
  <c r="U113" i="38"/>
  <c r="T113" i="38"/>
  <c r="W112" i="38"/>
  <c r="V112" i="38"/>
  <c r="U112" i="38"/>
  <c r="T112" i="38"/>
  <c r="W111" i="38"/>
  <c r="V111" i="38"/>
  <c r="U111" i="38"/>
  <c r="T111" i="38"/>
  <c r="W110" i="38"/>
  <c r="V110" i="38"/>
  <c r="U110" i="38"/>
  <c r="T110" i="38"/>
  <c r="W109" i="38"/>
  <c r="V109" i="38"/>
  <c r="U109" i="38"/>
  <c r="T109" i="38"/>
  <c r="W108" i="38"/>
  <c r="V108" i="38"/>
  <c r="U108" i="38"/>
  <c r="T108" i="38"/>
  <c r="W107" i="38"/>
  <c r="V107" i="38"/>
  <c r="U107" i="38"/>
  <c r="T107" i="38"/>
  <c r="W106" i="38"/>
  <c r="V106" i="38"/>
  <c r="U106" i="38"/>
  <c r="T106" i="38"/>
  <c r="W105" i="38"/>
  <c r="V105" i="38"/>
  <c r="U105" i="38"/>
  <c r="T105" i="38"/>
  <c r="W104" i="38"/>
  <c r="V104" i="38"/>
  <c r="U104" i="38"/>
  <c r="T104" i="38"/>
  <c r="W103" i="38"/>
  <c r="V103" i="38"/>
  <c r="U103" i="38"/>
  <c r="T103" i="38"/>
  <c r="W102" i="38"/>
  <c r="V102" i="38"/>
  <c r="U102" i="38"/>
  <c r="T102" i="38"/>
  <c r="W101" i="38"/>
  <c r="V101" i="38"/>
  <c r="U101" i="38"/>
  <c r="T101" i="38"/>
  <c r="W100" i="38"/>
  <c r="V100" i="38"/>
  <c r="U100" i="38"/>
  <c r="T100" i="38"/>
  <c r="W99" i="38"/>
  <c r="V99" i="38"/>
  <c r="U99" i="38"/>
  <c r="T99" i="38"/>
  <c r="W98" i="38"/>
  <c r="V98" i="38"/>
  <c r="U98" i="38"/>
  <c r="T98" i="38"/>
  <c r="W97" i="38"/>
  <c r="V97" i="38"/>
  <c r="U97" i="38"/>
  <c r="T97" i="38"/>
  <c r="W96" i="38"/>
  <c r="V96" i="38"/>
  <c r="U96" i="38"/>
  <c r="T96" i="38"/>
  <c r="W95" i="38"/>
  <c r="V95" i="38"/>
  <c r="U95" i="38"/>
  <c r="T95" i="38"/>
  <c r="W94" i="38"/>
  <c r="V94" i="38"/>
  <c r="U94" i="38"/>
  <c r="T94" i="38"/>
  <c r="W93" i="38"/>
  <c r="V93" i="38"/>
  <c r="U93" i="38"/>
  <c r="T93" i="38"/>
  <c r="W92" i="38"/>
  <c r="V92" i="38"/>
  <c r="U92" i="38"/>
  <c r="T92" i="38"/>
  <c r="W91" i="38"/>
  <c r="V91" i="38"/>
  <c r="U91" i="38"/>
  <c r="T91" i="38"/>
  <c r="W90" i="38"/>
  <c r="V90" i="38"/>
  <c r="U90" i="38"/>
  <c r="T90" i="38"/>
  <c r="W89" i="38"/>
  <c r="V89" i="38"/>
  <c r="U89" i="38"/>
  <c r="T89" i="38"/>
  <c r="W88" i="38"/>
  <c r="V88" i="38"/>
  <c r="U88" i="38"/>
  <c r="T88" i="38"/>
  <c r="W87" i="38"/>
  <c r="V87" i="38"/>
  <c r="U87" i="38"/>
  <c r="T87" i="38"/>
  <c r="W86" i="38"/>
  <c r="V86" i="38"/>
  <c r="U86" i="38"/>
  <c r="T86" i="38"/>
  <c r="W85" i="38"/>
  <c r="V85" i="38"/>
  <c r="U85" i="38"/>
  <c r="T85" i="38"/>
  <c r="W84" i="38"/>
  <c r="V84" i="38"/>
  <c r="U84" i="38"/>
  <c r="T84" i="38"/>
  <c r="W83" i="38"/>
  <c r="V83" i="38"/>
  <c r="U83" i="38"/>
  <c r="T83" i="38"/>
  <c r="W82" i="38"/>
  <c r="V82" i="38"/>
  <c r="U82" i="38"/>
  <c r="T82" i="38"/>
  <c r="W81" i="38"/>
  <c r="V81" i="38"/>
  <c r="U81" i="38"/>
  <c r="T81" i="38"/>
  <c r="W80" i="38"/>
  <c r="V80" i="38"/>
  <c r="U80" i="38"/>
  <c r="T80" i="38"/>
  <c r="W79" i="38"/>
  <c r="V79" i="38"/>
  <c r="U79" i="38"/>
  <c r="T79" i="38"/>
  <c r="W78" i="38"/>
  <c r="V78" i="38"/>
  <c r="U78" i="38"/>
  <c r="T78" i="38"/>
  <c r="W77" i="38"/>
  <c r="V77" i="38"/>
  <c r="U77" i="38"/>
  <c r="T77" i="38"/>
  <c r="W76" i="38"/>
  <c r="V76" i="38"/>
  <c r="U76" i="38"/>
  <c r="T76" i="38"/>
  <c r="W75" i="38"/>
  <c r="V75" i="38"/>
  <c r="U75" i="38"/>
  <c r="T75" i="38"/>
  <c r="W74" i="38"/>
  <c r="V74" i="38"/>
  <c r="U74" i="38"/>
  <c r="T74" i="38"/>
  <c r="W73" i="38"/>
  <c r="V73" i="38"/>
  <c r="U73" i="38"/>
  <c r="T73" i="38"/>
  <c r="W72" i="38"/>
  <c r="V72" i="38"/>
  <c r="U72" i="38"/>
  <c r="T72" i="38"/>
  <c r="W71" i="38"/>
  <c r="V71" i="38"/>
  <c r="U71" i="38"/>
  <c r="T71" i="38"/>
  <c r="W70" i="38"/>
  <c r="V70" i="38"/>
  <c r="U70" i="38"/>
  <c r="T70" i="38"/>
  <c r="W69" i="38"/>
  <c r="V69" i="38"/>
  <c r="U69" i="38"/>
  <c r="T69" i="38"/>
  <c r="W68" i="38"/>
  <c r="V68" i="38"/>
  <c r="U68" i="38"/>
  <c r="T68" i="38"/>
  <c r="W67" i="38"/>
  <c r="V67" i="38"/>
  <c r="U67" i="38"/>
  <c r="T67" i="38"/>
  <c r="W66" i="38"/>
  <c r="V66" i="38"/>
  <c r="U66" i="38"/>
  <c r="T66" i="38"/>
  <c r="W65" i="38"/>
  <c r="V65" i="38"/>
  <c r="U65" i="38"/>
  <c r="T65" i="38"/>
  <c r="W64" i="38"/>
  <c r="V64" i="38"/>
  <c r="U64" i="38"/>
  <c r="T64" i="38"/>
  <c r="W63" i="38"/>
  <c r="V63" i="38"/>
  <c r="U63" i="38"/>
  <c r="T63" i="38"/>
  <c r="W62" i="38"/>
  <c r="V62" i="38"/>
  <c r="U62" i="38"/>
  <c r="T62" i="38"/>
  <c r="W61" i="38"/>
  <c r="V61" i="38"/>
  <c r="U61" i="38"/>
  <c r="T61" i="38"/>
  <c r="W60" i="38"/>
  <c r="V60" i="38"/>
  <c r="U60" i="38"/>
  <c r="T60" i="38"/>
  <c r="W59" i="38"/>
  <c r="V59" i="38"/>
  <c r="U59" i="38"/>
  <c r="T59" i="38"/>
  <c r="W58" i="38"/>
  <c r="V58" i="38"/>
  <c r="U58" i="38"/>
  <c r="T58" i="38"/>
  <c r="W57" i="38"/>
  <c r="V57" i="38"/>
  <c r="U57" i="38"/>
  <c r="T57" i="38"/>
  <c r="W56" i="38"/>
  <c r="V56" i="38"/>
  <c r="U56" i="38"/>
  <c r="T56" i="38"/>
  <c r="W55" i="38"/>
  <c r="V55" i="38"/>
  <c r="U55" i="38"/>
  <c r="T55" i="38"/>
  <c r="W54" i="38"/>
  <c r="V54" i="38"/>
  <c r="U54" i="38"/>
  <c r="T54" i="38"/>
  <c r="W53" i="38"/>
  <c r="V53" i="38"/>
  <c r="U53" i="38"/>
  <c r="T53" i="38"/>
  <c r="W52" i="38"/>
  <c r="V52" i="38"/>
  <c r="U52" i="38"/>
  <c r="T52" i="38"/>
  <c r="W51" i="38"/>
  <c r="V51" i="38"/>
  <c r="U51" i="38"/>
  <c r="T51" i="38"/>
  <c r="W50" i="38"/>
  <c r="V50" i="38"/>
  <c r="U50" i="38"/>
  <c r="T50" i="38"/>
  <c r="W49" i="38"/>
  <c r="V49" i="38"/>
  <c r="U49" i="38"/>
  <c r="T49" i="38"/>
  <c r="W48" i="38"/>
  <c r="V48" i="38"/>
  <c r="U48" i="38"/>
  <c r="T48" i="38"/>
  <c r="W47" i="38"/>
  <c r="V47" i="38"/>
  <c r="U47" i="38"/>
  <c r="T47" i="38"/>
  <c r="W46" i="38"/>
  <c r="V46" i="38"/>
  <c r="U46" i="38"/>
  <c r="T46" i="38"/>
  <c r="W45" i="38"/>
  <c r="V45" i="38"/>
  <c r="U45" i="38"/>
  <c r="T45" i="38"/>
  <c r="W44" i="38"/>
  <c r="V44" i="38"/>
  <c r="U44" i="38"/>
  <c r="T44" i="38"/>
  <c r="W43" i="38"/>
  <c r="V43" i="38"/>
  <c r="U43" i="38"/>
  <c r="T43" i="38"/>
  <c r="W42" i="38"/>
  <c r="V42" i="38"/>
  <c r="U42" i="38"/>
  <c r="T42" i="38"/>
  <c r="W41" i="38"/>
  <c r="V41" i="38"/>
  <c r="U41" i="38"/>
  <c r="T41" i="38"/>
  <c r="W40" i="38"/>
  <c r="V40" i="38"/>
  <c r="U40" i="38"/>
  <c r="T40" i="38"/>
  <c r="W39" i="38"/>
  <c r="V39" i="38"/>
  <c r="U39" i="38"/>
  <c r="T39" i="38"/>
  <c r="W38" i="38"/>
  <c r="V38" i="38"/>
  <c r="U38" i="38"/>
  <c r="T38" i="38"/>
  <c r="W37" i="38"/>
  <c r="V37" i="38"/>
  <c r="U37" i="38"/>
  <c r="T37" i="38"/>
  <c r="W36" i="38"/>
  <c r="V36" i="38"/>
  <c r="U36" i="38"/>
  <c r="T36" i="38"/>
  <c r="W35" i="38"/>
  <c r="V35" i="38"/>
  <c r="U35" i="38"/>
  <c r="T35" i="38"/>
  <c r="W34" i="38"/>
  <c r="V34" i="38"/>
  <c r="U34" i="38"/>
  <c r="T34" i="38"/>
  <c r="W33" i="38"/>
  <c r="V33" i="38"/>
  <c r="U33" i="38"/>
  <c r="T33" i="38"/>
  <c r="W32" i="38"/>
  <c r="V32" i="38"/>
  <c r="U32" i="38"/>
  <c r="T32" i="38"/>
  <c r="W31" i="38"/>
  <c r="V31" i="38"/>
  <c r="U31" i="38"/>
  <c r="T31" i="38"/>
  <c r="W30" i="38"/>
  <c r="V30" i="38"/>
  <c r="U30" i="38"/>
  <c r="T30" i="38"/>
  <c r="W29" i="38"/>
  <c r="V29" i="38"/>
  <c r="U29" i="38"/>
  <c r="T29" i="38"/>
  <c r="W28" i="38"/>
  <c r="V28" i="38"/>
  <c r="U28" i="38"/>
  <c r="T28" i="38"/>
  <c r="W27" i="38"/>
  <c r="V27" i="38"/>
  <c r="U27" i="38"/>
  <c r="T27" i="38"/>
  <c r="W26" i="38"/>
  <c r="V26" i="38"/>
  <c r="U26" i="38"/>
  <c r="T26" i="38"/>
  <c r="W25" i="38"/>
  <c r="V25" i="38"/>
  <c r="U25" i="38"/>
  <c r="T25" i="38"/>
  <c r="W24" i="38"/>
  <c r="V24" i="38"/>
  <c r="U24" i="38"/>
  <c r="T24" i="38"/>
  <c r="W23" i="38"/>
  <c r="V23" i="38"/>
  <c r="U23" i="38"/>
  <c r="T23" i="38"/>
  <c r="W22" i="38"/>
  <c r="V22" i="38"/>
  <c r="U22" i="38"/>
  <c r="T22" i="38"/>
  <c r="W21" i="38"/>
  <c r="V21" i="38"/>
  <c r="U21" i="38"/>
  <c r="T21" i="38"/>
  <c r="W20" i="38"/>
  <c r="V20" i="38"/>
  <c r="U20" i="38"/>
  <c r="T20" i="38"/>
  <c r="W19" i="38"/>
  <c r="V19" i="38"/>
  <c r="U19" i="38"/>
  <c r="T19" i="38"/>
  <c r="W18" i="38"/>
  <c r="V18" i="38"/>
  <c r="U18" i="38"/>
  <c r="T18" i="38"/>
  <c r="W17" i="38"/>
  <c r="V17" i="38"/>
  <c r="U17" i="38"/>
  <c r="T17" i="38"/>
  <c r="W16" i="38"/>
  <c r="V16" i="38"/>
  <c r="U16" i="38"/>
  <c r="T16" i="38"/>
  <c r="W15" i="38"/>
  <c r="V15" i="38"/>
  <c r="U15" i="38"/>
  <c r="T15" i="38"/>
  <c r="W14" i="38"/>
  <c r="V14" i="38"/>
  <c r="U14" i="38"/>
  <c r="T14" i="38"/>
  <c r="W13" i="38"/>
  <c r="V13" i="38"/>
  <c r="U13" i="38"/>
  <c r="T13" i="38"/>
  <c r="W12" i="38"/>
  <c r="V12" i="38"/>
  <c r="U12" i="38"/>
  <c r="T12" i="38"/>
  <c r="W11" i="38"/>
  <c r="V11" i="38"/>
  <c r="U11" i="38"/>
  <c r="T11" i="38"/>
  <c r="W10" i="38"/>
  <c r="V10" i="38"/>
  <c r="U10" i="38"/>
  <c r="T10" i="38"/>
  <c r="W9" i="38"/>
  <c r="V9" i="38"/>
  <c r="U9" i="38"/>
  <c r="T9" i="38"/>
  <c r="W8" i="38"/>
  <c r="V8" i="38"/>
  <c r="U8" i="38"/>
  <c r="T8" i="38"/>
  <c r="W7" i="38"/>
  <c r="V7" i="38"/>
  <c r="U7" i="38"/>
  <c r="T7" i="38"/>
  <c r="W6" i="38"/>
  <c r="V6" i="38"/>
  <c r="U6" i="38"/>
  <c r="T6" i="38"/>
  <c r="W5" i="38"/>
  <c r="V5" i="38"/>
  <c r="U5" i="38"/>
  <c r="T5" i="38"/>
  <c r="W4" i="38"/>
  <c r="V4" i="38"/>
  <c r="U4" i="38"/>
  <c r="T4" i="38"/>
  <c r="W3" i="38"/>
  <c r="V3" i="38"/>
  <c r="U3" i="38"/>
  <c r="T3" i="38"/>
  <c r="W2" i="38"/>
  <c r="V2" i="38"/>
  <c r="U2" i="38"/>
  <c r="T2" i="38"/>
  <c r="P2" i="38"/>
  <c r="P3" i="38"/>
  <c r="P4" i="38"/>
  <c r="P5" i="38"/>
  <c r="P6" i="38"/>
  <c r="P7" i="38"/>
  <c r="P8" i="38"/>
  <c r="P9" i="38"/>
  <c r="P10" i="38"/>
  <c r="P11" i="38"/>
  <c r="P12" i="38"/>
  <c r="P13" i="38"/>
  <c r="P14" i="38"/>
  <c r="P15" i="38"/>
  <c r="P16" i="38"/>
  <c r="P17" i="38"/>
  <c r="P18" i="38"/>
  <c r="P19" i="38"/>
  <c r="P20" i="38"/>
  <c r="P21" i="38"/>
  <c r="P22" i="38"/>
  <c r="P23" i="38"/>
  <c r="P24" i="38"/>
  <c r="P25" i="38"/>
  <c r="P26" i="38"/>
  <c r="P27" i="38"/>
  <c r="P28" i="38"/>
  <c r="P29" i="38"/>
  <c r="P30" i="38"/>
  <c r="P31" i="38"/>
  <c r="P32" i="38"/>
  <c r="P33" i="38"/>
  <c r="P34" i="38"/>
  <c r="P35" i="38"/>
  <c r="P36" i="38"/>
  <c r="P37" i="38"/>
  <c r="P38" i="38"/>
  <c r="P39" i="38"/>
  <c r="P40" i="38"/>
  <c r="P41" i="38"/>
  <c r="P42" i="38"/>
  <c r="P43" i="38"/>
  <c r="P44" i="38"/>
  <c r="P45" i="38"/>
  <c r="P46" i="38"/>
  <c r="P47" i="38"/>
  <c r="P48" i="38"/>
  <c r="P49" i="38"/>
  <c r="P50" i="38"/>
  <c r="P51" i="38"/>
  <c r="P52" i="38"/>
  <c r="P53" i="38"/>
  <c r="P54" i="38"/>
  <c r="P55" i="38"/>
  <c r="P56" i="38"/>
  <c r="P57" i="38"/>
  <c r="P58" i="38"/>
  <c r="P59" i="38"/>
  <c r="P60" i="38"/>
  <c r="P61" i="38"/>
  <c r="P62" i="38"/>
  <c r="P63" i="38"/>
  <c r="P64" i="38"/>
  <c r="P65" i="38"/>
  <c r="P66" i="38"/>
  <c r="P67" i="38"/>
  <c r="P68" i="38"/>
  <c r="P69" i="38"/>
  <c r="P70" i="38"/>
  <c r="P71" i="38"/>
  <c r="P72" i="38"/>
  <c r="P73" i="38"/>
  <c r="P74" i="38"/>
  <c r="P75" i="38"/>
  <c r="P76" i="38"/>
  <c r="P77" i="38"/>
  <c r="P78" i="38"/>
  <c r="P79" i="38"/>
  <c r="P80" i="38"/>
  <c r="P81" i="38"/>
  <c r="P82" i="38"/>
  <c r="P83" i="38"/>
  <c r="P84" i="38"/>
  <c r="P85" i="38"/>
  <c r="P86" i="38"/>
  <c r="P87" i="38"/>
  <c r="P88" i="38"/>
  <c r="P89" i="38"/>
  <c r="P90" i="38"/>
  <c r="P91" i="38"/>
  <c r="P92" i="38"/>
  <c r="P93" i="38"/>
  <c r="P94" i="38"/>
  <c r="P95" i="38"/>
  <c r="P96" i="38"/>
  <c r="P97" i="38"/>
  <c r="P98" i="38"/>
  <c r="P99" i="38"/>
  <c r="P100" i="38"/>
  <c r="P101" i="38"/>
  <c r="P102" i="38"/>
  <c r="P103" i="38"/>
  <c r="P104" i="38"/>
  <c r="P105" i="38"/>
  <c r="P106" i="38"/>
  <c r="P107" i="38"/>
  <c r="P108" i="38"/>
  <c r="P109" i="38"/>
  <c r="P110" i="38"/>
  <c r="P111" i="38"/>
  <c r="P112" i="38"/>
  <c r="P113" i="38"/>
  <c r="P114" i="38"/>
  <c r="P115" i="38"/>
  <c r="P116" i="38"/>
  <c r="P117" i="38"/>
  <c r="P118" i="38"/>
  <c r="P119" i="38"/>
  <c r="P120" i="38"/>
  <c r="P121" i="38"/>
  <c r="P122" i="38"/>
  <c r="P123" i="38"/>
  <c r="P124" i="38"/>
  <c r="P125" i="38"/>
  <c r="P126" i="38"/>
  <c r="P127" i="38"/>
  <c r="P128" i="38"/>
  <c r="P129" i="38"/>
  <c r="P130" i="38"/>
  <c r="P131" i="38"/>
  <c r="P132" i="38"/>
  <c r="P133" i="38"/>
  <c r="P134" i="38"/>
  <c r="P135" i="38"/>
  <c r="P136" i="38"/>
  <c r="P137" i="38"/>
  <c r="P138" i="38"/>
  <c r="P139" i="38"/>
  <c r="P140" i="38"/>
  <c r="P141" i="38"/>
  <c r="P142" i="38"/>
  <c r="P143" i="38"/>
  <c r="P144" i="38"/>
  <c r="P145" i="38"/>
  <c r="P146" i="38"/>
  <c r="P147" i="38"/>
  <c r="P148" i="38"/>
  <c r="P149" i="38"/>
  <c r="P150" i="38"/>
  <c r="P151" i="38"/>
  <c r="P152" i="38"/>
  <c r="P153" i="38"/>
  <c r="P154" i="38"/>
  <c r="P155" i="38"/>
  <c r="P156" i="38"/>
  <c r="P157" i="38"/>
  <c r="P158" i="38"/>
  <c r="P159" i="38"/>
  <c r="P160" i="38"/>
  <c r="P161" i="38"/>
  <c r="P162" i="38"/>
  <c r="P163" i="38"/>
  <c r="P164" i="38"/>
  <c r="P165" i="38"/>
  <c r="P166" i="38"/>
  <c r="P167" i="38"/>
  <c r="P168" i="38"/>
  <c r="P169" i="38"/>
  <c r="P170" i="38"/>
  <c r="P171" i="38"/>
  <c r="P172" i="38"/>
  <c r="P173" i="38"/>
  <c r="P174" i="38"/>
  <c r="P175" i="38"/>
  <c r="P176" i="38"/>
  <c r="P177" i="38"/>
  <c r="P178" i="38"/>
  <c r="P179" i="38"/>
  <c r="P180" i="38"/>
  <c r="P181" i="38"/>
  <c r="P182" i="38"/>
  <c r="P183" i="38"/>
  <c r="P184" i="38"/>
  <c r="P185" i="38"/>
  <c r="P186" i="38"/>
  <c r="P187" i="38"/>
  <c r="P188" i="38"/>
  <c r="P189" i="38"/>
  <c r="P190" i="38"/>
  <c r="P191" i="38"/>
  <c r="P192" i="38"/>
  <c r="P193" i="38"/>
  <c r="P194" i="38"/>
  <c r="P195" i="38"/>
  <c r="P196" i="38"/>
  <c r="P197" i="38"/>
  <c r="P198" i="38"/>
  <c r="P199" i="38"/>
  <c r="P200" i="38"/>
  <c r="P201" i="38"/>
  <c r="P202" i="38"/>
  <c r="P203" i="38"/>
  <c r="P204" i="38"/>
  <c r="P205" i="38"/>
  <c r="P207" i="38"/>
  <c r="P208" i="38"/>
  <c r="P209" i="38"/>
  <c r="P210" i="38"/>
  <c r="P211" i="38"/>
  <c r="P212" i="38"/>
  <c r="P213" i="38"/>
  <c r="P214" i="38"/>
  <c r="P215" i="38"/>
  <c r="P216" i="38"/>
  <c r="P217" i="38"/>
  <c r="P218" i="38"/>
  <c r="P219" i="38"/>
  <c r="P220" i="38"/>
  <c r="P221" i="38"/>
  <c r="P222" i="38"/>
  <c r="P223" i="38"/>
  <c r="P224" i="38"/>
  <c r="P225" i="38"/>
  <c r="P226" i="38"/>
  <c r="P227" i="38"/>
  <c r="P228" i="38"/>
  <c r="P229" i="38"/>
  <c r="P230" i="38"/>
  <c r="P231" i="38"/>
  <c r="P232" i="38"/>
  <c r="P233" i="38"/>
  <c r="P234" i="38"/>
  <c r="P235" i="38"/>
  <c r="P236" i="38"/>
  <c r="P237" i="38"/>
  <c r="P238" i="38"/>
  <c r="P239" i="38"/>
  <c r="P240" i="38"/>
  <c r="P241" i="38"/>
  <c r="P242" i="38"/>
  <c r="P243" i="38"/>
  <c r="P244" i="38"/>
  <c r="P245" i="38"/>
  <c r="P246" i="38"/>
  <c r="P247" i="38"/>
  <c r="P248" i="38"/>
  <c r="P249" i="38"/>
  <c r="P250" i="38"/>
  <c r="P251" i="38"/>
  <c r="P252" i="38"/>
  <c r="P253" i="38"/>
  <c r="P254" i="38"/>
  <c r="P255" i="38"/>
  <c r="P256" i="38"/>
  <c r="P257" i="38"/>
  <c r="P258" i="38"/>
  <c r="P259" i="38"/>
  <c r="P260" i="38"/>
  <c r="P261" i="38"/>
  <c r="P262" i="38"/>
  <c r="P263" i="38"/>
  <c r="P264" i="38"/>
  <c r="P265" i="38"/>
  <c r="P266" i="38"/>
  <c r="P267" i="38"/>
  <c r="P268" i="38"/>
  <c r="P269" i="38"/>
  <c r="P270" i="38"/>
  <c r="P271" i="38"/>
  <c r="P272" i="38"/>
  <c r="P273" i="38"/>
  <c r="P274" i="38"/>
  <c r="P275" i="38"/>
  <c r="P276" i="38"/>
  <c r="P277" i="38"/>
  <c r="P278" i="38"/>
  <c r="P279" i="38"/>
  <c r="P280" i="38"/>
  <c r="P281" i="38"/>
  <c r="P282" i="38"/>
  <c r="P283" i="38"/>
  <c r="P2" i="37"/>
  <c r="P3" i="37"/>
  <c r="P4" i="37"/>
  <c r="P5" i="37"/>
  <c r="P6" i="37"/>
  <c r="P7" i="37"/>
  <c r="P8" i="37"/>
  <c r="P9" i="37"/>
  <c r="P10" i="37"/>
  <c r="P11" i="37"/>
  <c r="P12" i="37"/>
  <c r="P13" i="37"/>
  <c r="P14" i="37"/>
  <c r="P15" i="37"/>
  <c r="P16" i="37"/>
  <c r="P17" i="37"/>
  <c r="P18" i="37"/>
  <c r="P19" i="37"/>
  <c r="P20" i="37"/>
  <c r="P21" i="37"/>
  <c r="P22" i="37"/>
  <c r="P23" i="37"/>
  <c r="P24" i="37"/>
  <c r="P25" i="37"/>
  <c r="P26" i="37"/>
  <c r="P27" i="37"/>
  <c r="P28" i="37"/>
  <c r="P29" i="37"/>
  <c r="P30" i="37"/>
  <c r="P31" i="37"/>
  <c r="P32" i="37"/>
  <c r="P33" i="37"/>
  <c r="P34" i="37"/>
  <c r="P35" i="37"/>
  <c r="P36" i="37"/>
  <c r="P37" i="37"/>
  <c r="P38" i="37"/>
  <c r="P39" i="37"/>
  <c r="P40" i="37"/>
  <c r="P41" i="37"/>
  <c r="P42" i="37"/>
  <c r="P43" i="37"/>
  <c r="P44" i="37"/>
  <c r="P45" i="37"/>
  <c r="P46" i="37"/>
  <c r="P47" i="37"/>
  <c r="P48" i="37"/>
  <c r="P49" i="37"/>
  <c r="P50" i="37"/>
  <c r="P51" i="37"/>
  <c r="P52" i="37"/>
  <c r="P53" i="37"/>
  <c r="P54" i="37"/>
  <c r="P55" i="37"/>
  <c r="P56" i="37"/>
  <c r="P57" i="37"/>
  <c r="P58" i="37"/>
  <c r="P59" i="37"/>
  <c r="P60" i="37"/>
  <c r="P61" i="37"/>
  <c r="P62" i="37"/>
  <c r="P63" i="37"/>
  <c r="P64" i="37"/>
  <c r="P65" i="37"/>
  <c r="P66" i="37"/>
  <c r="P67" i="37"/>
  <c r="P68" i="37"/>
  <c r="P69" i="37"/>
  <c r="P70" i="37"/>
  <c r="P71" i="37"/>
  <c r="P72" i="37"/>
  <c r="P73" i="37"/>
  <c r="P74" i="37"/>
  <c r="P75" i="37"/>
  <c r="P76" i="37"/>
  <c r="P77" i="37"/>
  <c r="P78" i="37"/>
  <c r="P79" i="37"/>
  <c r="P80" i="37"/>
  <c r="P81" i="37"/>
  <c r="P82" i="37"/>
  <c r="P83" i="37"/>
  <c r="P84" i="37"/>
  <c r="P85" i="37"/>
  <c r="P86" i="37"/>
  <c r="P87" i="37"/>
  <c r="P88" i="37"/>
  <c r="P89" i="37"/>
  <c r="P90" i="37"/>
  <c r="P91" i="37"/>
  <c r="P92" i="37"/>
  <c r="P93" i="37"/>
  <c r="P94" i="37"/>
  <c r="P95" i="37"/>
  <c r="P96" i="37"/>
  <c r="P97" i="37"/>
  <c r="P98" i="37"/>
  <c r="P99" i="37"/>
  <c r="P100" i="37"/>
  <c r="P101" i="37"/>
  <c r="P102" i="37"/>
  <c r="P103" i="37"/>
  <c r="P104" i="37"/>
  <c r="P105" i="37"/>
  <c r="P106" i="37"/>
  <c r="P107" i="37"/>
  <c r="P108" i="37"/>
  <c r="P109" i="37"/>
  <c r="P110" i="37"/>
  <c r="P111" i="37"/>
  <c r="P112" i="37"/>
  <c r="P113" i="37"/>
  <c r="P114" i="37"/>
  <c r="P115" i="37"/>
  <c r="P116" i="37"/>
  <c r="P117" i="37"/>
  <c r="P118" i="37"/>
  <c r="P119" i="37"/>
  <c r="P120" i="37"/>
  <c r="P121" i="37"/>
  <c r="P122" i="37"/>
  <c r="P123" i="37"/>
  <c r="P124" i="37"/>
  <c r="P125" i="37"/>
  <c r="P126" i="37"/>
  <c r="P127" i="37"/>
  <c r="P128" i="37"/>
  <c r="P129" i="37"/>
  <c r="P130" i="37"/>
  <c r="P131" i="37"/>
  <c r="P132" i="37"/>
  <c r="P133" i="37"/>
  <c r="P134" i="37"/>
  <c r="P135" i="37"/>
  <c r="P136" i="37"/>
  <c r="P137" i="37"/>
  <c r="P138" i="37"/>
  <c r="P139" i="37"/>
  <c r="P140" i="37"/>
  <c r="P141" i="37"/>
  <c r="P142" i="37"/>
  <c r="P143" i="37"/>
  <c r="P144" i="37"/>
  <c r="P145" i="37"/>
  <c r="P146" i="37"/>
  <c r="P147" i="37"/>
  <c r="P148" i="37"/>
  <c r="P149" i="37"/>
  <c r="P150" i="37"/>
  <c r="P151" i="37"/>
  <c r="P152" i="37"/>
  <c r="P153" i="37"/>
  <c r="P154" i="37"/>
  <c r="P155" i="37"/>
  <c r="P156" i="37"/>
  <c r="P157" i="37"/>
  <c r="P158" i="37"/>
  <c r="P159" i="37"/>
  <c r="P160" i="37"/>
  <c r="P161" i="37"/>
  <c r="P162" i="37"/>
  <c r="P163" i="37"/>
  <c r="P164" i="37"/>
  <c r="P165" i="37"/>
  <c r="P166" i="37"/>
  <c r="P167" i="37"/>
  <c r="P168" i="37"/>
  <c r="P169" i="37"/>
  <c r="P170" i="37"/>
  <c r="P171" i="37"/>
  <c r="P172" i="37"/>
  <c r="P173" i="37"/>
  <c r="P174" i="37"/>
  <c r="P175" i="37"/>
  <c r="P176" i="37"/>
  <c r="P177" i="37"/>
  <c r="P178" i="37"/>
  <c r="P179" i="37"/>
  <c r="P180" i="37"/>
  <c r="P181" i="37"/>
  <c r="P182" i="37"/>
  <c r="P183" i="37"/>
  <c r="P184" i="37"/>
  <c r="P185" i="37"/>
  <c r="P186" i="37"/>
  <c r="P187" i="37"/>
  <c r="P188" i="37"/>
  <c r="P189" i="37"/>
  <c r="P190" i="37"/>
  <c r="P191" i="37"/>
  <c r="P192" i="37"/>
  <c r="P193" i="37"/>
  <c r="P194" i="37"/>
  <c r="P195" i="37"/>
  <c r="P196" i="37"/>
  <c r="P197" i="37"/>
  <c r="P198" i="37"/>
  <c r="P199" i="37"/>
  <c r="P200" i="37"/>
  <c r="P201" i="37"/>
  <c r="P202" i="37"/>
  <c r="P203" i="37"/>
  <c r="P204" i="37"/>
  <c r="P205" i="37"/>
  <c r="P206" i="37"/>
  <c r="P207" i="37"/>
  <c r="P208" i="37"/>
  <c r="P209" i="37"/>
  <c r="P210" i="37"/>
  <c r="P211" i="37"/>
  <c r="P212" i="37"/>
  <c r="P213" i="37"/>
  <c r="P214" i="37"/>
  <c r="P215" i="37"/>
  <c r="P216" i="37"/>
  <c r="P217" i="37"/>
  <c r="P218" i="37"/>
  <c r="P219" i="37"/>
  <c r="P220" i="37"/>
  <c r="P221" i="37"/>
  <c r="P222" i="37"/>
  <c r="P223" i="37"/>
  <c r="P224" i="37"/>
  <c r="P225" i="37"/>
  <c r="P226" i="37"/>
  <c r="P227" i="37"/>
  <c r="P228" i="37"/>
  <c r="P229" i="37"/>
  <c r="P230" i="37"/>
  <c r="P231" i="37"/>
  <c r="P232" i="37"/>
  <c r="P233" i="37"/>
  <c r="P234" i="37"/>
  <c r="P235" i="37"/>
  <c r="P236" i="37"/>
  <c r="P237" i="37"/>
  <c r="P238" i="37"/>
  <c r="P239" i="37"/>
  <c r="P240" i="37"/>
  <c r="P241" i="37"/>
  <c r="P242" i="37"/>
  <c r="P243" i="37"/>
  <c r="P244" i="37"/>
  <c r="P245" i="37"/>
  <c r="P246" i="37"/>
  <c r="P247" i="37"/>
  <c r="P248" i="37"/>
  <c r="P249" i="37"/>
  <c r="P250" i="37"/>
  <c r="P251" i="37"/>
  <c r="P252" i="37"/>
  <c r="P253" i="37"/>
  <c r="P254" i="37"/>
  <c r="P255" i="37"/>
  <c r="P256" i="37"/>
  <c r="P257" i="37"/>
  <c r="P258" i="37"/>
  <c r="P259" i="37"/>
  <c r="P260" i="37"/>
  <c r="P261" i="37"/>
  <c r="P262" i="37"/>
  <c r="P263" i="37"/>
  <c r="P264" i="37"/>
  <c r="P265" i="37"/>
  <c r="P266" i="37"/>
  <c r="P267" i="37"/>
  <c r="P268" i="37"/>
  <c r="P269" i="37"/>
  <c r="P270" i="37"/>
  <c r="P271" i="37"/>
  <c r="P272" i="37"/>
  <c r="P273" i="37"/>
  <c r="P274" i="37"/>
  <c r="P275" i="37"/>
  <c r="P276" i="37"/>
  <c r="P277" i="37"/>
  <c r="P278" i="37"/>
  <c r="P279" i="37"/>
  <c r="W277" i="36"/>
  <c r="X277" i="36" s="1"/>
  <c r="U277" i="36"/>
  <c r="V277" i="36" s="1"/>
  <c r="W276" i="36"/>
  <c r="X276" i="36" s="1"/>
  <c r="U276" i="36"/>
  <c r="V276" i="36" s="1"/>
  <c r="W275" i="36"/>
  <c r="X275" i="36" s="1"/>
  <c r="U275" i="36"/>
  <c r="V275" i="36" s="1"/>
  <c r="W274" i="36"/>
  <c r="X274" i="36" s="1"/>
  <c r="U274" i="36"/>
  <c r="V274" i="36" s="1"/>
  <c r="W273" i="36"/>
  <c r="X273" i="36" s="1"/>
  <c r="U273" i="36"/>
  <c r="V273" i="36" s="1"/>
  <c r="W272" i="36"/>
  <c r="X272" i="36" s="1"/>
  <c r="U272" i="36"/>
  <c r="V272" i="36" s="1"/>
  <c r="W271" i="36"/>
  <c r="X271" i="36" s="1"/>
  <c r="U271" i="36"/>
  <c r="V271" i="36" s="1"/>
  <c r="W270" i="36"/>
  <c r="X270" i="36" s="1"/>
  <c r="U270" i="36"/>
  <c r="V270" i="36" s="1"/>
  <c r="W269" i="36"/>
  <c r="X269" i="36" s="1"/>
  <c r="U269" i="36"/>
  <c r="V269" i="36" s="1"/>
  <c r="W268" i="36"/>
  <c r="X268" i="36" s="1"/>
  <c r="U268" i="36"/>
  <c r="V268" i="36" s="1"/>
  <c r="W267" i="36"/>
  <c r="X267" i="36" s="1"/>
  <c r="U267" i="36"/>
  <c r="V267" i="36" s="1"/>
  <c r="W266" i="36"/>
  <c r="X266" i="36" s="1"/>
  <c r="U266" i="36"/>
  <c r="V266" i="36" s="1"/>
  <c r="W265" i="36"/>
  <c r="X265" i="36" s="1"/>
  <c r="U265" i="36"/>
  <c r="V265" i="36" s="1"/>
  <c r="W264" i="36"/>
  <c r="X264" i="36" s="1"/>
  <c r="U264" i="36"/>
  <c r="V264" i="36" s="1"/>
  <c r="W263" i="36"/>
  <c r="X263" i="36" s="1"/>
  <c r="U263" i="36"/>
  <c r="V263" i="36" s="1"/>
  <c r="W262" i="36"/>
  <c r="X262" i="36" s="1"/>
  <c r="U262" i="36"/>
  <c r="V262" i="36" s="1"/>
  <c r="W261" i="36"/>
  <c r="X261" i="36" s="1"/>
  <c r="U261" i="36"/>
  <c r="V261" i="36" s="1"/>
  <c r="W260" i="36"/>
  <c r="X260" i="36" s="1"/>
  <c r="U260" i="36"/>
  <c r="V260" i="36" s="1"/>
  <c r="W259" i="36"/>
  <c r="X259" i="36" s="1"/>
  <c r="U259" i="36"/>
  <c r="V259" i="36" s="1"/>
  <c r="W258" i="36"/>
  <c r="X258" i="36" s="1"/>
  <c r="U258" i="36"/>
  <c r="V258" i="36" s="1"/>
  <c r="W257" i="36"/>
  <c r="X257" i="36" s="1"/>
  <c r="U257" i="36"/>
  <c r="V257" i="36" s="1"/>
  <c r="W256" i="36"/>
  <c r="X256" i="36" s="1"/>
  <c r="U256" i="36"/>
  <c r="V256" i="36" s="1"/>
  <c r="W255" i="36"/>
  <c r="X255" i="36" s="1"/>
  <c r="U255" i="36"/>
  <c r="V255" i="36" s="1"/>
  <c r="W254" i="36"/>
  <c r="X254" i="36" s="1"/>
  <c r="U254" i="36"/>
  <c r="V254" i="36" s="1"/>
  <c r="W253" i="36"/>
  <c r="X253" i="36" s="1"/>
  <c r="U253" i="36"/>
  <c r="V253" i="36" s="1"/>
  <c r="W252" i="36"/>
  <c r="X252" i="36" s="1"/>
  <c r="U252" i="36"/>
  <c r="V252" i="36" s="1"/>
  <c r="W251" i="36"/>
  <c r="X251" i="36" s="1"/>
  <c r="U251" i="36"/>
  <c r="V251" i="36" s="1"/>
  <c r="W250" i="36"/>
  <c r="X250" i="36" s="1"/>
  <c r="U250" i="36"/>
  <c r="V250" i="36" s="1"/>
  <c r="W249" i="36"/>
  <c r="X249" i="36" s="1"/>
  <c r="U249" i="36"/>
  <c r="V249" i="36" s="1"/>
  <c r="W248" i="36"/>
  <c r="X248" i="36" s="1"/>
  <c r="U248" i="36"/>
  <c r="V248" i="36" s="1"/>
  <c r="W247" i="36"/>
  <c r="X247" i="36" s="1"/>
  <c r="U247" i="36"/>
  <c r="V247" i="36" s="1"/>
  <c r="W246" i="36"/>
  <c r="X246" i="36" s="1"/>
  <c r="U246" i="36"/>
  <c r="V246" i="36" s="1"/>
  <c r="W245" i="36"/>
  <c r="X245" i="36" s="1"/>
  <c r="U245" i="36"/>
  <c r="V245" i="36" s="1"/>
  <c r="W244" i="36"/>
  <c r="X244" i="36" s="1"/>
  <c r="U244" i="36"/>
  <c r="V244" i="36" s="1"/>
  <c r="W243" i="36"/>
  <c r="X243" i="36" s="1"/>
  <c r="U243" i="36"/>
  <c r="V243" i="36" s="1"/>
  <c r="W242" i="36"/>
  <c r="X242" i="36" s="1"/>
  <c r="U242" i="36"/>
  <c r="V242" i="36" s="1"/>
  <c r="W241" i="36"/>
  <c r="X241" i="36" s="1"/>
  <c r="U241" i="36"/>
  <c r="V241" i="36" s="1"/>
  <c r="W240" i="36"/>
  <c r="X240" i="36" s="1"/>
  <c r="U240" i="36"/>
  <c r="V240" i="36" s="1"/>
  <c r="W239" i="36"/>
  <c r="X239" i="36" s="1"/>
  <c r="U239" i="36"/>
  <c r="V239" i="36" s="1"/>
  <c r="W238" i="36"/>
  <c r="X238" i="36" s="1"/>
  <c r="U238" i="36"/>
  <c r="V238" i="36" s="1"/>
  <c r="W237" i="36"/>
  <c r="X237" i="36" s="1"/>
  <c r="U237" i="36"/>
  <c r="V237" i="36" s="1"/>
  <c r="W236" i="36"/>
  <c r="X236" i="36" s="1"/>
  <c r="U236" i="36"/>
  <c r="V236" i="36" s="1"/>
  <c r="W235" i="36"/>
  <c r="X235" i="36" s="1"/>
  <c r="U235" i="36"/>
  <c r="V235" i="36" s="1"/>
  <c r="W234" i="36"/>
  <c r="X234" i="36" s="1"/>
  <c r="U234" i="36"/>
  <c r="V234" i="36" s="1"/>
  <c r="W233" i="36"/>
  <c r="X233" i="36" s="1"/>
  <c r="U233" i="36"/>
  <c r="V233" i="36" s="1"/>
  <c r="W232" i="36"/>
  <c r="X232" i="36" s="1"/>
  <c r="U232" i="36"/>
  <c r="V232" i="36" s="1"/>
  <c r="W231" i="36"/>
  <c r="X231" i="36" s="1"/>
  <c r="U231" i="36"/>
  <c r="V231" i="36" s="1"/>
  <c r="W230" i="36"/>
  <c r="X230" i="36" s="1"/>
  <c r="U230" i="36"/>
  <c r="V230" i="36" s="1"/>
  <c r="W229" i="36"/>
  <c r="X229" i="36" s="1"/>
  <c r="U229" i="36"/>
  <c r="V229" i="36" s="1"/>
  <c r="W228" i="36"/>
  <c r="X228" i="36" s="1"/>
  <c r="U228" i="36"/>
  <c r="V228" i="36" s="1"/>
  <c r="W227" i="36"/>
  <c r="X227" i="36" s="1"/>
  <c r="U227" i="36"/>
  <c r="V227" i="36" s="1"/>
  <c r="W226" i="36"/>
  <c r="X226" i="36" s="1"/>
  <c r="V226" i="36"/>
  <c r="U226" i="36"/>
  <c r="W225" i="36"/>
  <c r="X225" i="36" s="1"/>
  <c r="U225" i="36"/>
  <c r="V225" i="36" s="1"/>
  <c r="W224" i="36"/>
  <c r="X224" i="36" s="1"/>
  <c r="U224" i="36"/>
  <c r="V224" i="36" s="1"/>
  <c r="W223" i="36"/>
  <c r="X223" i="36" s="1"/>
  <c r="U223" i="36"/>
  <c r="V223" i="36" s="1"/>
  <c r="W222" i="36"/>
  <c r="X222" i="36" s="1"/>
  <c r="U222" i="36"/>
  <c r="V222" i="36" s="1"/>
  <c r="W221" i="36"/>
  <c r="X221" i="36" s="1"/>
  <c r="U221" i="36"/>
  <c r="V221" i="36" s="1"/>
  <c r="W220" i="36"/>
  <c r="X220" i="36" s="1"/>
  <c r="V220" i="36"/>
  <c r="U220" i="36"/>
  <c r="W219" i="36"/>
  <c r="X219" i="36" s="1"/>
  <c r="U219" i="36"/>
  <c r="V219" i="36" s="1"/>
  <c r="W218" i="36"/>
  <c r="X218" i="36" s="1"/>
  <c r="U218" i="36"/>
  <c r="V218" i="36" s="1"/>
  <c r="W217" i="36"/>
  <c r="X217" i="36" s="1"/>
  <c r="U217" i="36"/>
  <c r="V217" i="36" s="1"/>
  <c r="W216" i="36"/>
  <c r="X216" i="36" s="1"/>
  <c r="U216" i="36"/>
  <c r="V216" i="36" s="1"/>
  <c r="W215" i="36"/>
  <c r="X215" i="36" s="1"/>
  <c r="U215" i="36"/>
  <c r="V215" i="36" s="1"/>
  <c r="W214" i="36"/>
  <c r="X214" i="36" s="1"/>
  <c r="U214" i="36"/>
  <c r="V214" i="36" s="1"/>
  <c r="W213" i="36"/>
  <c r="X213" i="36" s="1"/>
  <c r="U213" i="36"/>
  <c r="V213" i="36" s="1"/>
  <c r="W212" i="36"/>
  <c r="X212" i="36" s="1"/>
  <c r="U212" i="36"/>
  <c r="V212" i="36" s="1"/>
  <c r="W211" i="36"/>
  <c r="X211" i="36" s="1"/>
  <c r="U211" i="36"/>
  <c r="V211" i="36" s="1"/>
  <c r="W210" i="36"/>
  <c r="X210" i="36" s="1"/>
  <c r="U210" i="36"/>
  <c r="V210" i="36" s="1"/>
  <c r="W209" i="36"/>
  <c r="X209" i="36" s="1"/>
  <c r="U209" i="36"/>
  <c r="V209" i="36" s="1"/>
  <c r="W208" i="36"/>
  <c r="X208" i="36" s="1"/>
  <c r="U208" i="36"/>
  <c r="V208" i="36" s="1"/>
  <c r="W207" i="36"/>
  <c r="X207" i="36" s="1"/>
  <c r="U207" i="36"/>
  <c r="V207" i="36" s="1"/>
  <c r="W206" i="36"/>
  <c r="X206" i="36" s="1"/>
  <c r="U206" i="36"/>
  <c r="V206" i="36" s="1"/>
  <c r="W205" i="36"/>
  <c r="X205" i="36" s="1"/>
  <c r="U205" i="36"/>
  <c r="V205" i="36" s="1"/>
  <c r="W204" i="36"/>
  <c r="X204" i="36" s="1"/>
  <c r="U204" i="36"/>
  <c r="V204" i="36" s="1"/>
  <c r="W203" i="36"/>
  <c r="X203" i="36" s="1"/>
  <c r="U203" i="36"/>
  <c r="V203" i="36" s="1"/>
  <c r="W202" i="36"/>
  <c r="X202" i="36" s="1"/>
  <c r="U202" i="36"/>
  <c r="V202" i="36" s="1"/>
  <c r="W201" i="36"/>
  <c r="X201" i="36" s="1"/>
  <c r="U201" i="36"/>
  <c r="V201" i="36" s="1"/>
  <c r="W200" i="36"/>
  <c r="X200" i="36" s="1"/>
  <c r="U200" i="36"/>
  <c r="V200" i="36" s="1"/>
  <c r="W199" i="36"/>
  <c r="X199" i="36" s="1"/>
  <c r="U199" i="36"/>
  <c r="V199" i="36" s="1"/>
  <c r="W198" i="36"/>
  <c r="X198" i="36" s="1"/>
  <c r="U198" i="36"/>
  <c r="V198" i="36" s="1"/>
  <c r="W197" i="36"/>
  <c r="X197" i="36" s="1"/>
  <c r="U197" i="36"/>
  <c r="V197" i="36" s="1"/>
  <c r="W196" i="36"/>
  <c r="X196" i="36" s="1"/>
  <c r="U196" i="36"/>
  <c r="V196" i="36" s="1"/>
  <c r="W195" i="36"/>
  <c r="X195" i="36" s="1"/>
  <c r="U195" i="36"/>
  <c r="V195" i="36" s="1"/>
  <c r="W194" i="36"/>
  <c r="X194" i="36" s="1"/>
  <c r="U194" i="36"/>
  <c r="V194" i="36" s="1"/>
  <c r="W193" i="36"/>
  <c r="X193" i="36" s="1"/>
  <c r="U193" i="36"/>
  <c r="V193" i="36" s="1"/>
  <c r="W192" i="36"/>
  <c r="X192" i="36" s="1"/>
  <c r="U192" i="36"/>
  <c r="V192" i="36" s="1"/>
  <c r="W191" i="36"/>
  <c r="X191" i="36" s="1"/>
  <c r="U191" i="36"/>
  <c r="V191" i="36" s="1"/>
  <c r="W190" i="36"/>
  <c r="X190" i="36" s="1"/>
  <c r="U190" i="36"/>
  <c r="V190" i="36" s="1"/>
  <c r="W189" i="36"/>
  <c r="X189" i="36" s="1"/>
  <c r="U189" i="36"/>
  <c r="V189" i="36" s="1"/>
  <c r="W188" i="36"/>
  <c r="X188" i="36" s="1"/>
  <c r="U188" i="36"/>
  <c r="V188" i="36" s="1"/>
  <c r="W187" i="36"/>
  <c r="X187" i="36" s="1"/>
  <c r="U187" i="36"/>
  <c r="V187" i="36" s="1"/>
  <c r="W186" i="36"/>
  <c r="X186" i="36" s="1"/>
  <c r="U186" i="36"/>
  <c r="V186" i="36" s="1"/>
  <c r="W185" i="36"/>
  <c r="X185" i="36" s="1"/>
  <c r="U185" i="36"/>
  <c r="V185" i="36" s="1"/>
  <c r="W184" i="36"/>
  <c r="X184" i="36" s="1"/>
  <c r="U184" i="36"/>
  <c r="V184" i="36" s="1"/>
  <c r="W183" i="36"/>
  <c r="X183" i="36" s="1"/>
  <c r="U183" i="36"/>
  <c r="V183" i="36" s="1"/>
  <c r="W182" i="36"/>
  <c r="X182" i="36" s="1"/>
  <c r="U182" i="36"/>
  <c r="V182" i="36" s="1"/>
  <c r="W181" i="36"/>
  <c r="X181" i="36" s="1"/>
  <c r="U181" i="36"/>
  <c r="V181" i="36" s="1"/>
  <c r="W180" i="36"/>
  <c r="X180" i="36" s="1"/>
  <c r="U180" i="36"/>
  <c r="V180" i="36" s="1"/>
  <c r="W179" i="36"/>
  <c r="X179" i="36" s="1"/>
  <c r="U179" i="36"/>
  <c r="V179" i="36" s="1"/>
  <c r="W178" i="36"/>
  <c r="X178" i="36" s="1"/>
  <c r="U178" i="36"/>
  <c r="V178" i="36" s="1"/>
  <c r="W177" i="36"/>
  <c r="X177" i="36" s="1"/>
  <c r="U177" i="36"/>
  <c r="V177" i="36" s="1"/>
  <c r="W176" i="36"/>
  <c r="X176" i="36" s="1"/>
  <c r="U176" i="36"/>
  <c r="V176" i="36" s="1"/>
  <c r="W175" i="36"/>
  <c r="X175" i="36" s="1"/>
  <c r="U175" i="36"/>
  <c r="V175" i="36" s="1"/>
  <c r="W174" i="36"/>
  <c r="X174" i="36" s="1"/>
  <c r="U174" i="36"/>
  <c r="V174" i="36" s="1"/>
  <c r="W173" i="36"/>
  <c r="X173" i="36" s="1"/>
  <c r="U173" i="36"/>
  <c r="V173" i="36" s="1"/>
  <c r="W172" i="36"/>
  <c r="X172" i="36" s="1"/>
  <c r="U172" i="36"/>
  <c r="V172" i="36" s="1"/>
  <c r="W171" i="36"/>
  <c r="X171" i="36" s="1"/>
  <c r="U171" i="36"/>
  <c r="V171" i="36" s="1"/>
  <c r="W170" i="36"/>
  <c r="X170" i="36" s="1"/>
  <c r="U170" i="36"/>
  <c r="V170" i="36" s="1"/>
  <c r="W169" i="36"/>
  <c r="X169" i="36" s="1"/>
  <c r="U169" i="36"/>
  <c r="V169" i="36" s="1"/>
  <c r="W168" i="36"/>
  <c r="X168" i="36" s="1"/>
  <c r="U168" i="36"/>
  <c r="V168" i="36" s="1"/>
  <c r="W167" i="36"/>
  <c r="X167" i="36" s="1"/>
  <c r="U167" i="36"/>
  <c r="V167" i="36" s="1"/>
  <c r="W166" i="36"/>
  <c r="X166" i="36" s="1"/>
  <c r="U166" i="36"/>
  <c r="V166" i="36" s="1"/>
  <c r="W165" i="36"/>
  <c r="X165" i="36" s="1"/>
  <c r="U165" i="36"/>
  <c r="V165" i="36" s="1"/>
  <c r="W164" i="36"/>
  <c r="X164" i="36" s="1"/>
  <c r="U164" i="36"/>
  <c r="V164" i="36" s="1"/>
  <c r="W163" i="36"/>
  <c r="X163" i="36" s="1"/>
  <c r="U163" i="36"/>
  <c r="V163" i="36" s="1"/>
  <c r="W162" i="36"/>
  <c r="X162" i="36" s="1"/>
  <c r="U162" i="36"/>
  <c r="V162" i="36" s="1"/>
  <c r="W161" i="36"/>
  <c r="X161" i="36" s="1"/>
  <c r="U161" i="36"/>
  <c r="V161" i="36" s="1"/>
  <c r="W160" i="36"/>
  <c r="X160" i="36" s="1"/>
  <c r="U160" i="36"/>
  <c r="V160" i="36" s="1"/>
  <c r="W159" i="36"/>
  <c r="X159" i="36" s="1"/>
  <c r="U159" i="36"/>
  <c r="V159" i="36" s="1"/>
  <c r="W158" i="36"/>
  <c r="X158" i="36" s="1"/>
  <c r="U158" i="36"/>
  <c r="V158" i="36" s="1"/>
  <c r="W157" i="36"/>
  <c r="X157" i="36" s="1"/>
  <c r="U157" i="36"/>
  <c r="V157" i="36" s="1"/>
  <c r="W156" i="36"/>
  <c r="X156" i="36" s="1"/>
  <c r="U156" i="36"/>
  <c r="V156" i="36" s="1"/>
  <c r="W155" i="36"/>
  <c r="X155" i="36" s="1"/>
  <c r="U155" i="36"/>
  <c r="V155" i="36" s="1"/>
  <c r="W154" i="36"/>
  <c r="X154" i="36" s="1"/>
  <c r="V154" i="36"/>
  <c r="U154" i="36"/>
  <c r="W153" i="36"/>
  <c r="X153" i="36" s="1"/>
  <c r="U153" i="36"/>
  <c r="V153" i="36" s="1"/>
  <c r="W152" i="36"/>
  <c r="X152" i="36" s="1"/>
  <c r="U152" i="36"/>
  <c r="V152" i="36" s="1"/>
  <c r="W151" i="36"/>
  <c r="X151" i="36" s="1"/>
  <c r="U151" i="36"/>
  <c r="V151" i="36" s="1"/>
  <c r="W150" i="36"/>
  <c r="X150" i="36" s="1"/>
  <c r="U150" i="36"/>
  <c r="V150" i="36" s="1"/>
  <c r="W149" i="36"/>
  <c r="X149" i="36" s="1"/>
  <c r="U149" i="36"/>
  <c r="V149" i="36" s="1"/>
  <c r="W148" i="36"/>
  <c r="X148" i="36" s="1"/>
  <c r="U148" i="36"/>
  <c r="V148" i="36" s="1"/>
  <c r="W147" i="36"/>
  <c r="X147" i="36" s="1"/>
  <c r="U147" i="36"/>
  <c r="V147" i="36" s="1"/>
  <c r="W146" i="36"/>
  <c r="X146" i="36" s="1"/>
  <c r="U146" i="36"/>
  <c r="V146" i="36" s="1"/>
  <c r="W145" i="36"/>
  <c r="X145" i="36" s="1"/>
  <c r="U145" i="36"/>
  <c r="V145" i="36" s="1"/>
  <c r="W144" i="36"/>
  <c r="X144" i="36" s="1"/>
  <c r="U144" i="36"/>
  <c r="V144" i="36" s="1"/>
  <c r="W143" i="36"/>
  <c r="X143" i="36" s="1"/>
  <c r="U143" i="36"/>
  <c r="V143" i="36" s="1"/>
  <c r="W142" i="36"/>
  <c r="X142" i="36" s="1"/>
  <c r="U142" i="36"/>
  <c r="V142" i="36" s="1"/>
  <c r="W141" i="36"/>
  <c r="X141" i="36" s="1"/>
  <c r="U141" i="36"/>
  <c r="V141" i="36" s="1"/>
  <c r="W140" i="36"/>
  <c r="X140" i="36" s="1"/>
  <c r="U140" i="36"/>
  <c r="V140" i="36" s="1"/>
  <c r="W139" i="36"/>
  <c r="X139" i="36" s="1"/>
  <c r="U139" i="36"/>
  <c r="V139" i="36" s="1"/>
  <c r="W138" i="36"/>
  <c r="X138" i="36" s="1"/>
  <c r="U138" i="36"/>
  <c r="V138" i="36" s="1"/>
  <c r="W137" i="36"/>
  <c r="X137" i="36" s="1"/>
  <c r="U137" i="36"/>
  <c r="V137" i="36" s="1"/>
  <c r="W136" i="36"/>
  <c r="X136" i="36" s="1"/>
  <c r="U136" i="36"/>
  <c r="V136" i="36" s="1"/>
  <c r="W135" i="36"/>
  <c r="X135" i="36" s="1"/>
  <c r="U135" i="36"/>
  <c r="V135" i="36" s="1"/>
  <c r="W134" i="36"/>
  <c r="X134" i="36" s="1"/>
  <c r="U134" i="36"/>
  <c r="V134" i="36" s="1"/>
  <c r="W133" i="36"/>
  <c r="X133" i="36" s="1"/>
  <c r="U133" i="36"/>
  <c r="V133" i="36" s="1"/>
  <c r="W132" i="36"/>
  <c r="X132" i="36" s="1"/>
  <c r="U132" i="36"/>
  <c r="V132" i="36" s="1"/>
  <c r="W131" i="36"/>
  <c r="X131" i="36" s="1"/>
  <c r="U131" i="36"/>
  <c r="V131" i="36" s="1"/>
  <c r="W130" i="36"/>
  <c r="X130" i="36" s="1"/>
  <c r="U130" i="36"/>
  <c r="V130" i="36" s="1"/>
  <c r="W129" i="36"/>
  <c r="X129" i="36" s="1"/>
  <c r="U129" i="36"/>
  <c r="V129" i="36" s="1"/>
  <c r="W128" i="36"/>
  <c r="X128" i="36" s="1"/>
  <c r="U128" i="36"/>
  <c r="V128" i="36" s="1"/>
  <c r="W127" i="36"/>
  <c r="X127" i="36" s="1"/>
  <c r="U127" i="36"/>
  <c r="V127" i="36" s="1"/>
  <c r="W126" i="36"/>
  <c r="X126" i="36" s="1"/>
  <c r="U126" i="36"/>
  <c r="V126" i="36" s="1"/>
  <c r="W125" i="36"/>
  <c r="X125" i="36" s="1"/>
  <c r="U125" i="36"/>
  <c r="V125" i="36" s="1"/>
  <c r="W124" i="36"/>
  <c r="X124" i="36" s="1"/>
  <c r="U124" i="36"/>
  <c r="V124" i="36" s="1"/>
  <c r="W123" i="36"/>
  <c r="X123" i="36" s="1"/>
  <c r="U123" i="36"/>
  <c r="V123" i="36" s="1"/>
  <c r="W122" i="36"/>
  <c r="X122" i="36" s="1"/>
  <c r="U122" i="36"/>
  <c r="V122" i="36" s="1"/>
  <c r="W121" i="36"/>
  <c r="X121" i="36" s="1"/>
  <c r="U121" i="36"/>
  <c r="V121" i="36" s="1"/>
  <c r="W120" i="36"/>
  <c r="X120" i="36" s="1"/>
  <c r="U120" i="36"/>
  <c r="V120" i="36" s="1"/>
  <c r="W119" i="36"/>
  <c r="X119" i="36" s="1"/>
  <c r="U119" i="36"/>
  <c r="V119" i="36" s="1"/>
  <c r="W118" i="36"/>
  <c r="X118" i="36" s="1"/>
  <c r="U118" i="36"/>
  <c r="V118" i="36" s="1"/>
  <c r="W117" i="36"/>
  <c r="X117" i="36" s="1"/>
  <c r="U117" i="36"/>
  <c r="V117" i="36" s="1"/>
  <c r="W116" i="36"/>
  <c r="X116" i="36" s="1"/>
  <c r="U116" i="36"/>
  <c r="V116" i="36" s="1"/>
  <c r="W115" i="36"/>
  <c r="X115" i="36" s="1"/>
  <c r="U115" i="36"/>
  <c r="V115" i="36" s="1"/>
  <c r="W114" i="36"/>
  <c r="X114" i="36" s="1"/>
  <c r="U114" i="36"/>
  <c r="V114" i="36" s="1"/>
  <c r="W113" i="36"/>
  <c r="X113" i="36" s="1"/>
  <c r="U113" i="36"/>
  <c r="V113" i="36" s="1"/>
  <c r="W112" i="36"/>
  <c r="X112" i="36" s="1"/>
  <c r="U112" i="36"/>
  <c r="V112" i="36" s="1"/>
  <c r="W111" i="36"/>
  <c r="X111" i="36" s="1"/>
  <c r="U111" i="36"/>
  <c r="V111" i="36" s="1"/>
  <c r="W110" i="36"/>
  <c r="X110" i="36" s="1"/>
  <c r="U110" i="36"/>
  <c r="V110" i="36" s="1"/>
  <c r="W109" i="36"/>
  <c r="X109" i="36" s="1"/>
  <c r="U109" i="36"/>
  <c r="V109" i="36" s="1"/>
  <c r="W108" i="36"/>
  <c r="X108" i="36" s="1"/>
  <c r="U108" i="36"/>
  <c r="V108" i="36" s="1"/>
  <c r="W107" i="36"/>
  <c r="X107" i="36" s="1"/>
  <c r="U107" i="36"/>
  <c r="V107" i="36" s="1"/>
  <c r="W106" i="36"/>
  <c r="X106" i="36" s="1"/>
  <c r="U106" i="36"/>
  <c r="V106" i="36" s="1"/>
  <c r="W105" i="36"/>
  <c r="X105" i="36" s="1"/>
  <c r="U105" i="36"/>
  <c r="V105" i="36" s="1"/>
  <c r="W104" i="36"/>
  <c r="X104" i="36" s="1"/>
  <c r="U104" i="36"/>
  <c r="V104" i="36" s="1"/>
  <c r="W103" i="36"/>
  <c r="X103" i="36" s="1"/>
  <c r="U103" i="36"/>
  <c r="V103" i="36" s="1"/>
  <c r="W102" i="36"/>
  <c r="X102" i="36" s="1"/>
  <c r="U102" i="36"/>
  <c r="V102" i="36" s="1"/>
  <c r="W101" i="36"/>
  <c r="X101" i="36" s="1"/>
  <c r="U101" i="36"/>
  <c r="V101" i="36" s="1"/>
  <c r="W100" i="36"/>
  <c r="X100" i="36" s="1"/>
  <c r="U100" i="36"/>
  <c r="V100" i="36" s="1"/>
  <c r="W99" i="36"/>
  <c r="X99" i="36" s="1"/>
  <c r="U99" i="36"/>
  <c r="V99" i="36" s="1"/>
  <c r="W98" i="36"/>
  <c r="X98" i="36" s="1"/>
  <c r="U98" i="36"/>
  <c r="V98" i="36" s="1"/>
  <c r="W97" i="36"/>
  <c r="X97" i="36" s="1"/>
  <c r="U97" i="36"/>
  <c r="V97" i="36" s="1"/>
  <c r="W96" i="36"/>
  <c r="X96" i="36" s="1"/>
  <c r="U96" i="36"/>
  <c r="V96" i="36" s="1"/>
  <c r="W95" i="36"/>
  <c r="X95" i="36" s="1"/>
  <c r="U95" i="36"/>
  <c r="V95" i="36" s="1"/>
  <c r="W94" i="36"/>
  <c r="X94" i="36" s="1"/>
  <c r="U94" i="36"/>
  <c r="V94" i="36" s="1"/>
  <c r="W93" i="36"/>
  <c r="X93" i="36" s="1"/>
  <c r="U93" i="36"/>
  <c r="V93" i="36" s="1"/>
  <c r="W92" i="36"/>
  <c r="X92" i="36" s="1"/>
  <c r="U92" i="36"/>
  <c r="V92" i="36" s="1"/>
  <c r="W91" i="36"/>
  <c r="X91" i="36" s="1"/>
  <c r="U91" i="36"/>
  <c r="V91" i="36" s="1"/>
  <c r="W90" i="36"/>
  <c r="X90" i="36" s="1"/>
  <c r="U90" i="36"/>
  <c r="V90" i="36" s="1"/>
  <c r="W89" i="36"/>
  <c r="X89" i="36" s="1"/>
  <c r="U89" i="36"/>
  <c r="V89" i="36" s="1"/>
  <c r="W88" i="36"/>
  <c r="X88" i="36" s="1"/>
  <c r="U88" i="36"/>
  <c r="V88" i="36" s="1"/>
  <c r="W87" i="36"/>
  <c r="X87" i="36" s="1"/>
  <c r="U87" i="36"/>
  <c r="V87" i="36" s="1"/>
  <c r="W86" i="36"/>
  <c r="X86" i="36" s="1"/>
  <c r="U86" i="36"/>
  <c r="V86" i="36" s="1"/>
  <c r="W85" i="36"/>
  <c r="X85" i="36" s="1"/>
  <c r="U85" i="36"/>
  <c r="V85" i="36" s="1"/>
  <c r="W84" i="36"/>
  <c r="X84" i="36" s="1"/>
  <c r="U84" i="36"/>
  <c r="V84" i="36" s="1"/>
  <c r="W83" i="36"/>
  <c r="X83" i="36" s="1"/>
  <c r="U83" i="36"/>
  <c r="V83" i="36" s="1"/>
  <c r="W82" i="36"/>
  <c r="X82" i="36" s="1"/>
  <c r="U82" i="36"/>
  <c r="V82" i="36" s="1"/>
  <c r="W81" i="36"/>
  <c r="X81" i="36" s="1"/>
  <c r="U81" i="36"/>
  <c r="V81" i="36" s="1"/>
  <c r="W80" i="36"/>
  <c r="X80" i="36" s="1"/>
  <c r="U80" i="36"/>
  <c r="V80" i="36" s="1"/>
  <c r="W79" i="36"/>
  <c r="X79" i="36" s="1"/>
  <c r="U79" i="36"/>
  <c r="V79" i="36" s="1"/>
  <c r="W78" i="36"/>
  <c r="X78" i="36" s="1"/>
  <c r="U78" i="36"/>
  <c r="V78" i="36" s="1"/>
  <c r="W77" i="36"/>
  <c r="X77" i="36" s="1"/>
  <c r="U77" i="36"/>
  <c r="V77" i="36" s="1"/>
  <c r="W76" i="36"/>
  <c r="X76" i="36" s="1"/>
  <c r="U76" i="36"/>
  <c r="V76" i="36" s="1"/>
  <c r="W75" i="36"/>
  <c r="X75" i="36" s="1"/>
  <c r="U75" i="36"/>
  <c r="V75" i="36" s="1"/>
  <c r="W74" i="36"/>
  <c r="X74" i="36" s="1"/>
  <c r="U74" i="36"/>
  <c r="V74" i="36" s="1"/>
  <c r="W73" i="36"/>
  <c r="X73" i="36" s="1"/>
  <c r="U73" i="36"/>
  <c r="V73" i="36" s="1"/>
  <c r="W72" i="36"/>
  <c r="X72" i="36" s="1"/>
  <c r="U72" i="36"/>
  <c r="V72" i="36" s="1"/>
  <c r="W71" i="36"/>
  <c r="X71" i="36" s="1"/>
  <c r="U71" i="36"/>
  <c r="V71" i="36" s="1"/>
  <c r="W70" i="36"/>
  <c r="X70" i="36" s="1"/>
  <c r="U70" i="36"/>
  <c r="V70" i="36" s="1"/>
  <c r="W69" i="36"/>
  <c r="X69" i="36" s="1"/>
  <c r="U69" i="36"/>
  <c r="V69" i="36" s="1"/>
  <c r="W68" i="36"/>
  <c r="X68" i="36" s="1"/>
  <c r="U68" i="36"/>
  <c r="V68" i="36" s="1"/>
  <c r="W67" i="36"/>
  <c r="X67" i="36" s="1"/>
  <c r="U67" i="36"/>
  <c r="V67" i="36" s="1"/>
  <c r="W66" i="36"/>
  <c r="X66" i="36" s="1"/>
  <c r="U66" i="36"/>
  <c r="V66" i="36" s="1"/>
  <c r="W65" i="36"/>
  <c r="X65" i="36" s="1"/>
  <c r="U65" i="36"/>
  <c r="V65" i="36" s="1"/>
  <c r="W64" i="36"/>
  <c r="X64" i="36" s="1"/>
  <c r="U64" i="36"/>
  <c r="V64" i="36" s="1"/>
  <c r="W63" i="36"/>
  <c r="X63" i="36" s="1"/>
  <c r="U63" i="36"/>
  <c r="V63" i="36" s="1"/>
  <c r="W62" i="36"/>
  <c r="X62" i="36" s="1"/>
  <c r="U62" i="36"/>
  <c r="V62" i="36" s="1"/>
  <c r="W61" i="36"/>
  <c r="X61" i="36" s="1"/>
  <c r="U61" i="36"/>
  <c r="V61" i="36" s="1"/>
  <c r="W60" i="36"/>
  <c r="X60" i="36" s="1"/>
  <c r="U60" i="36"/>
  <c r="V60" i="36" s="1"/>
  <c r="W59" i="36"/>
  <c r="X59" i="36" s="1"/>
  <c r="U59" i="36"/>
  <c r="V59" i="36" s="1"/>
  <c r="W58" i="36"/>
  <c r="X58" i="36" s="1"/>
  <c r="U58" i="36"/>
  <c r="V58" i="36" s="1"/>
  <c r="W57" i="36"/>
  <c r="X57" i="36" s="1"/>
  <c r="U57" i="36"/>
  <c r="V57" i="36" s="1"/>
  <c r="W56" i="36"/>
  <c r="X56" i="36" s="1"/>
  <c r="U56" i="36"/>
  <c r="V56" i="36" s="1"/>
  <c r="W55" i="36"/>
  <c r="X55" i="36" s="1"/>
  <c r="U55" i="36"/>
  <c r="V55" i="36" s="1"/>
  <c r="W54" i="36"/>
  <c r="X54" i="36" s="1"/>
  <c r="U54" i="36"/>
  <c r="V54" i="36" s="1"/>
  <c r="W53" i="36"/>
  <c r="X53" i="36" s="1"/>
  <c r="U53" i="36"/>
  <c r="V53" i="36" s="1"/>
  <c r="W52" i="36"/>
  <c r="X52" i="36" s="1"/>
  <c r="U52" i="36"/>
  <c r="V52" i="36" s="1"/>
  <c r="W51" i="36"/>
  <c r="X51" i="36" s="1"/>
  <c r="U51" i="36"/>
  <c r="V51" i="36" s="1"/>
  <c r="W50" i="36"/>
  <c r="X50" i="36" s="1"/>
  <c r="U50" i="36"/>
  <c r="V50" i="36" s="1"/>
  <c r="W49" i="36"/>
  <c r="X49" i="36" s="1"/>
  <c r="U49" i="36"/>
  <c r="V49" i="36" s="1"/>
  <c r="W48" i="36"/>
  <c r="X48" i="36" s="1"/>
  <c r="U48" i="36"/>
  <c r="V48" i="36" s="1"/>
  <c r="W47" i="36"/>
  <c r="X47" i="36" s="1"/>
  <c r="U47" i="36"/>
  <c r="V47" i="36" s="1"/>
  <c r="W46" i="36"/>
  <c r="X46" i="36" s="1"/>
  <c r="U46" i="36"/>
  <c r="V46" i="36" s="1"/>
  <c r="W45" i="36"/>
  <c r="X45" i="36" s="1"/>
  <c r="U45" i="36"/>
  <c r="V45" i="36" s="1"/>
  <c r="W44" i="36"/>
  <c r="X44" i="36" s="1"/>
  <c r="U44" i="36"/>
  <c r="V44" i="36" s="1"/>
  <c r="W43" i="36"/>
  <c r="X43" i="36" s="1"/>
  <c r="U43" i="36"/>
  <c r="V43" i="36" s="1"/>
  <c r="W42" i="36"/>
  <c r="X42" i="36" s="1"/>
  <c r="U42" i="36"/>
  <c r="V42" i="36" s="1"/>
  <c r="W41" i="36"/>
  <c r="X41" i="36" s="1"/>
  <c r="U41" i="36"/>
  <c r="V41" i="36" s="1"/>
  <c r="W40" i="36"/>
  <c r="X40" i="36" s="1"/>
  <c r="U40" i="36"/>
  <c r="V40" i="36" s="1"/>
  <c r="W39" i="36"/>
  <c r="X39" i="36" s="1"/>
  <c r="U39" i="36"/>
  <c r="V39" i="36" s="1"/>
  <c r="W38" i="36"/>
  <c r="X38" i="36" s="1"/>
  <c r="U38" i="36"/>
  <c r="V38" i="36" s="1"/>
  <c r="W37" i="36"/>
  <c r="X37" i="36" s="1"/>
  <c r="U37" i="36"/>
  <c r="V37" i="36" s="1"/>
  <c r="W36" i="36"/>
  <c r="X36" i="36" s="1"/>
  <c r="U36" i="36"/>
  <c r="V36" i="36" s="1"/>
  <c r="W35" i="36"/>
  <c r="X35" i="36" s="1"/>
  <c r="U35" i="36"/>
  <c r="V35" i="36" s="1"/>
  <c r="W34" i="36"/>
  <c r="X34" i="36" s="1"/>
  <c r="U34" i="36"/>
  <c r="V34" i="36" s="1"/>
  <c r="W33" i="36"/>
  <c r="X33" i="36" s="1"/>
  <c r="U33" i="36"/>
  <c r="V33" i="36" s="1"/>
  <c r="W32" i="36"/>
  <c r="X32" i="36" s="1"/>
  <c r="U32" i="36"/>
  <c r="V32" i="36" s="1"/>
  <c r="W31" i="36"/>
  <c r="X31" i="36" s="1"/>
  <c r="U31" i="36"/>
  <c r="V31" i="36" s="1"/>
  <c r="W30" i="36"/>
  <c r="X30" i="36" s="1"/>
  <c r="U30" i="36"/>
  <c r="V30" i="36" s="1"/>
  <c r="W29" i="36"/>
  <c r="X29" i="36" s="1"/>
  <c r="U29" i="36"/>
  <c r="V29" i="36" s="1"/>
  <c r="W28" i="36"/>
  <c r="X28" i="36" s="1"/>
  <c r="U28" i="36"/>
  <c r="V28" i="36" s="1"/>
  <c r="W27" i="36"/>
  <c r="X27" i="36" s="1"/>
  <c r="U27" i="36"/>
  <c r="V27" i="36" s="1"/>
  <c r="W26" i="36"/>
  <c r="X26" i="36" s="1"/>
  <c r="U26" i="36"/>
  <c r="V26" i="36" s="1"/>
  <c r="W25" i="36"/>
  <c r="X25" i="36" s="1"/>
  <c r="U25" i="36"/>
  <c r="V25" i="36" s="1"/>
  <c r="W24" i="36"/>
  <c r="X24" i="36" s="1"/>
  <c r="U24" i="36"/>
  <c r="V24" i="36" s="1"/>
  <c r="W23" i="36"/>
  <c r="X23" i="36" s="1"/>
  <c r="U23" i="36"/>
  <c r="V23" i="36" s="1"/>
  <c r="W22" i="36"/>
  <c r="X22" i="36" s="1"/>
  <c r="U22" i="36"/>
  <c r="V22" i="36" s="1"/>
  <c r="W21" i="36"/>
  <c r="X21" i="36" s="1"/>
  <c r="U21" i="36"/>
  <c r="V21" i="36" s="1"/>
  <c r="W20" i="36"/>
  <c r="X20" i="36" s="1"/>
  <c r="U20" i="36"/>
  <c r="V20" i="36" s="1"/>
  <c r="W19" i="36"/>
  <c r="X19" i="36" s="1"/>
  <c r="U19" i="36"/>
  <c r="V19" i="36" s="1"/>
  <c r="W18" i="36"/>
  <c r="X18" i="36" s="1"/>
  <c r="U18" i="36"/>
  <c r="V18" i="36" s="1"/>
  <c r="W17" i="36"/>
  <c r="X17" i="36" s="1"/>
  <c r="U17" i="36"/>
  <c r="V17" i="36" s="1"/>
  <c r="W16" i="36"/>
  <c r="X16" i="36" s="1"/>
  <c r="U16" i="36"/>
  <c r="V16" i="36" s="1"/>
  <c r="W15" i="36"/>
  <c r="X15" i="36" s="1"/>
  <c r="U15" i="36"/>
  <c r="V15" i="36" s="1"/>
  <c r="W14" i="36"/>
  <c r="X14" i="36" s="1"/>
  <c r="U14" i="36"/>
  <c r="V14" i="36" s="1"/>
  <c r="W13" i="36"/>
  <c r="X13" i="36" s="1"/>
  <c r="U13" i="36"/>
  <c r="V13" i="36" s="1"/>
  <c r="W12" i="36"/>
  <c r="X12" i="36" s="1"/>
  <c r="U12" i="36"/>
  <c r="V12" i="36" s="1"/>
  <c r="W11" i="36"/>
  <c r="X11" i="36" s="1"/>
  <c r="U11" i="36"/>
  <c r="V11" i="36" s="1"/>
  <c r="W10" i="36"/>
  <c r="X10" i="36" s="1"/>
  <c r="U10" i="36"/>
  <c r="V10" i="36" s="1"/>
  <c r="W9" i="36"/>
  <c r="X9" i="36" s="1"/>
  <c r="U9" i="36"/>
  <c r="V9" i="36" s="1"/>
  <c r="W8" i="36"/>
  <c r="X8" i="36" s="1"/>
  <c r="U8" i="36"/>
  <c r="V8" i="36" s="1"/>
  <c r="W7" i="36"/>
  <c r="X7" i="36" s="1"/>
  <c r="U7" i="36"/>
  <c r="V7" i="36" s="1"/>
  <c r="W6" i="36"/>
  <c r="X6" i="36" s="1"/>
  <c r="U6" i="36"/>
  <c r="V6" i="36" s="1"/>
  <c r="W5" i="36"/>
  <c r="X5" i="36" s="1"/>
  <c r="U5" i="36"/>
  <c r="V5" i="36" s="1"/>
  <c r="W4" i="36"/>
  <c r="X4" i="36" s="1"/>
  <c r="U4" i="36"/>
  <c r="V4" i="36" s="1"/>
  <c r="W3" i="36"/>
  <c r="X3" i="36" s="1"/>
  <c r="U3" i="36"/>
  <c r="V3" i="36" s="1"/>
  <c r="W2" i="36"/>
  <c r="X2" i="36" s="1"/>
  <c r="U2" i="36"/>
  <c r="V2" i="36" s="1"/>
  <c r="P2" i="36"/>
  <c r="P3" i="36"/>
  <c r="P4" i="36"/>
  <c r="P5" i="36"/>
  <c r="P6" i="36"/>
  <c r="P7" i="36"/>
  <c r="P8" i="36"/>
  <c r="P9" i="36"/>
  <c r="P10" i="36"/>
  <c r="P11" i="36"/>
  <c r="P12" i="36"/>
  <c r="P13" i="36"/>
  <c r="P14" i="36"/>
  <c r="P15" i="36"/>
  <c r="P16" i="36"/>
  <c r="P17" i="36"/>
  <c r="P18" i="36"/>
  <c r="P19" i="36"/>
  <c r="P20" i="36"/>
  <c r="P21" i="36"/>
  <c r="P22" i="36"/>
  <c r="P23" i="36"/>
  <c r="P24" i="36"/>
  <c r="P25" i="36"/>
  <c r="P26" i="36"/>
  <c r="P27" i="36"/>
  <c r="P28" i="36"/>
  <c r="P29" i="36"/>
  <c r="P30" i="36"/>
  <c r="P31" i="36"/>
  <c r="P32" i="36"/>
  <c r="P33" i="36"/>
  <c r="P34" i="36"/>
  <c r="P35" i="36"/>
  <c r="P36" i="36"/>
  <c r="P37" i="36"/>
  <c r="P38" i="36"/>
  <c r="P39" i="36"/>
  <c r="P40" i="36"/>
  <c r="P41" i="36"/>
  <c r="P42" i="36"/>
  <c r="P43" i="36"/>
  <c r="P44" i="36"/>
  <c r="P45" i="36"/>
  <c r="P46" i="36"/>
  <c r="P47" i="36"/>
  <c r="P48" i="36"/>
  <c r="P49" i="36"/>
  <c r="P50" i="36"/>
  <c r="P51" i="36"/>
  <c r="P52" i="36"/>
  <c r="P53" i="36"/>
  <c r="P54" i="36"/>
  <c r="P55" i="36"/>
  <c r="P56" i="36"/>
  <c r="P57" i="36"/>
  <c r="P58" i="36"/>
  <c r="P59" i="36"/>
  <c r="P60" i="36"/>
  <c r="P61" i="36"/>
  <c r="P62" i="36"/>
  <c r="P63" i="36"/>
  <c r="P64" i="36"/>
  <c r="P65" i="36"/>
  <c r="P66" i="36"/>
  <c r="P67" i="36"/>
  <c r="P68" i="36"/>
  <c r="P69" i="36"/>
  <c r="P70" i="36"/>
  <c r="P71" i="36"/>
  <c r="P72" i="36"/>
  <c r="P73" i="36"/>
  <c r="P74" i="36"/>
  <c r="P75" i="36"/>
  <c r="P76" i="36"/>
  <c r="P77" i="36"/>
  <c r="P78" i="36"/>
  <c r="P79" i="36"/>
  <c r="P80" i="36"/>
  <c r="P81" i="36"/>
  <c r="P82" i="36"/>
  <c r="P83" i="36"/>
  <c r="P84" i="36"/>
  <c r="P85" i="36"/>
  <c r="P86" i="36"/>
  <c r="P87" i="36"/>
  <c r="P88" i="36"/>
  <c r="P89" i="36"/>
  <c r="P90" i="36"/>
  <c r="P91" i="36"/>
  <c r="P92" i="36"/>
  <c r="P93" i="36"/>
  <c r="P94" i="36"/>
  <c r="P95" i="36"/>
  <c r="P96" i="36"/>
  <c r="P97" i="36"/>
  <c r="P98" i="36"/>
  <c r="P99" i="36"/>
  <c r="P100" i="36"/>
  <c r="P101" i="36"/>
  <c r="P102" i="36"/>
  <c r="P103" i="36"/>
  <c r="P104" i="36"/>
  <c r="P105" i="36"/>
  <c r="P106" i="36"/>
  <c r="P107" i="36"/>
  <c r="P108" i="36"/>
  <c r="P109" i="36"/>
  <c r="P110" i="36"/>
  <c r="P111" i="36"/>
  <c r="P112" i="36"/>
  <c r="P113" i="36"/>
  <c r="P114" i="36"/>
  <c r="P115" i="36"/>
  <c r="P116" i="36"/>
  <c r="P117" i="36"/>
  <c r="P118" i="36"/>
  <c r="P119" i="36"/>
  <c r="P120" i="36"/>
  <c r="P121" i="36"/>
  <c r="P122" i="36"/>
  <c r="P123" i="36"/>
  <c r="P124" i="36"/>
  <c r="P125" i="36"/>
  <c r="P126" i="36"/>
  <c r="P127" i="36"/>
  <c r="P128" i="36"/>
  <c r="P129" i="36"/>
  <c r="P130" i="36"/>
  <c r="P131" i="36"/>
  <c r="P132" i="36"/>
  <c r="P133" i="36"/>
  <c r="P134" i="36"/>
  <c r="P135" i="36"/>
  <c r="P136" i="36"/>
  <c r="P137" i="36"/>
  <c r="P138" i="36"/>
  <c r="P139" i="36"/>
  <c r="P140" i="36"/>
  <c r="P141" i="36"/>
  <c r="P142" i="36"/>
  <c r="P143" i="36"/>
  <c r="P144" i="36"/>
  <c r="P145" i="36"/>
  <c r="P146" i="36"/>
  <c r="P147" i="36"/>
  <c r="P148" i="36"/>
  <c r="P149" i="36"/>
  <c r="P150" i="36"/>
  <c r="P151" i="36"/>
  <c r="P152" i="36"/>
  <c r="P153" i="36"/>
  <c r="P154" i="36"/>
  <c r="P155" i="36"/>
  <c r="P156" i="36"/>
  <c r="P157" i="36"/>
  <c r="P158" i="36"/>
  <c r="P159" i="36"/>
  <c r="P160" i="36"/>
  <c r="P161" i="36"/>
  <c r="P162" i="36"/>
  <c r="P163" i="36"/>
  <c r="P164" i="36"/>
  <c r="P165" i="36"/>
  <c r="P166" i="36"/>
  <c r="P167" i="36"/>
  <c r="P168" i="36"/>
  <c r="P169" i="36"/>
  <c r="P170" i="36"/>
  <c r="P171" i="36"/>
  <c r="P172" i="36"/>
  <c r="P173" i="36"/>
  <c r="P174" i="36"/>
  <c r="P175" i="36"/>
  <c r="P176" i="36"/>
  <c r="P177" i="36"/>
  <c r="P178" i="36"/>
  <c r="P179" i="36"/>
  <c r="P180" i="36"/>
  <c r="P181" i="36"/>
  <c r="P182" i="36"/>
  <c r="P183" i="36"/>
  <c r="P184" i="36"/>
  <c r="P185" i="36"/>
  <c r="P186" i="36"/>
  <c r="P187" i="36"/>
  <c r="P188" i="36"/>
  <c r="P189" i="36"/>
  <c r="P190" i="36"/>
  <c r="P191" i="36"/>
  <c r="P192" i="36"/>
  <c r="P193" i="36"/>
  <c r="P194" i="36"/>
  <c r="P195" i="36"/>
  <c r="P196" i="36"/>
  <c r="P197" i="36"/>
  <c r="P198" i="36"/>
  <c r="P199" i="36"/>
  <c r="P200" i="36"/>
  <c r="P201" i="36"/>
  <c r="P202" i="36"/>
  <c r="P203" i="36"/>
  <c r="P204" i="36"/>
  <c r="P205" i="36"/>
  <c r="P206" i="36"/>
  <c r="P207" i="36"/>
  <c r="P208" i="36"/>
  <c r="P209" i="36"/>
  <c r="P210" i="36"/>
  <c r="P211" i="36"/>
  <c r="P212" i="36"/>
  <c r="P213" i="36"/>
  <c r="P214" i="36"/>
  <c r="P215" i="36"/>
  <c r="P216" i="36"/>
  <c r="P217" i="36"/>
  <c r="P218" i="36"/>
  <c r="P219" i="36"/>
  <c r="P220" i="36"/>
  <c r="P221" i="36"/>
  <c r="P222" i="36"/>
  <c r="P223" i="36"/>
  <c r="P224" i="36"/>
  <c r="P225" i="36"/>
  <c r="P226" i="36"/>
  <c r="P227" i="36"/>
  <c r="P228" i="36"/>
  <c r="P229" i="36"/>
  <c r="P230" i="36"/>
  <c r="P231" i="36"/>
  <c r="P232" i="36"/>
  <c r="P233" i="36"/>
  <c r="P234" i="36"/>
  <c r="P235" i="36"/>
  <c r="P236" i="36"/>
  <c r="P237" i="36"/>
  <c r="P238" i="36"/>
  <c r="P239" i="36"/>
  <c r="P240" i="36"/>
  <c r="P241" i="36"/>
  <c r="P242" i="36"/>
  <c r="P243" i="36"/>
  <c r="P244" i="36"/>
  <c r="P245" i="36"/>
  <c r="P246" i="36"/>
  <c r="P247" i="36"/>
  <c r="P248" i="36"/>
  <c r="P249" i="36"/>
  <c r="P250" i="36"/>
  <c r="P251" i="36"/>
  <c r="P252" i="36"/>
  <c r="P253" i="36"/>
  <c r="P254" i="36"/>
  <c r="P255" i="36"/>
  <c r="P256" i="36"/>
  <c r="P257" i="36"/>
  <c r="P258" i="36"/>
  <c r="P259" i="36"/>
  <c r="P260" i="36"/>
  <c r="P261" i="36"/>
  <c r="P262" i="36"/>
  <c r="P263" i="36"/>
  <c r="P264" i="36"/>
  <c r="P265" i="36"/>
  <c r="P266" i="36"/>
  <c r="P267" i="36"/>
  <c r="P268" i="36"/>
  <c r="P269" i="36"/>
  <c r="P270" i="36"/>
  <c r="P271" i="36"/>
  <c r="P272" i="36"/>
  <c r="P273" i="36"/>
  <c r="P274" i="36"/>
  <c r="P275" i="36"/>
  <c r="P276" i="36"/>
  <c r="P277" i="36"/>
  <c r="P2" i="35"/>
  <c r="P3" i="35"/>
  <c r="P4" i="35"/>
  <c r="P5" i="35"/>
  <c r="P6" i="35"/>
  <c r="P7" i="35"/>
  <c r="P8" i="35"/>
  <c r="P9" i="35"/>
  <c r="P10" i="35"/>
  <c r="P11" i="35"/>
  <c r="P12" i="35"/>
  <c r="P13" i="35"/>
  <c r="P14" i="35"/>
  <c r="P15" i="35"/>
  <c r="P16" i="35"/>
  <c r="P17" i="35"/>
  <c r="P18" i="35"/>
  <c r="P19" i="35"/>
  <c r="P20" i="35"/>
  <c r="P21" i="35"/>
  <c r="P22" i="35"/>
  <c r="P23" i="35"/>
  <c r="P24" i="35"/>
  <c r="P25" i="35"/>
  <c r="P26" i="35"/>
  <c r="P27" i="35"/>
  <c r="P28" i="35"/>
  <c r="P29" i="35"/>
  <c r="P30" i="35"/>
  <c r="P31" i="35"/>
  <c r="P32" i="35"/>
  <c r="P33" i="35"/>
  <c r="P34" i="35"/>
  <c r="P35" i="35"/>
  <c r="P36" i="35"/>
  <c r="P37" i="35"/>
  <c r="P38" i="35"/>
  <c r="P39" i="35"/>
  <c r="P40" i="35"/>
  <c r="P41" i="35"/>
  <c r="P42" i="35"/>
  <c r="P43" i="35"/>
  <c r="P44" i="35"/>
  <c r="P45" i="35"/>
  <c r="P46" i="35"/>
  <c r="P47" i="35"/>
  <c r="P48" i="35"/>
  <c r="P49" i="35"/>
  <c r="P50" i="35"/>
  <c r="P51" i="35"/>
  <c r="P52" i="35"/>
  <c r="P53" i="35"/>
  <c r="P54" i="35"/>
  <c r="P55" i="35"/>
  <c r="P56" i="35"/>
  <c r="P57" i="35"/>
  <c r="P58" i="35"/>
  <c r="P59" i="35"/>
  <c r="P60" i="35"/>
  <c r="P61" i="35"/>
  <c r="P62" i="35"/>
  <c r="P63" i="35"/>
  <c r="P64" i="35"/>
  <c r="P65" i="35"/>
  <c r="P66" i="35"/>
  <c r="P67" i="35"/>
  <c r="P68" i="35"/>
  <c r="P69" i="35"/>
  <c r="P70" i="35"/>
  <c r="P71" i="35"/>
  <c r="P72" i="35"/>
  <c r="P73" i="35"/>
  <c r="P74" i="35"/>
  <c r="P75" i="35"/>
  <c r="P76" i="35"/>
  <c r="P77" i="35"/>
  <c r="P78" i="35"/>
  <c r="P79" i="35"/>
  <c r="P80" i="35"/>
  <c r="P81" i="35"/>
  <c r="P82" i="35"/>
  <c r="P83" i="35"/>
  <c r="P84" i="35"/>
  <c r="P85" i="35"/>
  <c r="P86" i="35"/>
  <c r="P87" i="35"/>
  <c r="P88" i="35"/>
  <c r="P89" i="35"/>
  <c r="P90" i="35"/>
  <c r="P91" i="35"/>
  <c r="P92" i="35"/>
  <c r="P93" i="35"/>
  <c r="P94" i="35"/>
  <c r="P95" i="35"/>
  <c r="P96" i="35"/>
  <c r="P97" i="35"/>
  <c r="P98" i="35"/>
  <c r="P99" i="35"/>
  <c r="P100" i="35"/>
  <c r="P101" i="35"/>
  <c r="P102" i="35"/>
  <c r="P103" i="35"/>
  <c r="P104" i="35"/>
  <c r="P105" i="35"/>
  <c r="P106" i="35"/>
  <c r="P107" i="35"/>
  <c r="P108" i="35"/>
  <c r="P109" i="35"/>
  <c r="P110" i="35"/>
  <c r="P111" i="35"/>
  <c r="P112" i="35"/>
  <c r="P113" i="35"/>
  <c r="P114" i="35"/>
  <c r="P115" i="35"/>
  <c r="P116" i="35"/>
  <c r="P117" i="35"/>
  <c r="P118" i="35"/>
  <c r="P119" i="35"/>
  <c r="P120" i="35"/>
  <c r="P121" i="35"/>
  <c r="P122" i="35"/>
  <c r="P123" i="35"/>
  <c r="P124" i="35"/>
  <c r="P125" i="35"/>
  <c r="P126" i="35"/>
  <c r="P127" i="35"/>
  <c r="P128" i="35"/>
  <c r="P129" i="35"/>
  <c r="P130" i="35"/>
  <c r="P131" i="35"/>
  <c r="P132" i="35"/>
  <c r="P133" i="35"/>
  <c r="P134" i="35"/>
  <c r="P135" i="35"/>
  <c r="P136" i="35"/>
  <c r="P137" i="35"/>
  <c r="P138" i="35"/>
  <c r="P139" i="35"/>
  <c r="P140" i="35"/>
  <c r="P141" i="35"/>
  <c r="P142" i="35"/>
  <c r="P143" i="35"/>
  <c r="P144" i="35"/>
  <c r="P145" i="35"/>
  <c r="P146" i="35"/>
  <c r="P147" i="35"/>
  <c r="P148" i="35"/>
  <c r="P149" i="35"/>
  <c r="P150" i="35"/>
  <c r="P151" i="35"/>
  <c r="P152" i="35"/>
  <c r="P153" i="35"/>
  <c r="P154" i="35"/>
  <c r="P155" i="35"/>
  <c r="P156" i="35"/>
  <c r="P157" i="35"/>
  <c r="P158" i="35"/>
  <c r="P159" i="35"/>
  <c r="P160" i="35"/>
  <c r="P161" i="35"/>
  <c r="P162" i="35"/>
  <c r="P163" i="35"/>
  <c r="P164" i="35"/>
  <c r="P165" i="35"/>
  <c r="P166" i="35"/>
  <c r="P167" i="35"/>
  <c r="P168" i="35"/>
  <c r="P169" i="35"/>
  <c r="P170" i="35"/>
  <c r="P171" i="35"/>
  <c r="P172" i="35"/>
  <c r="P173" i="35"/>
  <c r="P174" i="35"/>
  <c r="P175" i="35"/>
  <c r="P176" i="35"/>
  <c r="P177" i="35"/>
  <c r="P178" i="35"/>
  <c r="P179" i="35"/>
  <c r="P180" i="35"/>
  <c r="P181" i="35"/>
  <c r="P182" i="35"/>
  <c r="P183" i="35"/>
  <c r="P184" i="35"/>
  <c r="P185" i="35"/>
  <c r="P186" i="35"/>
  <c r="P187" i="35"/>
  <c r="P188" i="35"/>
  <c r="P189" i="35"/>
  <c r="P190" i="35"/>
  <c r="P191" i="35"/>
  <c r="P192" i="35"/>
  <c r="P193" i="35"/>
  <c r="P194" i="35"/>
  <c r="P195" i="35"/>
  <c r="P196" i="35"/>
  <c r="P197" i="35"/>
  <c r="P198" i="35"/>
  <c r="P199" i="35"/>
  <c r="P200" i="35"/>
  <c r="P201" i="35"/>
  <c r="P202" i="35"/>
  <c r="P203" i="35"/>
  <c r="P204" i="35"/>
  <c r="P205" i="35"/>
  <c r="P206" i="35"/>
  <c r="P207" i="35"/>
  <c r="P208" i="35"/>
  <c r="P209" i="35"/>
  <c r="P210" i="35"/>
  <c r="P211" i="35"/>
  <c r="P212" i="35"/>
  <c r="P213" i="35"/>
  <c r="P214" i="35"/>
  <c r="P215" i="35"/>
  <c r="P216" i="35"/>
  <c r="P217" i="35"/>
  <c r="P218" i="35"/>
  <c r="P219" i="35"/>
  <c r="P220" i="35"/>
  <c r="P221" i="35"/>
  <c r="P222" i="35"/>
  <c r="P223" i="35"/>
  <c r="P224" i="35"/>
  <c r="P225" i="35"/>
  <c r="P226" i="35"/>
  <c r="P227" i="35"/>
  <c r="P228" i="35"/>
  <c r="P229" i="35"/>
  <c r="P230" i="35"/>
  <c r="P231" i="35"/>
  <c r="P232" i="35"/>
  <c r="P233" i="35"/>
  <c r="P234" i="35"/>
  <c r="P235" i="35"/>
  <c r="P236" i="35"/>
  <c r="P237" i="35"/>
  <c r="P238" i="35"/>
  <c r="P239" i="35"/>
  <c r="P240" i="35"/>
  <c r="P241" i="35"/>
  <c r="P242" i="35"/>
  <c r="P243" i="35"/>
  <c r="P244" i="35"/>
  <c r="P245" i="35"/>
  <c r="P246" i="35"/>
  <c r="P247" i="35"/>
  <c r="P248" i="35"/>
  <c r="P249" i="35"/>
  <c r="P250" i="35"/>
  <c r="P251" i="35"/>
  <c r="P252" i="35"/>
  <c r="P253" i="35"/>
  <c r="P254" i="35"/>
  <c r="P255" i="35"/>
  <c r="P256" i="35"/>
  <c r="P257" i="35"/>
  <c r="P258" i="35"/>
  <c r="P259" i="35"/>
  <c r="P260" i="35"/>
  <c r="P261" i="35"/>
  <c r="P262" i="35"/>
  <c r="P263" i="35"/>
  <c r="P264" i="35"/>
  <c r="P265" i="35"/>
  <c r="P266" i="35"/>
  <c r="P267" i="35"/>
  <c r="P268" i="35"/>
  <c r="P269" i="35"/>
  <c r="P270" i="35"/>
  <c r="P271" i="35"/>
  <c r="P272" i="35"/>
  <c r="P273" i="35"/>
  <c r="P274" i="35"/>
  <c r="P275" i="35"/>
  <c r="P276" i="35"/>
  <c r="P277" i="35"/>
  <c r="P2" i="34"/>
  <c r="P3" i="34"/>
  <c r="P4" i="34"/>
  <c r="P5" i="34"/>
  <c r="P6" i="34"/>
  <c r="P7" i="34"/>
  <c r="P8" i="34"/>
  <c r="P9" i="34"/>
  <c r="P10" i="34"/>
  <c r="P11" i="34"/>
  <c r="P12" i="34"/>
  <c r="P13" i="34"/>
  <c r="P14" i="34"/>
  <c r="P15" i="34"/>
  <c r="P16" i="34"/>
  <c r="P17" i="34"/>
  <c r="P18" i="34"/>
  <c r="P19" i="34"/>
  <c r="P20" i="34"/>
  <c r="P21" i="34"/>
  <c r="P22" i="34"/>
  <c r="P23" i="34"/>
  <c r="P24" i="34"/>
  <c r="P25" i="34"/>
  <c r="P26" i="34"/>
  <c r="P27" i="34"/>
  <c r="P28" i="34"/>
  <c r="P29" i="34"/>
  <c r="P30" i="34"/>
  <c r="P31" i="34"/>
  <c r="P32" i="34"/>
  <c r="P33" i="34"/>
  <c r="P34" i="34"/>
  <c r="P35" i="34"/>
  <c r="P36" i="34"/>
  <c r="P37" i="34"/>
  <c r="P38" i="34"/>
  <c r="P39" i="34"/>
  <c r="P40" i="34"/>
  <c r="P41" i="34"/>
  <c r="P42" i="34"/>
  <c r="P43" i="34"/>
  <c r="P44" i="34"/>
  <c r="P45" i="34"/>
  <c r="P46" i="34"/>
  <c r="P47" i="34"/>
  <c r="P48" i="34"/>
  <c r="P49" i="34"/>
  <c r="P50" i="34"/>
  <c r="P51" i="34"/>
  <c r="P52" i="34"/>
  <c r="P53" i="34"/>
  <c r="P54" i="34"/>
  <c r="P55" i="34"/>
  <c r="P56" i="34"/>
  <c r="P57" i="34"/>
  <c r="P58" i="34"/>
  <c r="P59" i="34"/>
  <c r="P60" i="34"/>
  <c r="P61" i="34"/>
  <c r="P62" i="34"/>
  <c r="P63" i="34"/>
  <c r="P64" i="34"/>
  <c r="P65" i="34"/>
  <c r="P66" i="34"/>
  <c r="P67" i="34"/>
  <c r="P68" i="34"/>
  <c r="P69" i="34"/>
  <c r="P70" i="34"/>
  <c r="P71" i="34"/>
  <c r="P72" i="34"/>
  <c r="P73" i="34"/>
  <c r="P74" i="34"/>
  <c r="P75" i="34"/>
  <c r="P76" i="34"/>
  <c r="P77" i="34"/>
  <c r="P78" i="34"/>
  <c r="P79" i="34"/>
  <c r="P80" i="34"/>
  <c r="P81" i="34"/>
  <c r="P82" i="34"/>
  <c r="P83" i="34"/>
  <c r="P84" i="34"/>
  <c r="P85" i="34"/>
  <c r="P86" i="34"/>
  <c r="P87" i="34"/>
  <c r="P88" i="34"/>
  <c r="P89" i="34"/>
  <c r="P90" i="34"/>
  <c r="P91" i="34"/>
  <c r="P92" i="34"/>
  <c r="P93" i="34"/>
  <c r="P94" i="34"/>
  <c r="P95" i="34"/>
  <c r="P96" i="34"/>
  <c r="P97" i="34"/>
  <c r="P98" i="34"/>
  <c r="P99" i="34"/>
  <c r="P100" i="34"/>
  <c r="P101" i="34"/>
  <c r="P102" i="34"/>
  <c r="P103" i="34"/>
  <c r="P104" i="34"/>
  <c r="P105" i="34"/>
  <c r="P106" i="34"/>
  <c r="P107" i="34"/>
  <c r="P108" i="34"/>
  <c r="P109" i="34"/>
  <c r="P110" i="34"/>
  <c r="P111" i="34"/>
  <c r="P112" i="34"/>
  <c r="P113" i="34"/>
  <c r="P114" i="34"/>
  <c r="P115" i="34"/>
  <c r="P116" i="34"/>
  <c r="P117" i="34"/>
  <c r="P118" i="34"/>
  <c r="P119" i="34"/>
  <c r="P120" i="34"/>
  <c r="P121" i="34"/>
  <c r="P122" i="34"/>
  <c r="P123" i="34"/>
  <c r="P124" i="34"/>
  <c r="P125" i="34"/>
  <c r="P126" i="34"/>
  <c r="P127" i="34"/>
  <c r="P128" i="34"/>
  <c r="P129" i="34"/>
  <c r="P130" i="34"/>
  <c r="P131" i="34"/>
  <c r="P132" i="34"/>
  <c r="P133" i="34"/>
  <c r="P134" i="34"/>
  <c r="P135" i="34"/>
  <c r="P136" i="34"/>
  <c r="P137" i="34"/>
  <c r="P138" i="34"/>
  <c r="P139" i="34"/>
  <c r="P140" i="34"/>
  <c r="P141" i="34"/>
  <c r="P142" i="34"/>
  <c r="P143" i="34"/>
  <c r="P144" i="34"/>
  <c r="P145" i="34"/>
  <c r="P146" i="34"/>
  <c r="P147" i="34"/>
  <c r="P148" i="34"/>
  <c r="P149" i="34"/>
  <c r="P150" i="34"/>
  <c r="P151" i="34"/>
  <c r="P152" i="34"/>
  <c r="P153" i="34"/>
  <c r="P154" i="34"/>
  <c r="P155" i="34"/>
  <c r="P156" i="34"/>
  <c r="P157" i="34"/>
  <c r="P158" i="34"/>
  <c r="P159" i="34"/>
  <c r="P160" i="34"/>
  <c r="P161" i="34"/>
  <c r="P162" i="34"/>
  <c r="P163" i="34"/>
  <c r="P164" i="34"/>
  <c r="P165" i="34"/>
  <c r="P166" i="34"/>
  <c r="P167" i="34"/>
  <c r="P168" i="34"/>
  <c r="P169" i="34"/>
  <c r="P170" i="34"/>
  <c r="P171" i="34"/>
  <c r="P172" i="34"/>
  <c r="P173" i="34"/>
  <c r="P174" i="34"/>
  <c r="P175" i="34"/>
  <c r="P176" i="34"/>
  <c r="P177" i="34"/>
  <c r="P178" i="34"/>
  <c r="P179" i="34"/>
  <c r="P180" i="34"/>
  <c r="P181" i="34"/>
  <c r="P182" i="34"/>
  <c r="P183" i="34"/>
  <c r="P184" i="34"/>
  <c r="P185" i="34"/>
  <c r="P186" i="34"/>
  <c r="P187" i="34"/>
  <c r="P188" i="34"/>
  <c r="P189" i="34"/>
  <c r="P190" i="34"/>
  <c r="P191" i="34"/>
  <c r="P192" i="34"/>
  <c r="P193" i="34"/>
  <c r="P194" i="34"/>
  <c r="P195" i="34"/>
  <c r="P196" i="34"/>
  <c r="P197" i="34"/>
  <c r="P198" i="34"/>
  <c r="P199" i="34"/>
  <c r="P200" i="34"/>
  <c r="P201" i="34"/>
  <c r="P202" i="34"/>
  <c r="P203" i="34"/>
  <c r="P204" i="34"/>
  <c r="P205" i="34"/>
  <c r="P206" i="34"/>
  <c r="P207" i="34"/>
  <c r="P208" i="34"/>
  <c r="P209" i="34"/>
  <c r="P210" i="34"/>
  <c r="P211" i="34"/>
  <c r="P212" i="34"/>
  <c r="P213" i="34"/>
  <c r="P214" i="34"/>
  <c r="P215" i="34"/>
  <c r="P216" i="34"/>
  <c r="P217" i="34"/>
  <c r="P218" i="34"/>
  <c r="P219" i="34"/>
  <c r="P220" i="34"/>
  <c r="P221" i="34"/>
  <c r="P222" i="34"/>
  <c r="P223" i="34"/>
  <c r="P224" i="34"/>
  <c r="P225" i="34"/>
  <c r="P226" i="34"/>
  <c r="P227" i="34"/>
  <c r="P228" i="34"/>
  <c r="P229" i="34"/>
  <c r="P230" i="34"/>
  <c r="P231" i="34"/>
  <c r="P232" i="34"/>
  <c r="P233" i="34"/>
  <c r="P234" i="34"/>
  <c r="P235" i="34"/>
  <c r="P236" i="34"/>
  <c r="P237" i="34"/>
  <c r="P238" i="34"/>
  <c r="P239" i="34"/>
  <c r="P240" i="34"/>
  <c r="P241" i="34"/>
  <c r="P242" i="34"/>
  <c r="P243" i="34"/>
  <c r="P244" i="34"/>
  <c r="P245" i="34"/>
  <c r="P246" i="34"/>
  <c r="P247" i="34"/>
  <c r="P248" i="34"/>
  <c r="P249" i="34"/>
  <c r="P250" i="34"/>
  <c r="P251" i="34"/>
  <c r="P252" i="34"/>
  <c r="P253" i="34"/>
  <c r="P254" i="34"/>
  <c r="P255" i="34"/>
  <c r="P256" i="34"/>
  <c r="P257" i="34"/>
  <c r="P258" i="34"/>
  <c r="P259" i="34"/>
  <c r="P260" i="34"/>
  <c r="P261" i="34"/>
  <c r="P262" i="34"/>
  <c r="P263" i="34"/>
  <c r="P264" i="34"/>
  <c r="P265" i="34"/>
  <c r="P266" i="34"/>
  <c r="P267" i="34"/>
  <c r="P268" i="34"/>
  <c r="P269" i="34"/>
  <c r="P270" i="34"/>
  <c r="P271" i="34"/>
  <c r="P272" i="34"/>
  <c r="P273" i="34"/>
  <c r="P274" i="34"/>
  <c r="P275" i="34"/>
  <c r="P2" i="33"/>
  <c r="P3" i="33"/>
  <c r="P4" i="33"/>
  <c r="P5" i="33"/>
  <c r="P6" i="33"/>
  <c r="P7" i="33"/>
  <c r="P8" i="33"/>
  <c r="P9" i="33"/>
  <c r="P10" i="33"/>
  <c r="P11" i="33"/>
  <c r="P12" i="33"/>
  <c r="P13" i="33"/>
  <c r="P14" i="33"/>
  <c r="P15" i="33"/>
  <c r="P16" i="33"/>
  <c r="P17" i="33"/>
  <c r="P18" i="33"/>
  <c r="P19" i="33"/>
  <c r="P20" i="33"/>
  <c r="P21" i="33"/>
  <c r="P22" i="33"/>
  <c r="P23" i="33"/>
  <c r="P24" i="33"/>
  <c r="P25" i="33"/>
  <c r="P26" i="33"/>
  <c r="P27" i="33"/>
  <c r="P28" i="33"/>
  <c r="P29" i="33"/>
  <c r="P30" i="33"/>
  <c r="P31" i="33"/>
  <c r="P32" i="33"/>
  <c r="P33" i="33"/>
  <c r="P34" i="33"/>
  <c r="P35" i="33"/>
  <c r="P36" i="33"/>
  <c r="P37" i="33"/>
  <c r="P38" i="33"/>
  <c r="P39" i="33"/>
  <c r="P40" i="33"/>
  <c r="P41" i="33"/>
  <c r="P42" i="33"/>
  <c r="P43" i="33"/>
  <c r="P44" i="33"/>
  <c r="P45" i="33"/>
  <c r="P46" i="33"/>
  <c r="P47" i="33"/>
  <c r="P48" i="33"/>
  <c r="P49" i="33"/>
  <c r="P50" i="33"/>
  <c r="P51" i="33"/>
  <c r="P52" i="33"/>
  <c r="P53" i="33"/>
  <c r="P54" i="33"/>
  <c r="P55" i="33"/>
  <c r="P56" i="33"/>
  <c r="P57" i="33"/>
  <c r="P58" i="33"/>
  <c r="P59" i="33"/>
  <c r="P60" i="33"/>
  <c r="P61" i="33"/>
  <c r="P62" i="33"/>
  <c r="P63" i="33"/>
  <c r="P64" i="33"/>
  <c r="P65" i="33"/>
  <c r="P66" i="33"/>
  <c r="P67" i="33"/>
  <c r="P68" i="33"/>
  <c r="P69" i="33"/>
  <c r="P70" i="33"/>
  <c r="P71" i="33"/>
  <c r="P72" i="33"/>
  <c r="P73" i="33"/>
  <c r="P74" i="33"/>
  <c r="P75" i="33"/>
  <c r="P76" i="33"/>
  <c r="P77" i="33"/>
  <c r="P78" i="33"/>
  <c r="P79" i="33"/>
  <c r="P80" i="33"/>
  <c r="P81" i="33"/>
  <c r="P82" i="33"/>
  <c r="P83" i="33"/>
  <c r="P84" i="33"/>
  <c r="P85" i="33"/>
  <c r="P86" i="33"/>
  <c r="P87" i="33"/>
  <c r="P88" i="33"/>
  <c r="P89" i="33"/>
  <c r="P90" i="33"/>
  <c r="P91" i="33"/>
  <c r="P92" i="33"/>
  <c r="P93" i="33"/>
  <c r="P94" i="33"/>
  <c r="P95" i="33"/>
  <c r="P96" i="33"/>
  <c r="P97" i="33"/>
  <c r="P98" i="33"/>
  <c r="P99" i="33"/>
  <c r="P100" i="33"/>
  <c r="P101" i="33"/>
  <c r="P102" i="33"/>
  <c r="P103" i="33"/>
  <c r="P104" i="33"/>
  <c r="P105" i="33"/>
  <c r="P106" i="33"/>
  <c r="P107" i="33"/>
  <c r="P108" i="33"/>
  <c r="P109" i="33"/>
  <c r="P110" i="33"/>
  <c r="P111" i="33"/>
  <c r="P112" i="33"/>
  <c r="P113" i="33"/>
  <c r="P114" i="33"/>
  <c r="P115" i="33"/>
  <c r="P116" i="33"/>
  <c r="P117" i="33"/>
  <c r="P118" i="33"/>
  <c r="P119" i="33"/>
  <c r="P120" i="33"/>
  <c r="P121" i="33"/>
  <c r="P122" i="33"/>
  <c r="P123" i="33"/>
  <c r="P124" i="33"/>
  <c r="P125" i="33"/>
  <c r="P126" i="33"/>
  <c r="P127" i="33"/>
  <c r="P128" i="33"/>
  <c r="P129" i="33"/>
  <c r="P130" i="33"/>
  <c r="P131" i="33"/>
  <c r="P132" i="33"/>
  <c r="P133" i="33"/>
  <c r="P134" i="33"/>
  <c r="P135" i="33"/>
  <c r="P136" i="33"/>
  <c r="P137" i="33"/>
  <c r="P138" i="33"/>
  <c r="P139" i="33"/>
  <c r="P140" i="33"/>
  <c r="P141" i="33"/>
  <c r="P142" i="33"/>
  <c r="P143" i="33"/>
  <c r="P144" i="33"/>
  <c r="P145" i="33"/>
  <c r="P146" i="33"/>
  <c r="P147" i="33"/>
  <c r="P148" i="33"/>
  <c r="P149" i="33"/>
  <c r="P150" i="33"/>
  <c r="P151" i="33"/>
  <c r="P152" i="33"/>
  <c r="P153" i="33"/>
  <c r="P154" i="33"/>
  <c r="P155" i="33"/>
  <c r="P156" i="33"/>
  <c r="P157" i="33"/>
  <c r="P158" i="33"/>
  <c r="P159" i="33"/>
  <c r="P160" i="33"/>
  <c r="P161" i="33"/>
  <c r="P162" i="33"/>
  <c r="P163" i="33"/>
  <c r="P164" i="33"/>
  <c r="P165" i="33"/>
  <c r="P166" i="33"/>
  <c r="P167" i="33"/>
  <c r="P168" i="33"/>
  <c r="P169" i="33"/>
  <c r="P170" i="33"/>
  <c r="P171" i="33"/>
  <c r="P172" i="33"/>
  <c r="P173" i="33"/>
  <c r="P174" i="33"/>
  <c r="P175" i="33"/>
  <c r="P176" i="33"/>
  <c r="P177" i="33"/>
  <c r="P178" i="33"/>
  <c r="P179" i="33"/>
  <c r="P180" i="33"/>
  <c r="P181" i="33"/>
  <c r="P182" i="33"/>
  <c r="P183" i="33"/>
  <c r="P184" i="33"/>
  <c r="P185" i="33"/>
  <c r="P186" i="33"/>
  <c r="P187" i="33"/>
  <c r="P188" i="33"/>
  <c r="P189" i="33"/>
  <c r="P190" i="33"/>
  <c r="P191" i="33"/>
  <c r="P192" i="33"/>
  <c r="P193" i="33"/>
  <c r="P194" i="33"/>
  <c r="P195" i="33"/>
  <c r="P196" i="33"/>
  <c r="P197" i="33"/>
  <c r="P198" i="33"/>
  <c r="P199" i="33"/>
  <c r="P200" i="33"/>
  <c r="P201" i="33"/>
  <c r="P202" i="33"/>
  <c r="P203" i="33"/>
  <c r="P204" i="33"/>
  <c r="P205" i="33"/>
  <c r="P206" i="33"/>
  <c r="P207" i="33"/>
  <c r="P208" i="33"/>
  <c r="P209" i="33"/>
  <c r="P210" i="33"/>
  <c r="P211" i="33"/>
  <c r="P212" i="33"/>
  <c r="P213" i="33"/>
  <c r="P214" i="33"/>
  <c r="P215" i="33"/>
  <c r="P216" i="33"/>
  <c r="P217" i="33"/>
  <c r="P218" i="33"/>
  <c r="P219" i="33"/>
  <c r="P220" i="33"/>
  <c r="P221" i="33"/>
  <c r="P222" i="33"/>
  <c r="P223" i="33"/>
  <c r="P224" i="33"/>
  <c r="P225" i="33"/>
  <c r="P226" i="33"/>
  <c r="P227" i="33"/>
  <c r="P228" i="33"/>
  <c r="P229" i="33"/>
  <c r="P230" i="33"/>
  <c r="P231" i="33"/>
  <c r="P232" i="33"/>
  <c r="P233" i="33"/>
  <c r="P234" i="33"/>
  <c r="P235" i="33"/>
  <c r="P236" i="33"/>
  <c r="P237" i="33"/>
  <c r="P238" i="33"/>
  <c r="P239" i="33"/>
  <c r="P240" i="33"/>
  <c r="P241" i="33"/>
  <c r="P242" i="33"/>
  <c r="P243" i="33"/>
  <c r="P244" i="33"/>
  <c r="P245" i="33"/>
  <c r="P246" i="33"/>
  <c r="P247" i="33"/>
  <c r="P248" i="33"/>
  <c r="P249" i="33"/>
  <c r="P250" i="33"/>
  <c r="P251" i="33"/>
  <c r="P252" i="33"/>
  <c r="P253" i="33"/>
  <c r="P254" i="33"/>
  <c r="P255" i="33"/>
  <c r="P256" i="33"/>
  <c r="P257" i="33"/>
  <c r="P258" i="33"/>
  <c r="P259" i="33"/>
  <c r="P260" i="33"/>
  <c r="P261" i="33"/>
  <c r="P262" i="33"/>
  <c r="P263" i="33"/>
  <c r="P264" i="33"/>
  <c r="P265" i="33"/>
  <c r="P266" i="33"/>
  <c r="P267" i="33"/>
  <c r="P268" i="33"/>
  <c r="P269" i="33"/>
  <c r="P270" i="33"/>
  <c r="P271" i="33"/>
  <c r="P272" i="33"/>
  <c r="P273" i="33"/>
  <c r="P274" i="33"/>
  <c r="P275" i="33"/>
  <c r="P2" i="32"/>
  <c r="P3" i="32"/>
  <c r="P4" i="32"/>
  <c r="P5" i="32"/>
  <c r="P6" i="32"/>
  <c r="P7" i="32"/>
  <c r="P8" i="32"/>
  <c r="P9" i="32"/>
  <c r="P10" i="32"/>
  <c r="P11" i="32"/>
  <c r="P12" i="32"/>
  <c r="P13" i="32"/>
  <c r="P14" i="32"/>
  <c r="P15" i="32"/>
  <c r="P16" i="32"/>
  <c r="P17" i="32"/>
  <c r="P18" i="32"/>
  <c r="P19" i="32"/>
  <c r="P20" i="32"/>
  <c r="P21" i="32"/>
  <c r="P22" i="32"/>
  <c r="P23" i="32"/>
  <c r="P24" i="32"/>
  <c r="P25" i="32"/>
  <c r="P26" i="32"/>
  <c r="P27" i="32"/>
  <c r="P28" i="32"/>
  <c r="P29" i="32"/>
  <c r="P30" i="32"/>
  <c r="P31" i="32"/>
  <c r="P32" i="32"/>
  <c r="P33" i="32"/>
  <c r="P34" i="32"/>
  <c r="P35" i="32"/>
  <c r="P36" i="32"/>
  <c r="P37" i="32"/>
  <c r="P38" i="32"/>
  <c r="P39" i="32"/>
  <c r="P40" i="32"/>
  <c r="P41" i="32"/>
  <c r="P42" i="32"/>
  <c r="P43" i="32"/>
  <c r="P44" i="32"/>
  <c r="P45" i="32"/>
  <c r="P46" i="32"/>
  <c r="P47" i="32"/>
  <c r="P48" i="32"/>
  <c r="P49" i="32"/>
  <c r="P50" i="32"/>
  <c r="P51" i="32"/>
  <c r="P52" i="32"/>
  <c r="P53" i="32"/>
  <c r="P54" i="32"/>
  <c r="P55" i="32"/>
  <c r="P56" i="32"/>
  <c r="P57" i="32"/>
  <c r="P58" i="32"/>
  <c r="P59" i="32"/>
  <c r="P60" i="32"/>
  <c r="P61" i="32"/>
  <c r="P62" i="32"/>
  <c r="P63" i="32"/>
  <c r="P64" i="32"/>
  <c r="P65" i="32"/>
  <c r="P66" i="32"/>
  <c r="P67" i="32"/>
  <c r="P68" i="32"/>
  <c r="P69" i="32"/>
  <c r="P70" i="32"/>
  <c r="P71" i="32"/>
  <c r="P72" i="32"/>
  <c r="P73" i="32"/>
  <c r="P74" i="32"/>
  <c r="P75" i="32"/>
  <c r="P76" i="32"/>
  <c r="P77" i="32"/>
  <c r="P78" i="32"/>
  <c r="P79" i="32"/>
  <c r="P80" i="32"/>
  <c r="P81" i="32"/>
  <c r="P82" i="32"/>
  <c r="P83" i="32"/>
  <c r="P84" i="32"/>
  <c r="P85" i="32"/>
  <c r="P86" i="32"/>
  <c r="P87" i="32"/>
  <c r="P88" i="32"/>
  <c r="P89" i="32"/>
  <c r="P90" i="32"/>
  <c r="P91" i="32"/>
  <c r="P92" i="32"/>
  <c r="P93" i="32"/>
  <c r="P94" i="32"/>
  <c r="P95" i="32"/>
  <c r="P96" i="32"/>
  <c r="P97" i="32"/>
  <c r="P98" i="32"/>
  <c r="P99" i="32"/>
  <c r="P100" i="32"/>
  <c r="P101" i="32"/>
  <c r="P102" i="32"/>
  <c r="P103" i="32"/>
  <c r="P104" i="32"/>
  <c r="P105" i="32"/>
  <c r="P106" i="32"/>
  <c r="P107" i="32"/>
  <c r="P108" i="32"/>
  <c r="P109" i="32"/>
  <c r="P110" i="32"/>
  <c r="P111" i="32"/>
  <c r="P112" i="32"/>
  <c r="P113" i="32"/>
  <c r="P114" i="32"/>
  <c r="P115" i="32"/>
  <c r="P116" i="32"/>
  <c r="P117" i="32"/>
  <c r="P118" i="32"/>
  <c r="P119" i="32"/>
  <c r="P120" i="32"/>
  <c r="P121" i="32"/>
  <c r="P122" i="32"/>
  <c r="P124" i="32"/>
  <c r="P125" i="32"/>
  <c r="P126" i="32"/>
  <c r="P127" i="32"/>
  <c r="P128" i="32"/>
  <c r="P129" i="32"/>
  <c r="P130" i="32"/>
  <c r="P131" i="32"/>
  <c r="P132" i="32"/>
  <c r="P133" i="32"/>
  <c r="P134" i="32"/>
  <c r="P135" i="32"/>
  <c r="P136" i="32"/>
  <c r="P137" i="32"/>
  <c r="P138" i="32"/>
  <c r="P139" i="32"/>
  <c r="P140" i="32"/>
  <c r="P141" i="32"/>
  <c r="P142" i="32"/>
  <c r="P143" i="32"/>
  <c r="P144" i="32"/>
  <c r="P145" i="32"/>
  <c r="P146" i="32"/>
  <c r="P147" i="32"/>
  <c r="P148" i="32"/>
  <c r="P149" i="32"/>
  <c r="P150" i="32"/>
  <c r="P151" i="32"/>
  <c r="P152" i="32"/>
  <c r="P153" i="32"/>
  <c r="P154" i="32"/>
  <c r="P155" i="32"/>
  <c r="P156" i="32"/>
  <c r="P157" i="32"/>
  <c r="P158" i="32"/>
  <c r="P159" i="32"/>
  <c r="P160" i="32"/>
  <c r="P161" i="32"/>
  <c r="P162" i="32"/>
  <c r="P163" i="32"/>
  <c r="P164" i="32"/>
  <c r="P165" i="32"/>
  <c r="P166" i="32"/>
  <c r="P167" i="32"/>
  <c r="P168" i="32"/>
  <c r="P169" i="32"/>
  <c r="P170" i="32"/>
  <c r="P171" i="32"/>
  <c r="P172" i="32"/>
  <c r="P173" i="32"/>
  <c r="P174" i="32"/>
  <c r="P175" i="32"/>
  <c r="P176" i="32"/>
  <c r="P177" i="32"/>
  <c r="P178" i="32"/>
  <c r="P179" i="32"/>
  <c r="P180" i="32"/>
  <c r="P181" i="32"/>
  <c r="P182" i="32"/>
  <c r="P183" i="32"/>
  <c r="P184" i="32"/>
  <c r="P185" i="32"/>
  <c r="P186" i="32"/>
  <c r="P187" i="32"/>
  <c r="P188" i="32"/>
  <c r="P189" i="32"/>
  <c r="P190" i="32"/>
  <c r="P191" i="32"/>
  <c r="P192" i="32"/>
  <c r="P193" i="32"/>
  <c r="P194" i="32"/>
  <c r="P195" i="32"/>
  <c r="P196" i="32"/>
  <c r="P197" i="32"/>
  <c r="P198" i="32"/>
  <c r="P199" i="32"/>
  <c r="P200" i="32"/>
  <c r="P201" i="32"/>
  <c r="P202" i="32"/>
  <c r="P203" i="32"/>
  <c r="P204" i="32"/>
  <c r="P205" i="32"/>
  <c r="P206" i="32"/>
  <c r="P207" i="32"/>
  <c r="P208" i="32"/>
  <c r="P209" i="32"/>
  <c r="P210" i="32"/>
  <c r="P211" i="32"/>
  <c r="P212" i="32"/>
  <c r="P213" i="32"/>
  <c r="P214" i="32"/>
  <c r="P215" i="32"/>
  <c r="P216" i="32"/>
  <c r="P217" i="32"/>
  <c r="P218" i="32"/>
  <c r="P219" i="32"/>
  <c r="P220" i="32"/>
  <c r="P221" i="32"/>
  <c r="P222" i="32"/>
  <c r="P223" i="32"/>
  <c r="P224" i="32"/>
  <c r="P225" i="32"/>
  <c r="P226" i="32"/>
  <c r="P227" i="32"/>
  <c r="P228" i="32"/>
  <c r="P229" i="32"/>
  <c r="P230" i="32"/>
  <c r="P231" i="32"/>
  <c r="P232" i="32"/>
  <c r="P233" i="32"/>
  <c r="P234" i="32"/>
  <c r="P235" i="32"/>
  <c r="P236" i="32"/>
  <c r="P237" i="32"/>
  <c r="P238" i="32"/>
  <c r="P239" i="32"/>
  <c r="P240" i="32"/>
  <c r="P241" i="32"/>
  <c r="P242" i="32"/>
  <c r="P243" i="32"/>
  <c r="P244" i="32"/>
  <c r="P245" i="32"/>
  <c r="P246" i="32"/>
  <c r="P247" i="32"/>
  <c r="P248" i="32"/>
  <c r="P249" i="32"/>
  <c r="P250" i="32"/>
  <c r="P251" i="32"/>
  <c r="P252" i="32"/>
  <c r="P253" i="32"/>
  <c r="P254" i="32"/>
  <c r="P255" i="32"/>
  <c r="P256" i="32"/>
  <c r="P257" i="32"/>
  <c r="P258" i="32"/>
  <c r="P259" i="32"/>
  <c r="P260" i="32"/>
  <c r="P261" i="32"/>
  <c r="P262" i="32"/>
  <c r="P263" i="32"/>
  <c r="P264" i="32"/>
  <c r="P265" i="32"/>
  <c r="P266" i="32"/>
  <c r="P267" i="32"/>
  <c r="P268" i="32"/>
  <c r="P269" i="32"/>
  <c r="P270" i="32"/>
  <c r="P271" i="32"/>
  <c r="P272" i="32"/>
  <c r="P273" i="32"/>
  <c r="P274" i="32"/>
  <c r="P275" i="32"/>
  <c r="P2" i="31"/>
  <c r="P3" i="31"/>
  <c r="P4" i="31"/>
  <c r="P5" i="31"/>
  <c r="P6" i="31"/>
  <c r="P7" i="31"/>
  <c r="P8" i="31"/>
  <c r="P9" i="31"/>
  <c r="P10" i="31"/>
  <c r="P11" i="31"/>
  <c r="P12" i="31"/>
  <c r="P13" i="31"/>
  <c r="P14" i="31"/>
  <c r="P15" i="31"/>
  <c r="P16" i="31"/>
  <c r="P17" i="31"/>
  <c r="P18" i="31"/>
  <c r="P19" i="31"/>
  <c r="P20" i="31"/>
  <c r="P21" i="31"/>
  <c r="P22" i="31"/>
  <c r="P23" i="31"/>
  <c r="P24" i="31"/>
  <c r="P25" i="31"/>
  <c r="P26" i="31"/>
  <c r="P27" i="31"/>
  <c r="P28" i="31"/>
  <c r="P29" i="31"/>
  <c r="P30" i="31"/>
  <c r="P31" i="31"/>
  <c r="P32" i="31"/>
  <c r="P33" i="31"/>
  <c r="P34" i="31"/>
  <c r="P35" i="31"/>
  <c r="P36" i="31"/>
  <c r="P37" i="31"/>
  <c r="P38" i="31"/>
  <c r="P39" i="31"/>
  <c r="P40" i="31"/>
  <c r="P41" i="31"/>
  <c r="P42" i="31"/>
  <c r="P43" i="31"/>
  <c r="P44" i="31"/>
  <c r="P45" i="31"/>
  <c r="P46" i="31"/>
  <c r="P47" i="31"/>
  <c r="P48" i="31"/>
  <c r="P49" i="31"/>
  <c r="P50" i="31"/>
  <c r="P51" i="31"/>
  <c r="P52" i="31"/>
  <c r="P53" i="31"/>
  <c r="P54" i="31"/>
  <c r="P55" i="31"/>
  <c r="P56" i="31"/>
  <c r="P57" i="31"/>
  <c r="P58" i="31"/>
  <c r="P59" i="31"/>
  <c r="P60" i="31"/>
  <c r="P61" i="31"/>
  <c r="P62" i="31"/>
  <c r="P63" i="31"/>
  <c r="P64" i="31"/>
  <c r="P65" i="31"/>
  <c r="P66" i="31"/>
  <c r="P67" i="31"/>
  <c r="P68" i="31"/>
  <c r="P69" i="31"/>
  <c r="P70" i="31"/>
  <c r="P71" i="31"/>
  <c r="P72" i="31"/>
  <c r="P73" i="31"/>
  <c r="P74" i="31"/>
  <c r="P75" i="31"/>
  <c r="P76" i="31"/>
  <c r="P77" i="31"/>
  <c r="P78" i="31"/>
  <c r="P79" i="31"/>
  <c r="P80" i="31"/>
  <c r="P81" i="31"/>
  <c r="P82" i="31"/>
  <c r="P83" i="31"/>
  <c r="P84" i="31"/>
  <c r="P85" i="31"/>
  <c r="P86" i="31"/>
  <c r="P87" i="31"/>
  <c r="P88" i="31"/>
  <c r="P89" i="31"/>
  <c r="P90" i="31"/>
  <c r="P91" i="31"/>
  <c r="P92" i="31"/>
  <c r="P93" i="31"/>
  <c r="P94" i="31"/>
  <c r="P95" i="31"/>
  <c r="P96" i="31"/>
  <c r="P97" i="31"/>
  <c r="P98" i="31"/>
  <c r="P99" i="31"/>
  <c r="P100" i="31"/>
  <c r="P101" i="31"/>
  <c r="P102" i="31"/>
  <c r="P103" i="31"/>
  <c r="P104" i="31"/>
  <c r="P105" i="31"/>
  <c r="P106" i="31"/>
  <c r="P107" i="31"/>
  <c r="P108" i="31"/>
  <c r="P109" i="31"/>
  <c r="P110" i="31"/>
  <c r="P111" i="31"/>
  <c r="P112" i="31"/>
  <c r="P113" i="31"/>
  <c r="P114" i="31"/>
  <c r="P115" i="31"/>
  <c r="P116" i="31"/>
  <c r="P117" i="31"/>
  <c r="P118" i="31"/>
  <c r="P119" i="31"/>
  <c r="P120" i="31"/>
  <c r="P121" i="31"/>
  <c r="P122" i="31"/>
  <c r="P123" i="31"/>
  <c r="P124" i="31"/>
  <c r="P125" i="31"/>
  <c r="P126" i="31"/>
  <c r="P127" i="31"/>
  <c r="P128" i="31"/>
  <c r="P129" i="31"/>
  <c r="P130" i="31"/>
  <c r="P131" i="31"/>
  <c r="P132" i="31"/>
  <c r="P133" i="31"/>
  <c r="P134" i="31"/>
  <c r="P135" i="31"/>
  <c r="P136" i="31"/>
  <c r="P137" i="31"/>
  <c r="P138" i="31"/>
  <c r="P139" i="31"/>
  <c r="P140" i="31"/>
  <c r="P141" i="31"/>
  <c r="P142" i="31"/>
  <c r="P143" i="31"/>
  <c r="P144" i="31"/>
  <c r="P145" i="31"/>
  <c r="P146" i="31"/>
  <c r="P147" i="31"/>
  <c r="P148" i="31"/>
  <c r="P149" i="31"/>
  <c r="P150" i="31"/>
  <c r="P151" i="31"/>
  <c r="P152" i="31"/>
  <c r="P153" i="31"/>
  <c r="P154" i="31"/>
  <c r="P155" i="31"/>
  <c r="P156" i="31"/>
  <c r="P157" i="31"/>
  <c r="P158" i="31"/>
  <c r="P159" i="31"/>
  <c r="P160" i="31"/>
  <c r="P161" i="31"/>
  <c r="P162" i="31"/>
  <c r="P163" i="31"/>
  <c r="P164" i="31"/>
  <c r="P165" i="31"/>
  <c r="P166" i="31"/>
  <c r="P167" i="31"/>
  <c r="P168" i="31"/>
  <c r="P169" i="31"/>
  <c r="P170" i="31"/>
  <c r="P171" i="31"/>
  <c r="P172" i="31"/>
  <c r="P173" i="31"/>
  <c r="P174" i="31"/>
  <c r="P175" i="31"/>
  <c r="P176" i="31"/>
  <c r="P177" i="31"/>
  <c r="P178" i="31"/>
  <c r="P179" i="31"/>
  <c r="P180" i="31"/>
  <c r="P181" i="31"/>
  <c r="P182" i="31"/>
  <c r="P183" i="31"/>
  <c r="P184" i="31"/>
  <c r="P185" i="31"/>
  <c r="P186" i="31"/>
  <c r="P187" i="31"/>
  <c r="P188" i="31"/>
  <c r="P189" i="31"/>
  <c r="P190" i="31"/>
  <c r="P191" i="31"/>
  <c r="P192" i="31"/>
  <c r="P193" i="31"/>
  <c r="P194" i="31"/>
  <c r="P195" i="31"/>
  <c r="P196" i="31"/>
  <c r="P197" i="31"/>
  <c r="P198" i="31"/>
  <c r="P199" i="31"/>
  <c r="P200" i="31"/>
  <c r="P201" i="31"/>
  <c r="P202" i="31"/>
  <c r="P203" i="31"/>
  <c r="P204" i="31"/>
  <c r="P205" i="31"/>
  <c r="P206" i="31"/>
  <c r="P207" i="31"/>
  <c r="P208" i="31"/>
  <c r="P209" i="31"/>
  <c r="P210" i="31"/>
  <c r="P211" i="31"/>
  <c r="P212" i="31"/>
  <c r="P213" i="31"/>
  <c r="P214" i="31"/>
  <c r="P215" i="31"/>
  <c r="P216" i="31"/>
  <c r="P217" i="31"/>
  <c r="P218" i="31"/>
  <c r="P219" i="31"/>
  <c r="P220" i="31"/>
  <c r="P221" i="31"/>
  <c r="P222" i="31"/>
  <c r="P223" i="31"/>
  <c r="P224" i="31"/>
  <c r="P225" i="31"/>
  <c r="P226" i="31"/>
  <c r="P227" i="31"/>
  <c r="P228" i="31"/>
  <c r="P229" i="31"/>
  <c r="P230" i="31"/>
  <c r="P231" i="31"/>
  <c r="P232" i="31"/>
  <c r="P233" i="31"/>
  <c r="P234" i="31"/>
  <c r="P235" i="31"/>
  <c r="P236" i="31"/>
  <c r="P237" i="31"/>
  <c r="P238" i="31"/>
  <c r="P239" i="31"/>
  <c r="P240" i="31"/>
  <c r="P241" i="31"/>
  <c r="P242" i="31"/>
  <c r="P243" i="31"/>
  <c r="P244" i="31"/>
  <c r="P245" i="31"/>
  <c r="P246" i="31"/>
  <c r="P247" i="31"/>
  <c r="P248" i="31"/>
  <c r="P249" i="31"/>
  <c r="P250" i="31"/>
  <c r="P253" i="31"/>
  <c r="P254" i="31"/>
  <c r="P259" i="31"/>
  <c r="P260" i="31"/>
  <c r="P261" i="31"/>
  <c r="P262" i="31"/>
  <c r="P263" i="31"/>
  <c r="P264" i="31"/>
  <c r="P265" i="31"/>
  <c r="P266" i="31"/>
  <c r="P267" i="31"/>
  <c r="P268" i="31"/>
  <c r="P269" i="31"/>
  <c r="P270" i="31"/>
  <c r="P271" i="31"/>
  <c r="P272" i="31"/>
  <c r="P273" i="31"/>
  <c r="P274" i="31"/>
  <c r="P275" i="31"/>
  <c r="P2" i="30"/>
  <c r="P3" i="30"/>
  <c r="P4" i="30"/>
  <c r="P5" i="30"/>
  <c r="P6" i="30"/>
  <c r="P7" i="30"/>
  <c r="P8" i="30"/>
  <c r="P9" i="30"/>
  <c r="P10" i="30"/>
  <c r="P11" i="30"/>
  <c r="P12" i="30"/>
  <c r="P13" i="30"/>
  <c r="P14" i="30"/>
  <c r="P15" i="30"/>
  <c r="P16" i="30"/>
  <c r="P17" i="30"/>
  <c r="P18" i="30"/>
  <c r="P19" i="30"/>
  <c r="P20" i="30"/>
  <c r="P21" i="30"/>
  <c r="P22" i="30"/>
  <c r="P23" i="30"/>
  <c r="P24" i="30"/>
  <c r="P25" i="30"/>
  <c r="P26" i="30"/>
  <c r="P27" i="30"/>
  <c r="P28" i="30"/>
  <c r="P29" i="30"/>
  <c r="P30" i="30"/>
  <c r="P31" i="30"/>
  <c r="P32" i="30"/>
  <c r="P33" i="30"/>
  <c r="P34" i="30"/>
  <c r="P35" i="30"/>
  <c r="P36" i="30"/>
  <c r="P37" i="30"/>
  <c r="P38" i="30"/>
  <c r="P39" i="30"/>
  <c r="P40" i="30"/>
  <c r="P41" i="30"/>
  <c r="P42" i="30"/>
  <c r="P43" i="30"/>
  <c r="P44" i="30"/>
  <c r="P45" i="30"/>
  <c r="P46" i="30"/>
  <c r="P47" i="30"/>
  <c r="P48" i="30"/>
  <c r="P49" i="30"/>
  <c r="P50" i="30"/>
  <c r="P51" i="30"/>
  <c r="P52" i="30"/>
  <c r="P53" i="30"/>
  <c r="P54" i="30"/>
  <c r="P55" i="30"/>
  <c r="P56" i="30"/>
  <c r="P57" i="30"/>
  <c r="P58" i="30"/>
  <c r="P59" i="30"/>
  <c r="P60" i="30"/>
  <c r="P61" i="30"/>
  <c r="P62" i="30"/>
  <c r="P63" i="30"/>
  <c r="P64" i="30"/>
  <c r="P65" i="30"/>
  <c r="P66" i="30"/>
  <c r="P67" i="30"/>
  <c r="P68" i="30"/>
  <c r="P69" i="30"/>
  <c r="P70" i="30"/>
  <c r="P71" i="30"/>
  <c r="P72" i="30"/>
  <c r="P73" i="30"/>
  <c r="P74" i="30"/>
  <c r="P75" i="30"/>
  <c r="P76" i="30"/>
  <c r="P77" i="30"/>
  <c r="P78" i="30"/>
  <c r="P79" i="30"/>
  <c r="P80" i="30"/>
  <c r="P81" i="30"/>
  <c r="P82" i="30"/>
  <c r="P83" i="30"/>
  <c r="P84" i="30"/>
  <c r="P85" i="30"/>
  <c r="P86" i="30"/>
  <c r="P87" i="30"/>
  <c r="P88" i="30"/>
  <c r="P89" i="30"/>
  <c r="P90" i="30"/>
  <c r="P91" i="30"/>
  <c r="P92" i="30"/>
  <c r="P93" i="30"/>
  <c r="P94" i="30"/>
  <c r="P95" i="30"/>
  <c r="P96" i="30"/>
  <c r="P97" i="30"/>
  <c r="P98" i="30"/>
  <c r="P99" i="30"/>
  <c r="P100" i="30"/>
  <c r="P101" i="30"/>
  <c r="P102" i="30"/>
  <c r="P103" i="30"/>
  <c r="P104" i="30"/>
  <c r="P105" i="30"/>
  <c r="P106" i="30"/>
  <c r="P107" i="30"/>
  <c r="P108" i="30"/>
  <c r="P109" i="30"/>
  <c r="P110" i="30"/>
  <c r="P111" i="30"/>
  <c r="P112" i="30"/>
  <c r="P113" i="30"/>
  <c r="P114" i="30"/>
  <c r="P115" i="30"/>
  <c r="P116" i="30"/>
  <c r="P117" i="30"/>
  <c r="P118" i="30"/>
  <c r="P119" i="30"/>
  <c r="P120" i="30"/>
  <c r="P121" i="30"/>
  <c r="P122" i="30"/>
  <c r="P123" i="30"/>
  <c r="P124" i="30"/>
  <c r="P125" i="30"/>
  <c r="P126" i="30"/>
  <c r="P127" i="30"/>
  <c r="P128" i="30"/>
  <c r="P129" i="30"/>
  <c r="P130" i="30"/>
  <c r="P131" i="30"/>
  <c r="P132" i="30"/>
  <c r="P133" i="30"/>
  <c r="P134" i="30"/>
  <c r="P135" i="30"/>
  <c r="P136" i="30"/>
  <c r="P137" i="30"/>
  <c r="P138" i="30"/>
  <c r="P139" i="30"/>
  <c r="P140" i="30"/>
  <c r="P141" i="30"/>
  <c r="P142" i="30"/>
  <c r="P143" i="30"/>
  <c r="P144" i="30"/>
  <c r="P145" i="30"/>
  <c r="P146" i="30"/>
  <c r="P147" i="30"/>
  <c r="P148" i="30"/>
  <c r="P149" i="30"/>
  <c r="P150" i="30"/>
  <c r="P151" i="30"/>
  <c r="P152" i="30"/>
  <c r="P153" i="30"/>
  <c r="P154" i="30"/>
  <c r="P155" i="30"/>
  <c r="P156" i="30"/>
  <c r="P157" i="30"/>
  <c r="P158" i="30"/>
  <c r="P159" i="30"/>
  <c r="P160" i="30"/>
  <c r="P161" i="30"/>
  <c r="P162" i="30"/>
  <c r="P163" i="30"/>
  <c r="P164" i="30"/>
  <c r="P165" i="30"/>
  <c r="P166" i="30"/>
  <c r="P167" i="30"/>
  <c r="P168" i="30"/>
  <c r="P169" i="30"/>
  <c r="P170" i="30"/>
  <c r="P171" i="30"/>
  <c r="P172" i="30"/>
  <c r="P173" i="30"/>
  <c r="P174" i="30"/>
  <c r="P175" i="30"/>
  <c r="P176" i="30"/>
  <c r="P177" i="30"/>
  <c r="P178" i="30"/>
  <c r="P179" i="30"/>
  <c r="P180" i="30"/>
  <c r="P181" i="30"/>
  <c r="P182" i="30"/>
  <c r="P183" i="30"/>
  <c r="P184" i="30"/>
  <c r="P185" i="30"/>
  <c r="P186" i="30"/>
  <c r="P187" i="30"/>
  <c r="P188" i="30"/>
  <c r="P189" i="30"/>
  <c r="P190" i="30"/>
  <c r="P191" i="30"/>
  <c r="P192" i="30"/>
  <c r="P193" i="30"/>
  <c r="P194" i="30"/>
  <c r="P195" i="30"/>
  <c r="P196" i="30"/>
  <c r="P197" i="30"/>
  <c r="P198" i="30"/>
  <c r="P199" i="30"/>
  <c r="P200" i="30"/>
  <c r="P201" i="30"/>
  <c r="P202" i="30"/>
  <c r="P203" i="30"/>
  <c r="P204" i="30"/>
  <c r="P205" i="30"/>
  <c r="P206" i="30"/>
  <c r="P207" i="30"/>
  <c r="P208" i="30"/>
  <c r="P209" i="30"/>
  <c r="P210" i="30"/>
  <c r="P211" i="30"/>
  <c r="P212" i="30"/>
  <c r="P213" i="30"/>
  <c r="P214" i="30"/>
  <c r="P215" i="30"/>
  <c r="P216" i="30"/>
  <c r="P217" i="30"/>
  <c r="P218" i="30"/>
  <c r="P219" i="30"/>
  <c r="P220" i="30"/>
  <c r="P221" i="30"/>
  <c r="P222" i="30"/>
  <c r="P223" i="30"/>
  <c r="P224" i="30"/>
  <c r="P225" i="30"/>
  <c r="P226" i="30"/>
  <c r="P227" i="30"/>
  <c r="P228" i="30"/>
  <c r="P229" i="30"/>
  <c r="P230" i="30"/>
  <c r="P231" i="30"/>
  <c r="P232" i="30"/>
  <c r="P233" i="30"/>
  <c r="P234" i="30"/>
  <c r="P235" i="30"/>
  <c r="P236" i="30"/>
  <c r="P237" i="30"/>
  <c r="P238" i="30"/>
  <c r="P239" i="30"/>
  <c r="P240" i="30"/>
  <c r="P241" i="30"/>
  <c r="P242" i="30"/>
  <c r="P243" i="30"/>
  <c r="P244" i="30"/>
  <c r="P245" i="30"/>
  <c r="P246" i="30"/>
  <c r="P247" i="30"/>
  <c r="P248" i="30"/>
  <c r="P249" i="30"/>
  <c r="P250" i="30"/>
  <c r="P251" i="30"/>
  <c r="P252" i="30"/>
  <c r="P253" i="30"/>
  <c r="P254" i="30"/>
  <c r="P255" i="30"/>
  <c r="P256" i="30"/>
  <c r="P257" i="30"/>
  <c r="P258" i="30"/>
  <c r="P259" i="30"/>
  <c r="P260" i="30"/>
  <c r="P261" i="30"/>
  <c r="P262" i="30"/>
  <c r="P263" i="30"/>
  <c r="P264" i="30"/>
  <c r="P265" i="30"/>
  <c r="P266" i="30"/>
  <c r="P267" i="30"/>
  <c r="P268" i="30"/>
  <c r="P269" i="30"/>
  <c r="P270" i="30"/>
  <c r="P271" i="30"/>
  <c r="P2" i="29"/>
  <c r="P3" i="29"/>
  <c r="P4" i="29"/>
  <c r="P5" i="29"/>
  <c r="P6" i="29"/>
  <c r="P7" i="29"/>
  <c r="P8" i="29"/>
  <c r="P9" i="29"/>
  <c r="P10" i="29"/>
  <c r="P11" i="29"/>
  <c r="P12" i="29"/>
  <c r="P13" i="29"/>
  <c r="P14" i="29"/>
  <c r="P15" i="29"/>
  <c r="P16" i="29"/>
  <c r="P17" i="29"/>
  <c r="P18" i="29"/>
  <c r="P19" i="29"/>
  <c r="P20" i="29"/>
  <c r="P21" i="29"/>
  <c r="P22" i="29"/>
  <c r="P23" i="29"/>
  <c r="P24" i="29"/>
  <c r="P25" i="29"/>
  <c r="P26" i="29"/>
  <c r="P27" i="29"/>
  <c r="P28" i="29"/>
  <c r="P29" i="29"/>
  <c r="P30" i="29"/>
  <c r="P31" i="29"/>
  <c r="P32" i="29"/>
  <c r="P33" i="29"/>
  <c r="P34" i="29"/>
  <c r="P35" i="29"/>
  <c r="P36" i="29"/>
  <c r="P37" i="29"/>
  <c r="P38" i="29"/>
  <c r="P39" i="29"/>
  <c r="P40" i="29"/>
  <c r="P41" i="29"/>
  <c r="P42" i="29"/>
  <c r="P43" i="29"/>
  <c r="P44" i="29"/>
  <c r="P45" i="29"/>
  <c r="P46" i="29"/>
  <c r="P47" i="29"/>
  <c r="P48" i="29"/>
  <c r="P49" i="29"/>
  <c r="P50" i="29"/>
  <c r="P51" i="29"/>
  <c r="P52" i="29"/>
  <c r="P53" i="29"/>
  <c r="P54" i="29"/>
  <c r="P55" i="29"/>
  <c r="P56" i="29"/>
  <c r="P57" i="29"/>
  <c r="P58" i="29"/>
  <c r="P59" i="29"/>
  <c r="P60" i="29"/>
  <c r="P61" i="29"/>
  <c r="P62" i="29"/>
  <c r="P63" i="29"/>
  <c r="P64" i="29"/>
  <c r="P65" i="29"/>
  <c r="P66" i="29"/>
  <c r="P67" i="29"/>
  <c r="P68" i="29"/>
  <c r="P69" i="29"/>
  <c r="P70" i="29"/>
  <c r="P71" i="29"/>
  <c r="P72" i="29"/>
  <c r="P73" i="29"/>
  <c r="P74" i="29"/>
  <c r="P75" i="29"/>
  <c r="P76" i="29"/>
  <c r="P77" i="29"/>
  <c r="P78" i="29"/>
  <c r="P79" i="29"/>
  <c r="P80" i="29"/>
  <c r="P81" i="29"/>
  <c r="P82" i="29"/>
  <c r="P83" i="29"/>
  <c r="P84" i="29"/>
  <c r="P85" i="29"/>
  <c r="P86" i="29"/>
  <c r="P87" i="29"/>
  <c r="P88" i="29"/>
  <c r="P89" i="29"/>
  <c r="P90" i="29"/>
  <c r="P91" i="29"/>
  <c r="P92" i="29"/>
  <c r="P93" i="29"/>
  <c r="P94" i="29"/>
  <c r="P95" i="29"/>
  <c r="P96" i="29"/>
  <c r="P97" i="29"/>
  <c r="P98" i="29"/>
  <c r="P99" i="29"/>
  <c r="P100" i="29"/>
  <c r="P101" i="29"/>
  <c r="P102" i="29"/>
  <c r="P103" i="29"/>
  <c r="P104" i="29"/>
  <c r="P105" i="29"/>
  <c r="P106" i="29"/>
  <c r="P107" i="29"/>
  <c r="P108" i="29"/>
  <c r="P109" i="29"/>
  <c r="P110" i="29"/>
  <c r="P111" i="29"/>
  <c r="P112" i="29"/>
  <c r="P113" i="29"/>
  <c r="P114" i="29"/>
  <c r="P115" i="29"/>
  <c r="P116" i="29"/>
  <c r="P117" i="29"/>
  <c r="P118" i="29"/>
  <c r="P119" i="29"/>
  <c r="P120" i="29"/>
  <c r="P121" i="29"/>
  <c r="P123" i="29"/>
  <c r="P124" i="29"/>
  <c r="P125" i="29"/>
  <c r="P126" i="29"/>
  <c r="P127" i="29"/>
  <c r="P128" i="29"/>
  <c r="P129" i="29"/>
  <c r="P130" i="29"/>
  <c r="P131" i="29"/>
  <c r="P132" i="29"/>
  <c r="P133" i="29"/>
  <c r="P134" i="29"/>
  <c r="P136" i="29"/>
  <c r="P137" i="29"/>
  <c r="P140" i="29"/>
  <c r="P141" i="29"/>
  <c r="P142" i="29"/>
  <c r="P143" i="29"/>
  <c r="P144" i="29"/>
  <c r="P145" i="29"/>
  <c r="P148" i="29"/>
  <c r="P149" i="29"/>
  <c r="P150" i="29"/>
  <c r="P151" i="29"/>
  <c r="P152" i="29"/>
  <c r="P153" i="29"/>
  <c r="P154" i="29"/>
  <c r="P155" i="29"/>
  <c r="P156" i="29"/>
  <c r="P157" i="29"/>
  <c r="P158" i="29"/>
  <c r="P159" i="29"/>
  <c r="P160" i="29"/>
  <c r="P161" i="29"/>
  <c r="P162" i="29"/>
  <c r="P163" i="29"/>
  <c r="P164" i="29"/>
  <c r="P165" i="29"/>
  <c r="P166" i="29"/>
  <c r="P167" i="29"/>
  <c r="P168" i="29"/>
  <c r="P169" i="29"/>
  <c r="P170" i="29"/>
  <c r="P171" i="29"/>
  <c r="P172" i="29"/>
  <c r="P173" i="29"/>
  <c r="P174" i="29"/>
  <c r="P175" i="29"/>
  <c r="P176" i="29"/>
  <c r="P177" i="29"/>
  <c r="P178" i="29"/>
  <c r="P179" i="29"/>
  <c r="P180" i="29"/>
  <c r="P181" i="29"/>
  <c r="P182" i="29"/>
  <c r="P183" i="29"/>
  <c r="P184" i="29"/>
  <c r="P185" i="29"/>
  <c r="P186" i="29"/>
  <c r="P187" i="29"/>
  <c r="P188" i="29"/>
  <c r="P189" i="29"/>
  <c r="P190" i="29"/>
  <c r="P191" i="29"/>
  <c r="P192" i="29"/>
  <c r="P193" i="29"/>
  <c r="P194" i="29"/>
  <c r="P195" i="29"/>
  <c r="P196" i="29"/>
  <c r="P197" i="29"/>
  <c r="P198" i="29"/>
  <c r="P199" i="29"/>
  <c r="P200" i="29"/>
  <c r="P201" i="29"/>
  <c r="P202" i="29"/>
  <c r="P203" i="29"/>
  <c r="P204" i="29"/>
  <c r="P205" i="29"/>
  <c r="P206" i="29"/>
  <c r="P207" i="29"/>
  <c r="P208" i="29"/>
  <c r="P209" i="29"/>
  <c r="P210" i="29"/>
  <c r="P211" i="29"/>
  <c r="P212" i="29"/>
  <c r="P213" i="29"/>
  <c r="P214" i="29"/>
  <c r="P215" i="29"/>
  <c r="P216" i="29"/>
  <c r="P217" i="29"/>
  <c r="P218" i="29"/>
  <c r="P219" i="29"/>
  <c r="P220" i="29"/>
  <c r="P221" i="29"/>
  <c r="P222" i="29"/>
  <c r="P223" i="29"/>
  <c r="P224" i="29"/>
  <c r="P225" i="29"/>
  <c r="P226" i="29"/>
  <c r="P227" i="29"/>
  <c r="P228" i="29"/>
  <c r="P229" i="29"/>
  <c r="P230" i="29"/>
  <c r="P231" i="29"/>
  <c r="P232" i="29"/>
  <c r="P233" i="29"/>
  <c r="P234" i="29"/>
  <c r="P235" i="29"/>
  <c r="P236" i="29"/>
  <c r="P237" i="29"/>
  <c r="P238" i="29"/>
  <c r="P240" i="29"/>
  <c r="P241" i="29"/>
  <c r="P242" i="29"/>
  <c r="P244" i="29"/>
  <c r="P245" i="29"/>
  <c r="P246" i="29"/>
  <c r="P247" i="29"/>
  <c r="P248" i="29"/>
  <c r="P249" i="29"/>
  <c r="P250" i="29"/>
  <c r="P251" i="29"/>
  <c r="P252" i="29"/>
  <c r="P253" i="29"/>
  <c r="P254" i="29"/>
  <c r="P255" i="29"/>
  <c r="P256" i="29"/>
  <c r="P257" i="29"/>
  <c r="P258" i="29"/>
  <c r="P259" i="29"/>
  <c r="P260" i="29"/>
  <c r="P261" i="29"/>
  <c r="P262" i="29"/>
  <c r="P263" i="29"/>
  <c r="P264" i="29"/>
  <c r="P265" i="29"/>
  <c r="P266" i="29"/>
  <c r="P267" i="29"/>
  <c r="P268" i="29"/>
  <c r="P269" i="29"/>
  <c r="P270" i="29"/>
  <c r="P271" i="29"/>
  <c r="P2" i="28"/>
  <c r="P3" i="28"/>
  <c r="P4" i="28"/>
  <c r="P5" i="28"/>
  <c r="P6" i="28"/>
  <c r="P7" i="28"/>
  <c r="P8" i="28"/>
  <c r="P9" i="28"/>
  <c r="P10" i="28"/>
  <c r="P11" i="28"/>
  <c r="P12" i="28"/>
  <c r="P13" i="28"/>
  <c r="P14" i="28"/>
  <c r="P15" i="28"/>
  <c r="P16" i="28"/>
  <c r="P17" i="28"/>
  <c r="P18" i="28"/>
  <c r="P19" i="28"/>
  <c r="P20" i="28"/>
  <c r="P21" i="28"/>
  <c r="P22" i="28"/>
  <c r="P23" i="28"/>
  <c r="P24" i="28"/>
  <c r="P25" i="28"/>
  <c r="P26" i="28"/>
  <c r="P27" i="28"/>
  <c r="P28" i="28"/>
  <c r="P29" i="28"/>
  <c r="P30" i="28"/>
  <c r="P31" i="28"/>
  <c r="P32" i="28"/>
  <c r="P33" i="28"/>
  <c r="P34" i="28"/>
  <c r="P35" i="28"/>
  <c r="P36" i="28"/>
  <c r="P37" i="28"/>
  <c r="P38" i="28"/>
  <c r="P39" i="28"/>
  <c r="P40" i="28"/>
  <c r="P41" i="28"/>
  <c r="P42" i="28"/>
  <c r="P43" i="28"/>
  <c r="P44" i="28"/>
  <c r="P45" i="28"/>
  <c r="P46" i="28"/>
  <c r="P47" i="28"/>
  <c r="P48" i="28"/>
  <c r="P49" i="28"/>
  <c r="P50" i="28"/>
  <c r="P51" i="28"/>
  <c r="P52" i="28"/>
  <c r="P53" i="28"/>
  <c r="P54" i="28"/>
  <c r="P55" i="28"/>
  <c r="P56" i="28"/>
  <c r="P57" i="28"/>
  <c r="P58" i="28"/>
  <c r="P59" i="28"/>
  <c r="P60" i="28"/>
  <c r="P61" i="28"/>
  <c r="P62" i="28"/>
  <c r="P63" i="28"/>
  <c r="P64" i="28"/>
  <c r="P65" i="28"/>
  <c r="P66" i="28"/>
  <c r="P67" i="28"/>
  <c r="P68" i="28"/>
  <c r="P69" i="28"/>
  <c r="P70" i="28"/>
  <c r="P71" i="28"/>
  <c r="P72" i="28"/>
  <c r="P73" i="28"/>
  <c r="P74" i="28"/>
  <c r="P75" i="28"/>
  <c r="P76" i="28"/>
  <c r="P77" i="28"/>
  <c r="P78" i="28"/>
  <c r="P79" i="28"/>
  <c r="P80" i="28"/>
  <c r="P81" i="28"/>
  <c r="P82" i="28"/>
  <c r="P83" i="28"/>
  <c r="P84" i="28"/>
  <c r="P85" i="28"/>
  <c r="P86" i="28"/>
  <c r="P87" i="28"/>
  <c r="P88" i="28"/>
  <c r="P89" i="28"/>
  <c r="P90" i="28"/>
  <c r="P91" i="28"/>
  <c r="P92" i="28"/>
  <c r="P93" i="28"/>
  <c r="P94" i="28"/>
  <c r="P95" i="28"/>
  <c r="P96" i="28"/>
  <c r="P97" i="28"/>
  <c r="P98" i="28"/>
  <c r="P99" i="28"/>
  <c r="P100" i="28"/>
  <c r="P101" i="28"/>
  <c r="P102" i="28"/>
  <c r="P103" i="28"/>
  <c r="P104" i="28"/>
  <c r="P105" i="28"/>
  <c r="P106" i="28"/>
  <c r="P107" i="28"/>
  <c r="P108" i="28"/>
  <c r="P109" i="28"/>
  <c r="P110" i="28"/>
  <c r="P111" i="28"/>
  <c r="P112" i="28"/>
  <c r="P113" i="28"/>
  <c r="P114" i="28"/>
  <c r="P115" i="28"/>
  <c r="P116" i="28"/>
  <c r="P117" i="28"/>
  <c r="P118" i="28"/>
  <c r="P119" i="28"/>
  <c r="P120" i="28"/>
  <c r="P121" i="28"/>
  <c r="P122" i="28"/>
  <c r="P123" i="28"/>
  <c r="P124" i="28"/>
  <c r="P125" i="28"/>
  <c r="P126" i="28"/>
  <c r="P127" i="28"/>
  <c r="P128" i="28"/>
  <c r="P129" i="28"/>
  <c r="P130" i="28"/>
  <c r="P131" i="28"/>
  <c r="P132" i="28"/>
  <c r="P133" i="28"/>
  <c r="P134" i="28"/>
  <c r="P135" i="28"/>
  <c r="P136" i="28"/>
  <c r="P137" i="28"/>
  <c r="P138" i="28"/>
  <c r="P139" i="28"/>
  <c r="P140" i="28"/>
  <c r="P141" i="28"/>
  <c r="P142" i="28"/>
  <c r="P143" i="28"/>
  <c r="P144" i="28"/>
  <c r="P145" i="28"/>
  <c r="P146" i="28"/>
  <c r="P147" i="28"/>
  <c r="P148" i="28"/>
  <c r="P149" i="28"/>
  <c r="P150" i="28"/>
  <c r="P151" i="28"/>
  <c r="P152" i="28"/>
  <c r="P153" i="28"/>
  <c r="P154" i="28"/>
  <c r="P155" i="28"/>
  <c r="P156" i="28"/>
  <c r="P157" i="28"/>
  <c r="P158" i="28"/>
  <c r="P159" i="28"/>
  <c r="P160" i="28"/>
  <c r="P161" i="28"/>
  <c r="P162" i="28"/>
  <c r="P163" i="28"/>
  <c r="P164" i="28"/>
  <c r="P165" i="28"/>
  <c r="P166" i="28"/>
  <c r="P167" i="28"/>
  <c r="P168" i="28"/>
  <c r="P169" i="28"/>
  <c r="P170" i="28"/>
  <c r="P171" i="28"/>
  <c r="P172" i="28"/>
  <c r="P173" i="28"/>
  <c r="P174" i="28"/>
  <c r="P175" i="28"/>
  <c r="P176" i="28"/>
  <c r="P177" i="28"/>
  <c r="P178" i="28"/>
  <c r="P179" i="28"/>
  <c r="P180" i="28"/>
  <c r="P181" i="28"/>
  <c r="P182" i="28"/>
  <c r="P183" i="28"/>
  <c r="P184" i="28"/>
  <c r="P185" i="28"/>
  <c r="P186" i="28"/>
  <c r="P187" i="28"/>
  <c r="P188" i="28"/>
  <c r="P189" i="28"/>
  <c r="P190" i="28"/>
  <c r="P191" i="28"/>
  <c r="P192" i="28"/>
  <c r="P193" i="28"/>
  <c r="P194" i="28"/>
  <c r="P195" i="28"/>
  <c r="P196" i="28"/>
  <c r="P197" i="28"/>
  <c r="P198" i="28"/>
  <c r="P199" i="28"/>
  <c r="P200" i="28"/>
  <c r="P201" i="28"/>
  <c r="P202" i="28"/>
  <c r="P203" i="28"/>
  <c r="P204" i="28"/>
  <c r="P205" i="28"/>
  <c r="P206" i="28"/>
  <c r="P207" i="28"/>
  <c r="P208" i="28"/>
  <c r="P209" i="28"/>
  <c r="P210" i="28"/>
  <c r="P211" i="28"/>
  <c r="P212" i="28"/>
  <c r="P213" i="28"/>
  <c r="P214" i="28"/>
  <c r="P215" i="28"/>
  <c r="P216" i="28"/>
  <c r="P217" i="28"/>
  <c r="P218" i="28"/>
  <c r="P219" i="28"/>
  <c r="P220" i="28"/>
  <c r="P221" i="28"/>
  <c r="P222" i="28"/>
  <c r="P223" i="28"/>
  <c r="P224" i="28"/>
  <c r="P225" i="28"/>
  <c r="P226" i="28"/>
  <c r="P227" i="28"/>
  <c r="P228" i="28"/>
  <c r="P229" i="28"/>
  <c r="P230" i="28"/>
  <c r="P231" i="28"/>
  <c r="P232" i="28"/>
  <c r="P233" i="28"/>
  <c r="P234" i="28"/>
  <c r="P235" i="28"/>
  <c r="P236" i="28"/>
  <c r="P237" i="28"/>
  <c r="P238" i="28"/>
  <c r="P239" i="28"/>
  <c r="P240" i="28"/>
  <c r="P241" i="28"/>
  <c r="P242" i="28"/>
  <c r="P243" i="28"/>
  <c r="P244" i="28"/>
  <c r="P245" i="28"/>
  <c r="P246" i="28"/>
  <c r="P247" i="28"/>
  <c r="P248" i="28"/>
  <c r="P249" i="28"/>
  <c r="P250" i="28"/>
  <c r="P251" i="28"/>
  <c r="P252" i="28"/>
  <c r="P253" i="28"/>
  <c r="P254" i="28"/>
  <c r="P255" i="28"/>
  <c r="P256" i="28"/>
  <c r="P257" i="28"/>
  <c r="P258" i="28"/>
  <c r="P259" i="28"/>
  <c r="P260" i="28"/>
  <c r="P261" i="28"/>
  <c r="P262" i="28"/>
  <c r="P263" i="28"/>
  <c r="P264" i="28"/>
  <c r="P265" i="28"/>
  <c r="P266" i="28"/>
  <c r="P267" i="28"/>
  <c r="P268" i="28"/>
  <c r="P269" i="28"/>
  <c r="P270" i="28"/>
  <c r="P271" i="28"/>
  <c r="T52" i="27"/>
  <c r="S52" i="27"/>
  <c r="T50" i="27"/>
  <c r="S50" i="27"/>
  <c r="T48" i="27"/>
  <c r="S48" i="27"/>
  <c r="T46" i="27"/>
  <c r="S46" i="27"/>
  <c r="T44" i="27"/>
  <c r="S44" i="27"/>
  <c r="T42" i="27"/>
  <c r="S42" i="27"/>
  <c r="T40" i="27"/>
  <c r="S40" i="27"/>
  <c r="T38" i="27"/>
  <c r="S38" i="27"/>
  <c r="T36" i="27"/>
  <c r="S36" i="27"/>
  <c r="T34" i="27"/>
  <c r="S34" i="27"/>
  <c r="T32" i="27"/>
  <c r="S32" i="27"/>
  <c r="T30" i="27"/>
  <c r="S30" i="27"/>
  <c r="T28" i="27"/>
  <c r="S28" i="27"/>
  <c r="T26" i="27"/>
  <c r="S26" i="27"/>
  <c r="T24" i="27"/>
  <c r="S24" i="27"/>
  <c r="T22" i="27"/>
  <c r="S22" i="27"/>
  <c r="T20" i="27"/>
  <c r="S20" i="27"/>
  <c r="T18" i="27"/>
  <c r="S18" i="27"/>
  <c r="P2" i="27"/>
  <c r="P3" i="27"/>
  <c r="P4" i="27"/>
  <c r="P5" i="27"/>
  <c r="P6" i="27"/>
  <c r="P7" i="27"/>
  <c r="P8" i="27"/>
  <c r="P9" i="27"/>
  <c r="P10" i="27"/>
  <c r="P11" i="27"/>
  <c r="P12" i="27"/>
  <c r="P13" i="27"/>
  <c r="P14" i="27"/>
  <c r="P15" i="27"/>
  <c r="P16" i="27"/>
  <c r="P17" i="27"/>
  <c r="P18" i="27"/>
  <c r="P19" i="27"/>
  <c r="P20" i="27"/>
  <c r="P21" i="27"/>
  <c r="P22" i="27"/>
  <c r="P23" i="27"/>
  <c r="P24" i="27"/>
  <c r="P25" i="27"/>
  <c r="P26" i="27"/>
  <c r="P27" i="27"/>
  <c r="P28" i="27"/>
  <c r="P29" i="27"/>
  <c r="P30" i="27"/>
  <c r="P31" i="27"/>
  <c r="P32" i="27"/>
  <c r="P33" i="27"/>
  <c r="P34" i="27"/>
  <c r="P35" i="27"/>
  <c r="P36" i="27"/>
  <c r="P37" i="27"/>
  <c r="P38" i="27"/>
  <c r="P39" i="27"/>
  <c r="P40" i="27"/>
  <c r="P41" i="27"/>
  <c r="P42" i="27"/>
  <c r="P43" i="27"/>
  <c r="P44" i="27"/>
  <c r="P45" i="27"/>
  <c r="P46" i="27"/>
  <c r="P47" i="27"/>
  <c r="P48" i="27"/>
  <c r="P49" i="27"/>
  <c r="P50" i="27"/>
  <c r="P51" i="27"/>
  <c r="P52" i="27"/>
  <c r="P53" i="27"/>
  <c r="V6" i="26"/>
  <c r="W6" i="26" s="1"/>
  <c r="X287" i="26"/>
  <c r="Y287" i="26" s="1"/>
  <c r="V287" i="26"/>
  <c r="W287" i="26" s="1"/>
  <c r="X286" i="26"/>
  <c r="Y286" i="26" s="1"/>
  <c r="W286" i="26"/>
  <c r="V286" i="26"/>
  <c r="X285" i="26"/>
  <c r="Y285" i="26" s="1"/>
  <c r="W285" i="26"/>
  <c r="V285" i="26"/>
  <c r="Y284" i="26"/>
  <c r="X284" i="26"/>
  <c r="V284" i="26"/>
  <c r="W284" i="26" s="1"/>
  <c r="X283" i="26"/>
  <c r="Y283" i="26" s="1"/>
  <c r="V283" i="26"/>
  <c r="W283" i="26" s="1"/>
  <c r="Y282" i="26"/>
  <c r="X282" i="26"/>
  <c r="V282" i="26"/>
  <c r="W282" i="26" s="1"/>
  <c r="X281" i="26"/>
  <c r="Y281" i="26" s="1"/>
  <c r="V281" i="26"/>
  <c r="W281" i="26" s="1"/>
  <c r="X280" i="26"/>
  <c r="Y280" i="26" s="1"/>
  <c r="W280" i="26"/>
  <c r="V280" i="26"/>
  <c r="X279" i="26"/>
  <c r="Y279" i="26" s="1"/>
  <c r="W279" i="26"/>
  <c r="V279" i="26"/>
  <c r="Y278" i="26"/>
  <c r="X278" i="26"/>
  <c r="V278" i="26"/>
  <c r="W278" i="26" s="1"/>
  <c r="X277" i="26"/>
  <c r="Y277" i="26" s="1"/>
  <c r="W277" i="26"/>
  <c r="V277" i="26"/>
  <c r="Y276" i="26"/>
  <c r="X276" i="26"/>
  <c r="V276" i="26"/>
  <c r="W276" i="26" s="1"/>
  <c r="X275" i="26"/>
  <c r="Y275" i="26" s="1"/>
  <c r="V275" i="26"/>
  <c r="W275" i="26" s="1"/>
  <c r="X274" i="26"/>
  <c r="Y274" i="26" s="1"/>
  <c r="W274" i="26"/>
  <c r="V274" i="26"/>
  <c r="X273" i="26"/>
  <c r="Y273" i="26" s="1"/>
  <c r="W273" i="26"/>
  <c r="V273" i="26"/>
  <c r="Y272" i="26"/>
  <c r="X272" i="26"/>
  <c r="V272" i="26"/>
  <c r="W272" i="26" s="1"/>
  <c r="X271" i="26"/>
  <c r="Y271" i="26" s="1"/>
  <c r="W271" i="26"/>
  <c r="V271" i="26"/>
  <c r="Y270" i="26"/>
  <c r="X270" i="26"/>
  <c r="V270" i="26"/>
  <c r="W270" i="26" s="1"/>
  <c r="X269" i="26"/>
  <c r="Y269" i="26" s="1"/>
  <c r="V269" i="26"/>
  <c r="W269" i="26" s="1"/>
  <c r="X268" i="26"/>
  <c r="Y268" i="26" s="1"/>
  <c r="W268" i="26"/>
  <c r="V268" i="26"/>
  <c r="X267" i="26"/>
  <c r="Y267" i="26" s="1"/>
  <c r="W267" i="26"/>
  <c r="V267" i="26"/>
  <c r="Y266" i="26"/>
  <c r="X266" i="26"/>
  <c r="V266" i="26"/>
  <c r="W266" i="26" s="1"/>
  <c r="X265" i="26"/>
  <c r="Y265" i="26" s="1"/>
  <c r="W265" i="26"/>
  <c r="V265" i="26"/>
  <c r="Y264" i="26"/>
  <c r="X264" i="26"/>
  <c r="V264" i="26"/>
  <c r="W264" i="26" s="1"/>
  <c r="X263" i="26"/>
  <c r="Y263" i="26" s="1"/>
  <c r="V263" i="26"/>
  <c r="W263" i="26" s="1"/>
  <c r="X262" i="26"/>
  <c r="Y262" i="26" s="1"/>
  <c r="W262" i="26"/>
  <c r="V262" i="26"/>
  <c r="X261" i="26"/>
  <c r="Y261" i="26" s="1"/>
  <c r="W261" i="26"/>
  <c r="V261" i="26"/>
  <c r="Y260" i="26"/>
  <c r="X260" i="26"/>
  <c r="V260" i="26"/>
  <c r="W260" i="26" s="1"/>
  <c r="X259" i="26"/>
  <c r="Y259" i="26" s="1"/>
  <c r="W259" i="26"/>
  <c r="V259" i="26"/>
  <c r="Y258" i="26"/>
  <c r="X258" i="26"/>
  <c r="V258" i="26"/>
  <c r="W258" i="26" s="1"/>
  <c r="X257" i="26"/>
  <c r="Y257" i="26" s="1"/>
  <c r="V257" i="26"/>
  <c r="W257" i="26" s="1"/>
  <c r="X256" i="26"/>
  <c r="Y256" i="26" s="1"/>
  <c r="W256" i="26"/>
  <c r="V256" i="26"/>
  <c r="X255" i="26"/>
  <c r="Y255" i="26" s="1"/>
  <c r="W255" i="26"/>
  <c r="V255" i="26"/>
  <c r="Y254" i="26"/>
  <c r="X254" i="26"/>
  <c r="V254" i="26"/>
  <c r="W254" i="26" s="1"/>
  <c r="X253" i="26"/>
  <c r="Y253" i="26" s="1"/>
  <c r="W253" i="26"/>
  <c r="V253" i="26"/>
  <c r="Y252" i="26"/>
  <c r="X252" i="26"/>
  <c r="V252" i="26"/>
  <c r="W252" i="26" s="1"/>
  <c r="X251" i="26"/>
  <c r="Y251" i="26" s="1"/>
  <c r="V251" i="26"/>
  <c r="W251" i="26" s="1"/>
  <c r="X250" i="26"/>
  <c r="Y250" i="26" s="1"/>
  <c r="W250" i="26"/>
  <c r="V250" i="26"/>
  <c r="X249" i="26"/>
  <c r="Y249" i="26" s="1"/>
  <c r="W249" i="26"/>
  <c r="V249" i="26"/>
  <c r="Y248" i="26"/>
  <c r="X248" i="26"/>
  <c r="V248" i="26"/>
  <c r="W248" i="26" s="1"/>
  <c r="X247" i="26"/>
  <c r="Y247" i="26" s="1"/>
  <c r="W247" i="26"/>
  <c r="V247" i="26"/>
  <c r="Y246" i="26"/>
  <c r="X246" i="26"/>
  <c r="V246" i="26"/>
  <c r="W246" i="26" s="1"/>
  <c r="X245" i="26"/>
  <c r="Y245" i="26" s="1"/>
  <c r="V245" i="26"/>
  <c r="W245" i="26" s="1"/>
  <c r="X244" i="26"/>
  <c r="Y244" i="26" s="1"/>
  <c r="W244" i="26"/>
  <c r="V244" i="26"/>
  <c r="X243" i="26"/>
  <c r="Y243" i="26" s="1"/>
  <c r="W243" i="26"/>
  <c r="V243" i="26"/>
  <c r="Y242" i="26"/>
  <c r="X242" i="26"/>
  <c r="V242" i="26"/>
  <c r="W242" i="26" s="1"/>
  <c r="X241" i="26"/>
  <c r="Y241" i="26" s="1"/>
  <c r="W241" i="26"/>
  <c r="V241" i="26"/>
  <c r="Y240" i="26"/>
  <c r="X240" i="26"/>
  <c r="V240" i="26"/>
  <c r="W240" i="26" s="1"/>
  <c r="X239" i="26"/>
  <c r="Y239" i="26" s="1"/>
  <c r="V239" i="26"/>
  <c r="W239" i="26" s="1"/>
  <c r="X238" i="26"/>
  <c r="Y238" i="26" s="1"/>
  <c r="W238" i="26"/>
  <c r="V238" i="26"/>
  <c r="X237" i="26"/>
  <c r="Y237" i="26" s="1"/>
  <c r="W237" i="26"/>
  <c r="V237" i="26"/>
  <c r="Y236" i="26"/>
  <c r="X236" i="26"/>
  <c r="V236" i="26"/>
  <c r="W236" i="26" s="1"/>
  <c r="X235" i="26"/>
  <c r="Y235" i="26" s="1"/>
  <c r="W235" i="26"/>
  <c r="V235" i="26"/>
  <c r="Y234" i="26"/>
  <c r="X234" i="26"/>
  <c r="V234" i="26"/>
  <c r="W234" i="26" s="1"/>
  <c r="X233" i="26"/>
  <c r="Y233" i="26" s="1"/>
  <c r="V233" i="26"/>
  <c r="W233" i="26" s="1"/>
  <c r="X232" i="26"/>
  <c r="Y232" i="26" s="1"/>
  <c r="W232" i="26"/>
  <c r="V232" i="26"/>
  <c r="X231" i="26"/>
  <c r="Y231" i="26" s="1"/>
  <c r="W231" i="26"/>
  <c r="V231" i="26"/>
  <c r="Y230" i="26"/>
  <c r="X230" i="26"/>
  <c r="V230" i="26"/>
  <c r="W230" i="26" s="1"/>
  <c r="X229" i="26"/>
  <c r="Y229" i="26" s="1"/>
  <c r="W229" i="26"/>
  <c r="V229" i="26"/>
  <c r="Y228" i="26"/>
  <c r="X228" i="26"/>
  <c r="V228" i="26"/>
  <c r="W228" i="26" s="1"/>
  <c r="X227" i="26"/>
  <c r="Y227" i="26" s="1"/>
  <c r="V227" i="26"/>
  <c r="W227" i="26" s="1"/>
  <c r="X226" i="26"/>
  <c r="Y226" i="26" s="1"/>
  <c r="W226" i="26"/>
  <c r="V226" i="26"/>
  <c r="X225" i="26"/>
  <c r="Y225" i="26" s="1"/>
  <c r="W225" i="26"/>
  <c r="V225" i="26"/>
  <c r="Y224" i="26"/>
  <c r="X224" i="26"/>
  <c r="V224" i="26"/>
  <c r="W224" i="26" s="1"/>
  <c r="X223" i="26"/>
  <c r="Y223" i="26" s="1"/>
  <c r="W223" i="26"/>
  <c r="V223" i="26"/>
  <c r="Y222" i="26"/>
  <c r="X222" i="26"/>
  <c r="V222" i="26"/>
  <c r="W222" i="26" s="1"/>
  <c r="X221" i="26"/>
  <c r="Y221" i="26" s="1"/>
  <c r="V221" i="26"/>
  <c r="W221" i="26" s="1"/>
  <c r="X220" i="26"/>
  <c r="Y220" i="26" s="1"/>
  <c r="W220" i="26"/>
  <c r="V220" i="26"/>
  <c r="X219" i="26"/>
  <c r="Y219" i="26" s="1"/>
  <c r="W219" i="26"/>
  <c r="V219" i="26"/>
  <c r="Y218" i="26"/>
  <c r="X218" i="26"/>
  <c r="V218" i="26"/>
  <c r="W218" i="26" s="1"/>
  <c r="X217" i="26"/>
  <c r="Y217" i="26" s="1"/>
  <c r="W217" i="26"/>
  <c r="V217" i="26"/>
  <c r="Y216" i="26"/>
  <c r="X216" i="26"/>
  <c r="V216" i="26"/>
  <c r="W216" i="26" s="1"/>
  <c r="X215" i="26"/>
  <c r="Y215" i="26" s="1"/>
  <c r="V215" i="26"/>
  <c r="W215" i="26" s="1"/>
  <c r="X214" i="26"/>
  <c r="Y214" i="26" s="1"/>
  <c r="W214" i="26"/>
  <c r="V214" i="26"/>
  <c r="X213" i="26"/>
  <c r="Y213" i="26" s="1"/>
  <c r="W213" i="26"/>
  <c r="V213" i="26"/>
  <c r="Y212" i="26"/>
  <c r="X212" i="26"/>
  <c r="V212" i="26"/>
  <c r="W212" i="26" s="1"/>
  <c r="X211" i="26"/>
  <c r="Y211" i="26" s="1"/>
  <c r="W211" i="26"/>
  <c r="V211" i="26"/>
  <c r="Y210" i="26"/>
  <c r="X210" i="26"/>
  <c r="V210" i="26"/>
  <c r="W210" i="26" s="1"/>
  <c r="X209" i="26"/>
  <c r="Y209" i="26" s="1"/>
  <c r="V209" i="26"/>
  <c r="W209" i="26" s="1"/>
  <c r="X208" i="26"/>
  <c r="Y208" i="26" s="1"/>
  <c r="W208" i="26"/>
  <c r="V208" i="26"/>
  <c r="X207" i="26"/>
  <c r="Y207" i="26" s="1"/>
  <c r="W207" i="26"/>
  <c r="V207" i="26"/>
  <c r="Y206" i="26"/>
  <c r="X206" i="26"/>
  <c r="V206" i="26"/>
  <c r="W206" i="26" s="1"/>
  <c r="X205" i="26"/>
  <c r="Y205" i="26" s="1"/>
  <c r="W205" i="26"/>
  <c r="V205" i="26"/>
  <c r="Y204" i="26"/>
  <c r="X204" i="26"/>
  <c r="V204" i="26"/>
  <c r="W204" i="26" s="1"/>
  <c r="X203" i="26"/>
  <c r="Y203" i="26" s="1"/>
  <c r="V203" i="26"/>
  <c r="W203" i="26" s="1"/>
  <c r="X202" i="26"/>
  <c r="Y202" i="26" s="1"/>
  <c r="W202" i="26"/>
  <c r="V202" i="26"/>
  <c r="X201" i="26"/>
  <c r="Y201" i="26" s="1"/>
  <c r="W201" i="26"/>
  <c r="V201" i="26"/>
  <c r="Y200" i="26"/>
  <c r="X200" i="26"/>
  <c r="V200" i="26"/>
  <c r="W200" i="26" s="1"/>
  <c r="X199" i="26"/>
  <c r="Y199" i="26" s="1"/>
  <c r="W199" i="26"/>
  <c r="V199" i="26"/>
  <c r="Y198" i="26"/>
  <c r="X198" i="26"/>
  <c r="V198" i="26"/>
  <c r="W198" i="26" s="1"/>
  <c r="X197" i="26"/>
  <c r="Y197" i="26" s="1"/>
  <c r="V197" i="26"/>
  <c r="W197" i="26" s="1"/>
  <c r="X196" i="26"/>
  <c r="Y196" i="26" s="1"/>
  <c r="W196" i="26"/>
  <c r="V196" i="26"/>
  <c r="X195" i="26"/>
  <c r="Y195" i="26" s="1"/>
  <c r="W195" i="26"/>
  <c r="V195" i="26"/>
  <c r="Y194" i="26"/>
  <c r="X194" i="26"/>
  <c r="V194" i="26"/>
  <c r="W194" i="26" s="1"/>
  <c r="X193" i="26"/>
  <c r="Y193" i="26" s="1"/>
  <c r="W193" i="26"/>
  <c r="V193" i="26"/>
  <c r="Y192" i="26"/>
  <c r="X192" i="26"/>
  <c r="V192" i="26"/>
  <c r="W192" i="26" s="1"/>
  <c r="X191" i="26"/>
  <c r="Y191" i="26" s="1"/>
  <c r="V191" i="26"/>
  <c r="W191" i="26" s="1"/>
  <c r="X190" i="26"/>
  <c r="Y190" i="26" s="1"/>
  <c r="W190" i="26"/>
  <c r="V190" i="26"/>
  <c r="X189" i="26"/>
  <c r="Y189" i="26" s="1"/>
  <c r="W189" i="26"/>
  <c r="V189" i="26"/>
  <c r="Y188" i="26"/>
  <c r="X188" i="26"/>
  <c r="V188" i="26"/>
  <c r="W188" i="26" s="1"/>
  <c r="X187" i="26"/>
  <c r="Y187" i="26" s="1"/>
  <c r="W187" i="26"/>
  <c r="V187" i="26"/>
  <c r="Y186" i="26"/>
  <c r="X186" i="26"/>
  <c r="V186" i="26"/>
  <c r="W186" i="26" s="1"/>
  <c r="X185" i="26"/>
  <c r="Y185" i="26" s="1"/>
  <c r="V185" i="26"/>
  <c r="W185" i="26" s="1"/>
  <c r="X184" i="26"/>
  <c r="Y184" i="26" s="1"/>
  <c r="W184" i="26"/>
  <c r="V184" i="26"/>
  <c r="X183" i="26"/>
  <c r="Y183" i="26" s="1"/>
  <c r="W183" i="26"/>
  <c r="V183" i="26"/>
  <c r="Y182" i="26"/>
  <c r="X182" i="26"/>
  <c r="V182" i="26"/>
  <c r="W182" i="26" s="1"/>
  <c r="X181" i="26"/>
  <c r="Y181" i="26" s="1"/>
  <c r="W181" i="26"/>
  <c r="V181" i="26"/>
  <c r="Y180" i="26"/>
  <c r="X180" i="26"/>
  <c r="V180" i="26"/>
  <c r="W180" i="26" s="1"/>
  <c r="X179" i="26"/>
  <c r="Y179" i="26" s="1"/>
  <c r="V179" i="26"/>
  <c r="W179" i="26" s="1"/>
  <c r="X178" i="26"/>
  <c r="Y178" i="26" s="1"/>
  <c r="W178" i="26"/>
  <c r="V178" i="26"/>
  <c r="X177" i="26"/>
  <c r="Y177" i="26" s="1"/>
  <c r="W177" i="26"/>
  <c r="V177" i="26"/>
  <c r="Y176" i="26"/>
  <c r="X176" i="26"/>
  <c r="V176" i="26"/>
  <c r="W176" i="26" s="1"/>
  <c r="X175" i="26"/>
  <c r="Y175" i="26" s="1"/>
  <c r="W175" i="26"/>
  <c r="V175" i="26"/>
  <c r="Y174" i="26"/>
  <c r="X174" i="26"/>
  <c r="V174" i="26"/>
  <c r="W174" i="26" s="1"/>
  <c r="X173" i="26"/>
  <c r="Y173" i="26" s="1"/>
  <c r="V173" i="26"/>
  <c r="W173" i="26" s="1"/>
  <c r="X172" i="26"/>
  <c r="Y172" i="26" s="1"/>
  <c r="W172" i="26"/>
  <c r="V172" i="26"/>
  <c r="X171" i="26"/>
  <c r="Y171" i="26" s="1"/>
  <c r="W171" i="26"/>
  <c r="V171" i="26"/>
  <c r="Y170" i="26"/>
  <c r="X170" i="26"/>
  <c r="V170" i="26"/>
  <c r="W170" i="26" s="1"/>
  <c r="X169" i="26"/>
  <c r="Y169" i="26" s="1"/>
  <c r="W169" i="26"/>
  <c r="V169" i="26"/>
  <c r="Y168" i="26"/>
  <c r="X168" i="26"/>
  <c r="V168" i="26"/>
  <c r="W168" i="26" s="1"/>
  <c r="X167" i="26"/>
  <c r="Y167" i="26" s="1"/>
  <c r="V167" i="26"/>
  <c r="W167" i="26" s="1"/>
  <c r="X166" i="26"/>
  <c r="Y166" i="26" s="1"/>
  <c r="W166" i="26"/>
  <c r="V166" i="26"/>
  <c r="X165" i="26"/>
  <c r="Y165" i="26" s="1"/>
  <c r="W165" i="26"/>
  <c r="V165" i="26"/>
  <c r="Y164" i="26"/>
  <c r="X164" i="26"/>
  <c r="V164" i="26"/>
  <c r="W164" i="26" s="1"/>
  <c r="X163" i="26"/>
  <c r="Y163" i="26" s="1"/>
  <c r="W163" i="26"/>
  <c r="V163" i="26"/>
  <c r="Y162" i="26"/>
  <c r="X162" i="26"/>
  <c r="V162" i="26"/>
  <c r="W162" i="26" s="1"/>
  <c r="X161" i="26"/>
  <c r="Y161" i="26" s="1"/>
  <c r="V161" i="26"/>
  <c r="W161" i="26" s="1"/>
  <c r="X160" i="26"/>
  <c r="Y160" i="26" s="1"/>
  <c r="W160" i="26"/>
  <c r="V160" i="26"/>
  <c r="X159" i="26"/>
  <c r="Y159" i="26" s="1"/>
  <c r="W159" i="26"/>
  <c r="V159" i="26"/>
  <c r="Y158" i="26"/>
  <c r="X158" i="26"/>
  <c r="V158" i="26"/>
  <c r="W158" i="26" s="1"/>
  <c r="X157" i="26"/>
  <c r="Y157" i="26" s="1"/>
  <c r="W157" i="26"/>
  <c r="V157" i="26"/>
  <c r="Y156" i="26"/>
  <c r="X156" i="26"/>
  <c r="V156" i="26"/>
  <c r="W156" i="26" s="1"/>
  <c r="X155" i="26"/>
  <c r="Y155" i="26" s="1"/>
  <c r="V155" i="26"/>
  <c r="W155" i="26" s="1"/>
  <c r="X154" i="26"/>
  <c r="Y154" i="26" s="1"/>
  <c r="W154" i="26"/>
  <c r="V154" i="26"/>
  <c r="X153" i="26"/>
  <c r="Y153" i="26" s="1"/>
  <c r="W153" i="26"/>
  <c r="V153" i="26"/>
  <c r="Y152" i="26"/>
  <c r="X152" i="26"/>
  <c r="V152" i="26"/>
  <c r="W152" i="26" s="1"/>
  <c r="X151" i="26"/>
  <c r="Y151" i="26" s="1"/>
  <c r="W151" i="26"/>
  <c r="V151" i="26"/>
  <c r="Y150" i="26"/>
  <c r="X150" i="26"/>
  <c r="V150" i="26"/>
  <c r="W150" i="26" s="1"/>
  <c r="X149" i="26"/>
  <c r="Y149" i="26" s="1"/>
  <c r="V149" i="26"/>
  <c r="W149" i="26" s="1"/>
  <c r="X148" i="26"/>
  <c r="Y148" i="26" s="1"/>
  <c r="W148" i="26"/>
  <c r="V148" i="26"/>
  <c r="X147" i="26"/>
  <c r="Y147" i="26" s="1"/>
  <c r="W147" i="26"/>
  <c r="V147" i="26"/>
  <c r="Y146" i="26"/>
  <c r="X146" i="26"/>
  <c r="V146" i="26"/>
  <c r="W146" i="26" s="1"/>
  <c r="X145" i="26"/>
  <c r="Y145" i="26" s="1"/>
  <c r="W145" i="26"/>
  <c r="V145" i="26"/>
  <c r="Y144" i="26"/>
  <c r="X144" i="26"/>
  <c r="V144" i="26"/>
  <c r="W144" i="26" s="1"/>
  <c r="X143" i="26"/>
  <c r="Y143" i="26" s="1"/>
  <c r="V143" i="26"/>
  <c r="W143" i="26" s="1"/>
  <c r="X142" i="26"/>
  <c r="Y142" i="26" s="1"/>
  <c r="W142" i="26"/>
  <c r="V142" i="26"/>
  <c r="X141" i="26"/>
  <c r="Y141" i="26" s="1"/>
  <c r="W141" i="26"/>
  <c r="V141" i="26"/>
  <c r="Y140" i="26"/>
  <c r="X140" i="26"/>
  <c r="V140" i="26"/>
  <c r="W140" i="26" s="1"/>
  <c r="X139" i="26"/>
  <c r="Y139" i="26" s="1"/>
  <c r="W139" i="26"/>
  <c r="V139" i="26"/>
  <c r="Y138" i="26"/>
  <c r="X138" i="26"/>
  <c r="V138" i="26"/>
  <c r="W138" i="26" s="1"/>
  <c r="X137" i="26"/>
  <c r="Y137" i="26" s="1"/>
  <c r="V137" i="26"/>
  <c r="W137" i="26" s="1"/>
  <c r="X136" i="26"/>
  <c r="Y136" i="26" s="1"/>
  <c r="W136" i="26"/>
  <c r="V136" i="26"/>
  <c r="X135" i="26"/>
  <c r="Y135" i="26" s="1"/>
  <c r="W135" i="26"/>
  <c r="V135" i="26"/>
  <c r="Y134" i="26"/>
  <c r="X134" i="26"/>
  <c r="V134" i="26"/>
  <c r="W134" i="26" s="1"/>
  <c r="X133" i="26"/>
  <c r="Y133" i="26" s="1"/>
  <c r="W133" i="26"/>
  <c r="V133" i="26"/>
  <c r="Y132" i="26"/>
  <c r="X132" i="26"/>
  <c r="V132" i="26"/>
  <c r="W132" i="26" s="1"/>
  <c r="X131" i="26"/>
  <c r="Y131" i="26" s="1"/>
  <c r="V131" i="26"/>
  <c r="W131" i="26" s="1"/>
  <c r="X130" i="26"/>
  <c r="Y130" i="26" s="1"/>
  <c r="W130" i="26"/>
  <c r="V130" i="26"/>
  <c r="X129" i="26"/>
  <c r="Y129" i="26" s="1"/>
  <c r="W129" i="26"/>
  <c r="V129" i="26"/>
  <c r="Y128" i="26"/>
  <c r="X128" i="26"/>
  <c r="V128" i="26"/>
  <c r="W128" i="26" s="1"/>
  <c r="X127" i="26"/>
  <c r="Y127" i="26" s="1"/>
  <c r="W127" i="26"/>
  <c r="V127" i="26"/>
  <c r="Y126" i="26"/>
  <c r="X126" i="26"/>
  <c r="V126" i="26"/>
  <c r="W126" i="26" s="1"/>
  <c r="X125" i="26"/>
  <c r="Y125" i="26" s="1"/>
  <c r="V125" i="26"/>
  <c r="W125" i="26" s="1"/>
  <c r="X124" i="26"/>
  <c r="Y124" i="26" s="1"/>
  <c r="W124" i="26"/>
  <c r="V124" i="26"/>
  <c r="X123" i="26"/>
  <c r="Y123" i="26" s="1"/>
  <c r="W123" i="26"/>
  <c r="V123" i="26"/>
  <c r="Y122" i="26"/>
  <c r="X122" i="26"/>
  <c r="V122" i="26"/>
  <c r="W122" i="26" s="1"/>
  <c r="X121" i="26"/>
  <c r="Y121" i="26" s="1"/>
  <c r="W121" i="26"/>
  <c r="V121" i="26"/>
  <c r="Y120" i="26"/>
  <c r="X120" i="26"/>
  <c r="V120" i="26"/>
  <c r="W120" i="26" s="1"/>
  <c r="X119" i="26"/>
  <c r="Y119" i="26" s="1"/>
  <c r="V119" i="26"/>
  <c r="W119" i="26" s="1"/>
  <c r="X118" i="26"/>
  <c r="Y118" i="26" s="1"/>
  <c r="W118" i="26"/>
  <c r="V118" i="26"/>
  <c r="X117" i="26"/>
  <c r="Y117" i="26" s="1"/>
  <c r="W117" i="26"/>
  <c r="V117" i="26"/>
  <c r="Y116" i="26"/>
  <c r="X116" i="26"/>
  <c r="V116" i="26"/>
  <c r="W116" i="26" s="1"/>
  <c r="X115" i="26"/>
  <c r="Y115" i="26" s="1"/>
  <c r="W115" i="26"/>
  <c r="V115" i="26"/>
  <c r="Y114" i="26"/>
  <c r="X114" i="26"/>
  <c r="V114" i="26"/>
  <c r="W114" i="26" s="1"/>
  <c r="X113" i="26"/>
  <c r="Y113" i="26" s="1"/>
  <c r="V113" i="26"/>
  <c r="W113" i="26" s="1"/>
  <c r="X112" i="26"/>
  <c r="Y112" i="26" s="1"/>
  <c r="W112" i="26"/>
  <c r="V112" i="26"/>
  <c r="X111" i="26"/>
  <c r="Y111" i="26" s="1"/>
  <c r="W111" i="26"/>
  <c r="V111" i="26"/>
  <c r="Y110" i="26"/>
  <c r="X110" i="26"/>
  <c r="V110" i="26"/>
  <c r="W110" i="26" s="1"/>
  <c r="X109" i="26"/>
  <c r="Y109" i="26" s="1"/>
  <c r="W109" i="26"/>
  <c r="V109" i="26"/>
  <c r="Y108" i="26"/>
  <c r="X108" i="26"/>
  <c r="V108" i="26"/>
  <c r="W108" i="26" s="1"/>
  <c r="X107" i="26"/>
  <c r="Y107" i="26" s="1"/>
  <c r="V107" i="26"/>
  <c r="W107" i="26" s="1"/>
  <c r="X106" i="26"/>
  <c r="Y106" i="26" s="1"/>
  <c r="W106" i="26"/>
  <c r="V106" i="26"/>
  <c r="X105" i="26"/>
  <c r="Y105" i="26" s="1"/>
  <c r="W105" i="26"/>
  <c r="V105" i="26"/>
  <c r="Y104" i="26"/>
  <c r="X104" i="26"/>
  <c r="V104" i="26"/>
  <c r="W104" i="26" s="1"/>
  <c r="X103" i="26"/>
  <c r="Y103" i="26" s="1"/>
  <c r="W103" i="26"/>
  <c r="V103" i="26"/>
  <c r="Y102" i="26"/>
  <c r="X102" i="26"/>
  <c r="V102" i="26"/>
  <c r="W102" i="26" s="1"/>
  <c r="X101" i="26"/>
  <c r="Y101" i="26" s="1"/>
  <c r="V101" i="26"/>
  <c r="W101" i="26" s="1"/>
  <c r="X100" i="26"/>
  <c r="Y100" i="26" s="1"/>
  <c r="W100" i="26"/>
  <c r="V100" i="26"/>
  <c r="X99" i="26"/>
  <c r="Y99" i="26" s="1"/>
  <c r="W99" i="26"/>
  <c r="V99" i="26"/>
  <c r="Y98" i="26"/>
  <c r="X98" i="26"/>
  <c r="V98" i="26"/>
  <c r="W98" i="26" s="1"/>
  <c r="X97" i="26"/>
  <c r="Y97" i="26" s="1"/>
  <c r="W97" i="26"/>
  <c r="V97" i="26"/>
  <c r="Y96" i="26"/>
  <c r="X96" i="26"/>
  <c r="V96" i="26"/>
  <c r="W96" i="26" s="1"/>
  <c r="X95" i="26"/>
  <c r="Y95" i="26" s="1"/>
  <c r="V95" i="26"/>
  <c r="W95" i="26" s="1"/>
  <c r="X94" i="26"/>
  <c r="Y94" i="26" s="1"/>
  <c r="W94" i="26"/>
  <c r="V94" i="26"/>
  <c r="X93" i="26"/>
  <c r="Y93" i="26" s="1"/>
  <c r="W93" i="26"/>
  <c r="V93" i="26"/>
  <c r="Y92" i="26"/>
  <c r="X92" i="26"/>
  <c r="V92" i="26"/>
  <c r="W92" i="26" s="1"/>
  <c r="X91" i="26"/>
  <c r="Y91" i="26" s="1"/>
  <c r="W91" i="26"/>
  <c r="V91" i="26"/>
  <c r="Y90" i="26"/>
  <c r="X90" i="26"/>
  <c r="V90" i="26"/>
  <c r="W90" i="26" s="1"/>
  <c r="X89" i="26"/>
  <c r="Y89" i="26" s="1"/>
  <c r="V89" i="26"/>
  <c r="W89" i="26" s="1"/>
  <c r="X88" i="26"/>
  <c r="Y88" i="26" s="1"/>
  <c r="W88" i="26"/>
  <c r="V88" i="26"/>
  <c r="X87" i="26"/>
  <c r="Y87" i="26" s="1"/>
  <c r="W87" i="26"/>
  <c r="V87" i="26"/>
  <c r="Y86" i="26"/>
  <c r="X86" i="26"/>
  <c r="V86" i="26"/>
  <c r="W86" i="26" s="1"/>
  <c r="X85" i="26"/>
  <c r="Y85" i="26" s="1"/>
  <c r="W85" i="26"/>
  <c r="V85" i="26"/>
  <c r="Y84" i="26"/>
  <c r="X84" i="26"/>
  <c r="V84" i="26"/>
  <c r="W84" i="26" s="1"/>
  <c r="X83" i="26"/>
  <c r="Y83" i="26" s="1"/>
  <c r="V83" i="26"/>
  <c r="W83" i="26" s="1"/>
  <c r="X82" i="26"/>
  <c r="Y82" i="26" s="1"/>
  <c r="W82" i="26"/>
  <c r="V82" i="26"/>
  <c r="X81" i="26"/>
  <c r="Y81" i="26" s="1"/>
  <c r="W81" i="26"/>
  <c r="V81" i="26"/>
  <c r="Y80" i="26"/>
  <c r="X80" i="26"/>
  <c r="V80" i="26"/>
  <c r="W80" i="26" s="1"/>
  <c r="X79" i="26"/>
  <c r="Y79" i="26" s="1"/>
  <c r="W79" i="26"/>
  <c r="V79" i="26"/>
  <c r="Y78" i="26"/>
  <c r="X78" i="26"/>
  <c r="V78" i="26"/>
  <c r="W78" i="26" s="1"/>
  <c r="X77" i="26"/>
  <c r="Y77" i="26" s="1"/>
  <c r="V77" i="26"/>
  <c r="W77" i="26" s="1"/>
  <c r="X76" i="26"/>
  <c r="Y76" i="26" s="1"/>
  <c r="W76" i="26"/>
  <c r="V76" i="26"/>
  <c r="X75" i="26"/>
  <c r="Y75" i="26" s="1"/>
  <c r="W75" i="26"/>
  <c r="V75" i="26"/>
  <c r="Y74" i="26"/>
  <c r="X74" i="26"/>
  <c r="V74" i="26"/>
  <c r="W74" i="26" s="1"/>
  <c r="X73" i="26"/>
  <c r="Y73" i="26" s="1"/>
  <c r="W73" i="26"/>
  <c r="V73" i="26"/>
  <c r="Y72" i="26"/>
  <c r="X72" i="26"/>
  <c r="V72" i="26"/>
  <c r="W72" i="26" s="1"/>
  <c r="X71" i="26"/>
  <c r="Y71" i="26" s="1"/>
  <c r="V71" i="26"/>
  <c r="W71" i="26" s="1"/>
  <c r="X70" i="26"/>
  <c r="Y70" i="26" s="1"/>
  <c r="W70" i="26"/>
  <c r="V70" i="26"/>
  <c r="X69" i="26"/>
  <c r="Y69" i="26" s="1"/>
  <c r="W69" i="26"/>
  <c r="V69" i="26"/>
  <c r="Y68" i="26"/>
  <c r="X68" i="26"/>
  <c r="V68" i="26"/>
  <c r="W68" i="26" s="1"/>
  <c r="X67" i="26"/>
  <c r="Y67" i="26" s="1"/>
  <c r="W67" i="26"/>
  <c r="V67" i="26"/>
  <c r="Y66" i="26"/>
  <c r="X66" i="26"/>
  <c r="V66" i="26"/>
  <c r="W66" i="26" s="1"/>
  <c r="X65" i="26"/>
  <c r="Y65" i="26" s="1"/>
  <c r="V65" i="26"/>
  <c r="W65" i="26" s="1"/>
  <c r="X64" i="26"/>
  <c r="Y64" i="26" s="1"/>
  <c r="W64" i="26"/>
  <c r="V64" i="26"/>
  <c r="X63" i="26"/>
  <c r="Y63" i="26" s="1"/>
  <c r="W63" i="26"/>
  <c r="V63" i="26"/>
  <c r="Y62" i="26"/>
  <c r="X62" i="26"/>
  <c r="V62" i="26"/>
  <c r="W62" i="26" s="1"/>
  <c r="X61" i="26"/>
  <c r="Y61" i="26" s="1"/>
  <c r="V61" i="26"/>
  <c r="W61" i="26" s="1"/>
  <c r="Y60" i="26"/>
  <c r="X60" i="26"/>
  <c r="V60" i="26"/>
  <c r="W60" i="26" s="1"/>
  <c r="X59" i="26"/>
  <c r="Y59" i="26" s="1"/>
  <c r="V59" i="26"/>
  <c r="W59" i="26" s="1"/>
  <c r="X58" i="26"/>
  <c r="Y58" i="26" s="1"/>
  <c r="W58" i="26"/>
  <c r="V58" i="26"/>
  <c r="X57" i="26"/>
  <c r="Y57" i="26" s="1"/>
  <c r="W57" i="26"/>
  <c r="V57" i="26"/>
  <c r="Y56" i="26"/>
  <c r="X56" i="26"/>
  <c r="V56" i="26"/>
  <c r="W56" i="26" s="1"/>
  <c r="X55" i="26"/>
  <c r="Y55" i="26" s="1"/>
  <c r="V55" i="26"/>
  <c r="W55" i="26" s="1"/>
  <c r="Y54" i="26"/>
  <c r="X54" i="26"/>
  <c r="V54" i="26"/>
  <c r="W54" i="26" s="1"/>
  <c r="X53" i="26"/>
  <c r="Y53" i="26" s="1"/>
  <c r="V53" i="26"/>
  <c r="W53" i="26" s="1"/>
  <c r="X52" i="26"/>
  <c r="Y52" i="26" s="1"/>
  <c r="W52" i="26"/>
  <c r="V52" i="26"/>
  <c r="X51" i="26"/>
  <c r="Y51" i="26" s="1"/>
  <c r="W51" i="26"/>
  <c r="V51" i="26"/>
  <c r="Y50" i="26"/>
  <c r="X50" i="26"/>
  <c r="V50" i="26"/>
  <c r="W50" i="26" s="1"/>
  <c r="X49" i="26"/>
  <c r="Y49" i="26" s="1"/>
  <c r="V49" i="26"/>
  <c r="W49" i="26" s="1"/>
  <c r="Y48" i="26"/>
  <c r="X48" i="26"/>
  <c r="V48" i="26"/>
  <c r="W48" i="26" s="1"/>
  <c r="X47" i="26"/>
  <c r="Y47" i="26" s="1"/>
  <c r="V47" i="26"/>
  <c r="W47" i="26" s="1"/>
  <c r="X46" i="26"/>
  <c r="Y46" i="26" s="1"/>
  <c r="W46" i="26"/>
  <c r="V46" i="26"/>
  <c r="X45" i="26"/>
  <c r="Y45" i="26" s="1"/>
  <c r="W45" i="26"/>
  <c r="V45" i="26"/>
  <c r="Y44" i="26"/>
  <c r="X44" i="26"/>
  <c r="V44" i="26"/>
  <c r="W44" i="26" s="1"/>
  <c r="X43" i="26"/>
  <c r="Y43" i="26" s="1"/>
  <c r="V43" i="26"/>
  <c r="W43" i="26" s="1"/>
  <c r="Y42" i="26"/>
  <c r="X42" i="26"/>
  <c r="V42" i="26"/>
  <c r="W42" i="26" s="1"/>
  <c r="X41" i="26"/>
  <c r="Y41" i="26" s="1"/>
  <c r="V41" i="26"/>
  <c r="W41" i="26" s="1"/>
  <c r="X40" i="26"/>
  <c r="Y40" i="26" s="1"/>
  <c r="W40" i="26"/>
  <c r="V40" i="26"/>
  <c r="X39" i="26"/>
  <c r="Y39" i="26" s="1"/>
  <c r="W39" i="26"/>
  <c r="V39" i="26"/>
  <c r="Y38" i="26"/>
  <c r="X38" i="26"/>
  <c r="V38" i="26"/>
  <c r="W38" i="26" s="1"/>
  <c r="X37" i="26"/>
  <c r="Y37" i="26" s="1"/>
  <c r="V37" i="26"/>
  <c r="W37" i="26" s="1"/>
  <c r="Y36" i="26"/>
  <c r="X36" i="26"/>
  <c r="V36" i="26"/>
  <c r="W36" i="26" s="1"/>
  <c r="X35" i="26"/>
  <c r="Y35" i="26" s="1"/>
  <c r="V35" i="26"/>
  <c r="W35" i="26" s="1"/>
  <c r="X34" i="26"/>
  <c r="Y34" i="26" s="1"/>
  <c r="W34" i="26"/>
  <c r="V34" i="26"/>
  <c r="X33" i="26"/>
  <c r="Y33" i="26" s="1"/>
  <c r="W33" i="26"/>
  <c r="V33" i="26"/>
  <c r="Y32" i="26"/>
  <c r="X32" i="26"/>
  <c r="V32" i="26"/>
  <c r="W32" i="26" s="1"/>
  <c r="X31" i="26"/>
  <c r="Y31" i="26" s="1"/>
  <c r="V31" i="26"/>
  <c r="W31" i="26" s="1"/>
  <c r="Y30" i="26"/>
  <c r="X30" i="26"/>
  <c r="V30" i="26"/>
  <c r="W30" i="26" s="1"/>
  <c r="X29" i="26"/>
  <c r="Y29" i="26" s="1"/>
  <c r="V29" i="26"/>
  <c r="W29" i="26" s="1"/>
  <c r="X28" i="26"/>
  <c r="Y28" i="26" s="1"/>
  <c r="W28" i="26"/>
  <c r="V28" i="26"/>
  <c r="X27" i="26"/>
  <c r="Y27" i="26" s="1"/>
  <c r="W27" i="26"/>
  <c r="V27" i="26"/>
  <c r="Y26" i="26"/>
  <c r="X26" i="26"/>
  <c r="V26" i="26"/>
  <c r="W26" i="26" s="1"/>
  <c r="X25" i="26"/>
  <c r="Y25" i="26" s="1"/>
  <c r="V25" i="26"/>
  <c r="W25" i="26" s="1"/>
  <c r="Y24" i="26"/>
  <c r="X24" i="26"/>
  <c r="V24" i="26"/>
  <c r="W24" i="26" s="1"/>
  <c r="X23" i="26"/>
  <c r="Y23" i="26" s="1"/>
  <c r="V23" i="26"/>
  <c r="W23" i="26" s="1"/>
  <c r="X22" i="26"/>
  <c r="Y22" i="26" s="1"/>
  <c r="W22" i="26"/>
  <c r="V22" i="26"/>
  <c r="X21" i="26"/>
  <c r="Y21" i="26" s="1"/>
  <c r="W21" i="26"/>
  <c r="V21" i="26"/>
  <c r="Y20" i="26"/>
  <c r="X20" i="26"/>
  <c r="V20" i="26"/>
  <c r="W20" i="26" s="1"/>
  <c r="Y19" i="26"/>
  <c r="X19" i="26"/>
  <c r="V19" i="26"/>
  <c r="W19" i="26" s="1"/>
  <c r="Y18" i="26"/>
  <c r="X18" i="26"/>
  <c r="V18" i="26"/>
  <c r="W18" i="26" s="1"/>
  <c r="X17" i="26"/>
  <c r="Y17" i="26" s="1"/>
  <c r="V17" i="26"/>
  <c r="W17" i="26" s="1"/>
  <c r="X16" i="26"/>
  <c r="Y16" i="26" s="1"/>
  <c r="W16" i="26"/>
  <c r="V16" i="26"/>
  <c r="X15" i="26"/>
  <c r="Y15" i="26" s="1"/>
  <c r="W15" i="26"/>
  <c r="V15" i="26"/>
  <c r="Y14" i="26"/>
  <c r="X14" i="26"/>
  <c r="V14" i="26"/>
  <c r="W14" i="26" s="1"/>
  <c r="X13" i="26"/>
  <c r="Y13" i="26" s="1"/>
  <c r="V13" i="26"/>
  <c r="W13" i="26" s="1"/>
  <c r="Y12" i="26"/>
  <c r="X12" i="26"/>
  <c r="V12" i="26"/>
  <c r="W12" i="26" s="1"/>
  <c r="X11" i="26"/>
  <c r="Y11" i="26" s="1"/>
  <c r="V11" i="26"/>
  <c r="W11" i="26" s="1"/>
  <c r="X10" i="26"/>
  <c r="Y10" i="26" s="1"/>
  <c r="W10" i="26"/>
  <c r="V10" i="26"/>
  <c r="X9" i="26"/>
  <c r="Y9" i="26" s="1"/>
  <c r="W9" i="26"/>
  <c r="V9" i="26"/>
  <c r="Y8" i="26"/>
  <c r="X8" i="26"/>
  <c r="V8" i="26"/>
  <c r="W8" i="26" s="1"/>
  <c r="X7" i="26"/>
  <c r="Y7" i="26" s="1"/>
  <c r="V7" i="26"/>
  <c r="W7" i="26" s="1"/>
  <c r="Y6" i="26"/>
  <c r="X6" i="26"/>
  <c r="X5" i="26"/>
  <c r="Y5" i="26" s="1"/>
  <c r="V5" i="26"/>
  <c r="W5" i="26" s="1"/>
  <c r="X4" i="26"/>
  <c r="Y4" i="26" s="1"/>
  <c r="W4" i="26"/>
  <c r="V4" i="26"/>
  <c r="X3" i="26"/>
  <c r="Y3" i="26" s="1"/>
  <c r="W3" i="26"/>
  <c r="V3" i="26"/>
  <c r="Y2" i="26"/>
  <c r="X2" i="26"/>
  <c r="V2" i="26"/>
  <c r="W2" i="26" s="1"/>
  <c r="O2" i="26"/>
  <c r="O3" i="26"/>
  <c r="O4" i="26"/>
  <c r="O5" i="26"/>
  <c r="O6" i="26"/>
  <c r="O7" i="26"/>
  <c r="O8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O63" i="26"/>
  <c r="O64" i="26"/>
  <c r="O65" i="26"/>
  <c r="O66" i="26"/>
  <c r="O67" i="26"/>
  <c r="O68" i="26"/>
  <c r="O69" i="26"/>
  <c r="O70" i="26"/>
  <c r="O71" i="26"/>
  <c r="O72" i="26"/>
  <c r="O73" i="26"/>
  <c r="O74" i="26"/>
  <c r="O75" i="26"/>
  <c r="O76" i="26"/>
  <c r="O77" i="26"/>
  <c r="O78" i="26"/>
  <c r="O79" i="26"/>
  <c r="O80" i="26"/>
  <c r="O81" i="26"/>
  <c r="O82" i="26"/>
  <c r="O83" i="26"/>
  <c r="O84" i="26"/>
  <c r="O85" i="26"/>
  <c r="O86" i="26"/>
  <c r="O87" i="26"/>
  <c r="O88" i="26"/>
  <c r="O89" i="26"/>
  <c r="O90" i="26"/>
  <c r="O91" i="26"/>
  <c r="O92" i="26"/>
  <c r="O93" i="26"/>
  <c r="O94" i="26"/>
  <c r="O95" i="26"/>
  <c r="O96" i="26"/>
  <c r="O97" i="26"/>
  <c r="O98" i="26"/>
  <c r="O99" i="26"/>
  <c r="O100" i="26"/>
  <c r="O101" i="26"/>
  <c r="O102" i="26"/>
  <c r="O103" i="26"/>
  <c r="O104" i="26"/>
  <c r="O105" i="26"/>
  <c r="O106" i="26"/>
  <c r="O107" i="26"/>
  <c r="O108" i="26"/>
  <c r="O109" i="26"/>
  <c r="O110" i="26"/>
  <c r="O111" i="26"/>
  <c r="O112" i="26"/>
  <c r="O113" i="26"/>
  <c r="O114" i="26"/>
  <c r="O115" i="26"/>
  <c r="O116" i="26"/>
  <c r="O117" i="26"/>
  <c r="O118" i="26"/>
  <c r="O119" i="26"/>
  <c r="O120" i="26"/>
  <c r="O121" i="26"/>
  <c r="O122" i="26"/>
  <c r="O123" i="26"/>
  <c r="O124" i="26"/>
  <c r="O125" i="26"/>
  <c r="O126" i="26"/>
  <c r="O127" i="26"/>
  <c r="O128" i="26"/>
  <c r="O129" i="26"/>
  <c r="O130" i="26"/>
  <c r="O131" i="26"/>
  <c r="O132" i="26"/>
  <c r="O133" i="26"/>
  <c r="O134" i="26"/>
  <c r="O135" i="26"/>
  <c r="O136" i="26"/>
  <c r="O137" i="26"/>
  <c r="O138" i="26"/>
  <c r="O139" i="26"/>
  <c r="O140" i="26"/>
  <c r="O141" i="26"/>
  <c r="O142" i="26"/>
  <c r="O143" i="26"/>
  <c r="O144" i="26"/>
  <c r="O145" i="26"/>
  <c r="O146" i="26"/>
  <c r="O147" i="26"/>
  <c r="O148" i="26"/>
  <c r="O149" i="26"/>
  <c r="O150" i="26"/>
  <c r="O151" i="26"/>
  <c r="O152" i="26"/>
  <c r="O153" i="26"/>
  <c r="O154" i="26"/>
  <c r="O155" i="26"/>
  <c r="O156" i="26"/>
  <c r="O157" i="26"/>
  <c r="O158" i="26"/>
  <c r="O159" i="26"/>
  <c r="O160" i="26"/>
  <c r="O161" i="26"/>
  <c r="O162" i="26"/>
  <c r="O163" i="26"/>
  <c r="O164" i="26"/>
  <c r="O165" i="26"/>
  <c r="O166" i="26"/>
  <c r="O167" i="26"/>
  <c r="O168" i="26"/>
  <c r="O169" i="26"/>
  <c r="O170" i="26"/>
  <c r="O171" i="26"/>
  <c r="O172" i="26"/>
  <c r="O173" i="26"/>
  <c r="O174" i="26"/>
  <c r="O175" i="26"/>
  <c r="O176" i="26"/>
  <c r="O177" i="26"/>
  <c r="O178" i="26"/>
  <c r="O179" i="26"/>
  <c r="O180" i="26"/>
  <c r="O181" i="26"/>
  <c r="O182" i="26"/>
  <c r="O183" i="26"/>
  <c r="O184" i="26"/>
  <c r="O185" i="26"/>
  <c r="O186" i="26"/>
  <c r="O187" i="26"/>
  <c r="O188" i="26"/>
  <c r="O189" i="26"/>
  <c r="O190" i="26"/>
  <c r="O191" i="26"/>
  <c r="O192" i="26"/>
  <c r="O193" i="26"/>
  <c r="O194" i="26"/>
  <c r="O195" i="26"/>
  <c r="O196" i="26"/>
  <c r="O197" i="26"/>
  <c r="O198" i="26"/>
  <c r="O199" i="26"/>
  <c r="O200" i="26"/>
  <c r="O201" i="26"/>
  <c r="O202" i="26"/>
  <c r="O203" i="26"/>
  <c r="O204" i="26"/>
  <c r="O205" i="26"/>
  <c r="O206" i="26"/>
  <c r="O207" i="26"/>
  <c r="O208" i="26"/>
  <c r="O209" i="26"/>
  <c r="O210" i="26"/>
  <c r="O211" i="26"/>
  <c r="O212" i="26"/>
  <c r="O213" i="26"/>
  <c r="O214" i="26"/>
  <c r="O215" i="26"/>
  <c r="O216" i="26"/>
  <c r="O217" i="26"/>
  <c r="O218" i="26"/>
  <c r="O219" i="26"/>
  <c r="O220" i="26"/>
  <c r="O221" i="26"/>
  <c r="O222" i="26"/>
  <c r="O223" i="26"/>
  <c r="O224" i="26"/>
  <c r="O225" i="26"/>
  <c r="O226" i="26"/>
  <c r="O227" i="26"/>
  <c r="O228" i="26"/>
  <c r="O229" i="26"/>
  <c r="O230" i="26"/>
  <c r="O231" i="26"/>
  <c r="O232" i="26"/>
  <c r="O233" i="26"/>
  <c r="O234" i="26"/>
  <c r="O235" i="26"/>
  <c r="O236" i="26"/>
  <c r="O237" i="26"/>
  <c r="O238" i="26"/>
  <c r="O239" i="26"/>
  <c r="O240" i="26"/>
  <c r="O241" i="26"/>
  <c r="O242" i="26"/>
  <c r="O243" i="26"/>
  <c r="O244" i="26"/>
  <c r="O245" i="26"/>
  <c r="O246" i="26"/>
  <c r="O247" i="26"/>
  <c r="O248" i="26"/>
  <c r="O249" i="26"/>
  <c r="O250" i="26"/>
  <c r="O251" i="26"/>
  <c r="O252" i="26"/>
  <c r="O253" i="26"/>
  <c r="O254" i="26"/>
  <c r="O255" i="26"/>
  <c r="O256" i="26"/>
  <c r="O257" i="26"/>
  <c r="O258" i="26"/>
  <c r="O259" i="26"/>
  <c r="O260" i="26"/>
  <c r="O261" i="26"/>
  <c r="O262" i="26"/>
  <c r="O263" i="26"/>
  <c r="O264" i="26"/>
  <c r="O265" i="26"/>
  <c r="O266" i="26"/>
  <c r="O267" i="26"/>
  <c r="O268" i="26"/>
  <c r="O269" i="26"/>
  <c r="O270" i="26"/>
  <c r="O271" i="26"/>
  <c r="O272" i="26"/>
  <c r="O273" i="26"/>
  <c r="O274" i="26"/>
  <c r="O275" i="26"/>
  <c r="O276" i="26"/>
  <c r="O277" i="26"/>
  <c r="O278" i="26"/>
  <c r="O279" i="26"/>
  <c r="O280" i="26"/>
  <c r="O281" i="26"/>
  <c r="O282" i="26"/>
  <c r="O283" i="26"/>
  <c r="O284" i="26"/>
  <c r="O285" i="26"/>
  <c r="O286" i="26"/>
  <c r="O287" i="26"/>
  <c r="X287" i="24"/>
  <c r="Y287" i="24" s="1"/>
  <c r="W287" i="24"/>
  <c r="V287" i="24"/>
  <c r="X286" i="24"/>
  <c r="Y286" i="24" s="1"/>
  <c r="V286" i="24"/>
  <c r="W286" i="24" s="1"/>
  <c r="Y285" i="24"/>
  <c r="X285" i="24"/>
  <c r="V285" i="24"/>
  <c r="W285" i="24" s="1"/>
  <c r="X284" i="24"/>
  <c r="Y284" i="24" s="1"/>
  <c r="W284" i="24"/>
  <c r="V284" i="24"/>
  <c r="X283" i="24"/>
  <c r="Y283" i="24" s="1"/>
  <c r="V283" i="24"/>
  <c r="W283" i="24" s="1"/>
  <c r="Y282" i="24"/>
  <c r="X282" i="24"/>
  <c r="W282" i="24"/>
  <c r="V282" i="24"/>
  <c r="X281" i="24"/>
  <c r="Y281" i="24" s="1"/>
  <c r="W281" i="24"/>
  <c r="V281" i="24"/>
  <c r="X280" i="24"/>
  <c r="Y280" i="24" s="1"/>
  <c r="V280" i="24"/>
  <c r="W280" i="24" s="1"/>
  <c r="Y279" i="24"/>
  <c r="X279" i="24"/>
  <c r="V279" i="24"/>
  <c r="W279" i="24" s="1"/>
  <c r="X278" i="24"/>
  <c r="Y278" i="24" s="1"/>
  <c r="W278" i="24"/>
  <c r="V278" i="24"/>
  <c r="X277" i="24"/>
  <c r="Y277" i="24" s="1"/>
  <c r="V277" i="24"/>
  <c r="W277" i="24" s="1"/>
  <c r="X276" i="24"/>
  <c r="Y276" i="24" s="1"/>
  <c r="W276" i="24"/>
  <c r="V276" i="24"/>
  <c r="X275" i="24"/>
  <c r="Y275" i="24" s="1"/>
  <c r="W275" i="24"/>
  <c r="V275" i="24"/>
  <c r="X274" i="24"/>
  <c r="Y274" i="24" s="1"/>
  <c r="V274" i="24"/>
  <c r="W274" i="24" s="1"/>
  <c r="Y273" i="24"/>
  <c r="X273" i="24"/>
  <c r="V273" i="24"/>
  <c r="W273" i="24" s="1"/>
  <c r="X272" i="24"/>
  <c r="Y272" i="24" s="1"/>
  <c r="W272" i="24"/>
  <c r="V272" i="24"/>
  <c r="X271" i="24"/>
  <c r="Y271" i="24" s="1"/>
  <c r="V271" i="24"/>
  <c r="W271" i="24" s="1"/>
  <c r="X270" i="24"/>
  <c r="Y270" i="24" s="1"/>
  <c r="W270" i="24"/>
  <c r="V270" i="24"/>
  <c r="X269" i="24"/>
  <c r="Y269" i="24" s="1"/>
  <c r="W269" i="24"/>
  <c r="V269" i="24"/>
  <c r="X268" i="24"/>
  <c r="Y268" i="24" s="1"/>
  <c r="V268" i="24"/>
  <c r="W268" i="24" s="1"/>
  <c r="Y267" i="24"/>
  <c r="X267" i="24"/>
  <c r="V267" i="24"/>
  <c r="W267" i="24" s="1"/>
  <c r="X266" i="24"/>
  <c r="Y266" i="24" s="1"/>
  <c r="W266" i="24"/>
  <c r="V266" i="24"/>
  <c r="X265" i="24"/>
  <c r="Y265" i="24" s="1"/>
  <c r="V265" i="24"/>
  <c r="W265" i="24" s="1"/>
  <c r="X264" i="24"/>
  <c r="Y264" i="24" s="1"/>
  <c r="W264" i="24"/>
  <c r="V264" i="24"/>
  <c r="X263" i="24"/>
  <c r="Y263" i="24" s="1"/>
  <c r="W263" i="24"/>
  <c r="V263" i="24"/>
  <c r="X262" i="24"/>
  <c r="Y262" i="24" s="1"/>
  <c r="V262" i="24"/>
  <c r="W262" i="24" s="1"/>
  <c r="Y261" i="24"/>
  <c r="X261" i="24"/>
  <c r="V261" i="24"/>
  <c r="W261" i="24" s="1"/>
  <c r="X260" i="24"/>
  <c r="Y260" i="24" s="1"/>
  <c r="W260" i="24"/>
  <c r="V260" i="24"/>
  <c r="X259" i="24"/>
  <c r="Y259" i="24" s="1"/>
  <c r="V259" i="24"/>
  <c r="W259" i="24" s="1"/>
  <c r="X258" i="24"/>
  <c r="Y258" i="24" s="1"/>
  <c r="W258" i="24"/>
  <c r="V258" i="24"/>
  <c r="X257" i="24"/>
  <c r="Y257" i="24" s="1"/>
  <c r="W257" i="24"/>
  <c r="V257" i="24"/>
  <c r="X256" i="24"/>
  <c r="Y256" i="24" s="1"/>
  <c r="V256" i="24"/>
  <c r="W256" i="24" s="1"/>
  <c r="Y255" i="24"/>
  <c r="X255" i="24"/>
  <c r="V255" i="24"/>
  <c r="W255" i="24" s="1"/>
  <c r="X254" i="24"/>
  <c r="Y254" i="24" s="1"/>
  <c r="W254" i="24"/>
  <c r="V254" i="24"/>
  <c r="X253" i="24"/>
  <c r="Y253" i="24" s="1"/>
  <c r="V253" i="24"/>
  <c r="W253" i="24" s="1"/>
  <c r="X252" i="24"/>
  <c r="Y252" i="24" s="1"/>
  <c r="W252" i="24"/>
  <c r="V252" i="24"/>
  <c r="X251" i="24"/>
  <c r="Y251" i="24" s="1"/>
  <c r="W251" i="24"/>
  <c r="V251" i="24"/>
  <c r="X250" i="24"/>
  <c r="Y250" i="24" s="1"/>
  <c r="W250" i="24"/>
  <c r="V250" i="24"/>
  <c r="Y249" i="24"/>
  <c r="X249" i="24"/>
  <c r="V249" i="24"/>
  <c r="W249" i="24" s="1"/>
  <c r="X248" i="24"/>
  <c r="Y248" i="24" s="1"/>
  <c r="W248" i="24"/>
  <c r="V248" i="24"/>
  <c r="X247" i="24"/>
  <c r="Y247" i="24" s="1"/>
  <c r="V247" i="24"/>
  <c r="W247" i="24" s="1"/>
  <c r="X246" i="24"/>
  <c r="Y246" i="24" s="1"/>
  <c r="W246" i="24"/>
  <c r="V246" i="24"/>
  <c r="X245" i="24"/>
  <c r="Y245" i="24" s="1"/>
  <c r="W245" i="24"/>
  <c r="V245" i="24"/>
  <c r="X244" i="24"/>
  <c r="Y244" i="24" s="1"/>
  <c r="V244" i="24"/>
  <c r="W244" i="24" s="1"/>
  <c r="Y243" i="24"/>
  <c r="X243" i="24"/>
  <c r="V243" i="24"/>
  <c r="W243" i="24" s="1"/>
  <c r="X242" i="24"/>
  <c r="Y242" i="24" s="1"/>
  <c r="W242" i="24"/>
  <c r="V242" i="24"/>
  <c r="X241" i="24"/>
  <c r="Y241" i="24" s="1"/>
  <c r="V241" i="24"/>
  <c r="W241" i="24" s="1"/>
  <c r="X240" i="24"/>
  <c r="Y240" i="24" s="1"/>
  <c r="W240" i="24"/>
  <c r="V240" i="24"/>
  <c r="X239" i="24"/>
  <c r="Y239" i="24" s="1"/>
  <c r="W239" i="24"/>
  <c r="V239" i="24"/>
  <c r="X238" i="24"/>
  <c r="Y238" i="24" s="1"/>
  <c r="V238" i="24"/>
  <c r="W238" i="24" s="1"/>
  <c r="X237" i="24"/>
  <c r="Y237" i="24" s="1"/>
  <c r="V237" i="24"/>
  <c r="W237" i="24" s="1"/>
  <c r="X236" i="24"/>
  <c r="Y236" i="24" s="1"/>
  <c r="W236" i="24"/>
  <c r="V236" i="24"/>
  <c r="X235" i="24"/>
  <c r="Y235" i="24" s="1"/>
  <c r="V235" i="24"/>
  <c r="W235" i="24" s="1"/>
  <c r="X234" i="24"/>
  <c r="Y234" i="24" s="1"/>
  <c r="W234" i="24"/>
  <c r="V234" i="24"/>
  <c r="X233" i="24"/>
  <c r="Y233" i="24" s="1"/>
  <c r="W233" i="24"/>
  <c r="V233" i="24"/>
  <c r="X232" i="24"/>
  <c r="Y232" i="24" s="1"/>
  <c r="V232" i="24"/>
  <c r="W232" i="24" s="1"/>
  <c r="X231" i="24"/>
  <c r="Y231" i="24" s="1"/>
  <c r="V231" i="24"/>
  <c r="W231" i="24" s="1"/>
  <c r="X230" i="24"/>
  <c r="Y230" i="24" s="1"/>
  <c r="W230" i="24"/>
  <c r="V230" i="24"/>
  <c r="X229" i="24"/>
  <c r="Y229" i="24" s="1"/>
  <c r="V229" i="24"/>
  <c r="W229" i="24" s="1"/>
  <c r="X228" i="24"/>
  <c r="Y228" i="24" s="1"/>
  <c r="W228" i="24"/>
  <c r="V228" i="24"/>
  <c r="X227" i="24"/>
  <c r="Y227" i="24" s="1"/>
  <c r="W227" i="24"/>
  <c r="V227" i="24"/>
  <c r="X226" i="24"/>
  <c r="Y226" i="24" s="1"/>
  <c r="V226" i="24"/>
  <c r="W226" i="24" s="1"/>
  <c r="X225" i="24"/>
  <c r="Y225" i="24" s="1"/>
  <c r="V225" i="24"/>
  <c r="W225" i="24" s="1"/>
  <c r="X224" i="24"/>
  <c r="Y224" i="24" s="1"/>
  <c r="W224" i="24"/>
  <c r="V224" i="24"/>
  <c r="X223" i="24"/>
  <c r="Y223" i="24" s="1"/>
  <c r="V223" i="24"/>
  <c r="W223" i="24" s="1"/>
  <c r="X222" i="24"/>
  <c r="Y222" i="24" s="1"/>
  <c r="W222" i="24"/>
  <c r="V222" i="24"/>
  <c r="X221" i="24"/>
  <c r="Y221" i="24" s="1"/>
  <c r="W221" i="24"/>
  <c r="V221" i="24"/>
  <c r="X220" i="24"/>
  <c r="Y220" i="24" s="1"/>
  <c r="V220" i="24"/>
  <c r="W220" i="24" s="1"/>
  <c r="X219" i="24"/>
  <c r="Y219" i="24" s="1"/>
  <c r="V219" i="24"/>
  <c r="W219" i="24" s="1"/>
  <c r="X218" i="24"/>
  <c r="Y218" i="24" s="1"/>
  <c r="W218" i="24"/>
  <c r="V218" i="24"/>
  <c r="X217" i="24"/>
  <c r="Y217" i="24" s="1"/>
  <c r="V217" i="24"/>
  <c r="W217" i="24" s="1"/>
  <c r="X216" i="24"/>
  <c r="Y216" i="24" s="1"/>
  <c r="W216" i="24"/>
  <c r="V216" i="24"/>
  <c r="X215" i="24"/>
  <c r="Y215" i="24" s="1"/>
  <c r="W215" i="24"/>
  <c r="V215" i="24"/>
  <c r="X214" i="24"/>
  <c r="Y214" i="24" s="1"/>
  <c r="V214" i="24"/>
  <c r="W214" i="24" s="1"/>
  <c r="X213" i="24"/>
  <c r="Y213" i="24" s="1"/>
  <c r="V213" i="24"/>
  <c r="W213" i="24" s="1"/>
  <c r="X212" i="24"/>
  <c r="Y212" i="24" s="1"/>
  <c r="W212" i="24"/>
  <c r="V212" i="24"/>
  <c r="X211" i="24"/>
  <c r="Y211" i="24" s="1"/>
  <c r="V211" i="24"/>
  <c r="W211" i="24" s="1"/>
  <c r="X210" i="24"/>
  <c r="Y210" i="24" s="1"/>
  <c r="W210" i="24"/>
  <c r="V210" i="24"/>
  <c r="X209" i="24"/>
  <c r="Y209" i="24" s="1"/>
  <c r="W209" i="24"/>
  <c r="V209" i="24"/>
  <c r="X208" i="24"/>
  <c r="Y208" i="24" s="1"/>
  <c r="V208" i="24"/>
  <c r="W208" i="24" s="1"/>
  <c r="X207" i="24"/>
  <c r="Y207" i="24" s="1"/>
  <c r="V207" i="24"/>
  <c r="W207" i="24" s="1"/>
  <c r="X206" i="24"/>
  <c r="Y206" i="24" s="1"/>
  <c r="W206" i="24"/>
  <c r="V206" i="24"/>
  <c r="X205" i="24"/>
  <c r="Y205" i="24" s="1"/>
  <c r="V205" i="24"/>
  <c r="W205" i="24" s="1"/>
  <c r="X204" i="24"/>
  <c r="Y204" i="24" s="1"/>
  <c r="W204" i="24"/>
  <c r="V204" i="24"/>
  <c r="X203" i="24"/>
  <c r="Y203" i="24" s="1"/>
  <c r="W203" i="24"/>
  <c r="V203" i="24"/>
  <c r="X202" i="24"/>
  <c r="Y202" i="24" s="1"/>
  <c r="V202" i="24"/>
  <c r="W202" i="24" s="1"/>
  <c r="X201" i="24"/>
  <c r="Y201" i="24" s="1"/>
  <c r="V201" i="24"/>
  <c r="W201" i="24" s="1"/>
  <c r="X200" i="24"/>
  <c r="Y200" i="24" s="1"/>
  <c r="W200" i="24"/>
  <c r="V200" i="24"/>
  <c r="X199" i="24"/>
  <c r="Y199" i="24" s="1"/>
  <c r="V199" i="24"/>
  <c r="W199" i="24" s="1"/>
  <c r="X198" i="24"/>
  <c r="Y198" i="24" s="1"/>
  <c r="W198" i="24"/>
  <c r="V198" i="24"/>
  <c r="X197" i="24"/>
  <c r="Y197" i="24" s="1"/>
  <c r="W197" i="24"/>
  <c r="V197" i="24"/>
  <c r="X196" i="24"/>
  <c r="Y196" i="24" s="1"/>
  <c r="V196" i="24"/>
  <c r="W196" i="24" s="1"/>
  <c r="X195" i="24"/>
  <c r="Y195" i="24" s="1"/>
  <c r="V195" i="24"/>
  <c r="W195" i="24" s="1"/>
  <c r="X194" i="24"/>
  <c r="Y194" i="24" s="1"/>
  <c r="W194" i="24"/>
  <c r="V194" i="24"/>
  <c r="X193" i="24"/>
  <c r="Y193" i="24" s="1"/>
  <c r="V193" i="24"/>
  <c r="W193" i="24" s="1"/>
  <c r="X192" i="24"/>
  <c r="Y192" i="24" s="1"/>
  <c r="W192" i="24"/>
  <c r="V192" i="24"/>
  <c r="X191" i="24"/>
  <c r="Y191" i="24" s="1"/>
  <c r="W191" i="24"/>
  <c r="V191" i="24"/>
  <c r="X190" i="24"/>
  <c r="Y190" i="24" s="1"/>
  <c r="V190" i="24"/>
  <c r="W190" i="24" s="1"/>
  <c r="X189" i="24"/>
  <c r="Y189" i="24" s="1"/>
  <c r="V189" i="24"/>
  <c r="W189" i="24" s="1"/>
  <c r="X188" i="24"/>
  <c r="Y188" i="24" s="1"/>
  <c r="W188" i="24"/>
  <c r="V188" i="24"/>
  <c r="X187" i="24"/>
  <c r="Y187" i="24" s="1"/>
  <c r="V187" i="24"/>
  <c r="W187" i="24" s="1"/>
  <c r="X186" i="24"/>
  <c r="Y186" i="24" s="1"/>
  <c r="W186" i="24"/>
  <c r="V186" i="24"/>
  <c r="X185" i="24"/>
  <c r="Y185" i="24" s="1"/>
  <c r="W185" i="24"/>
  <c r="V185" i="24"/>
  <c r="X184" i="24"/>
  <c r="Y184" i="24" s="1"/>
  <c r="V184" i="24"/>
  <c r="W184" i="24" s="1"/>
  <c r="X183" i="24"/>
  <c r="Y183" i="24" s="1"/>
  <c r="V183" i="24"/>
  <c r="W183" i="24" s="1"/>
  <c r="X182" i="24"/>
  <c r="Y182" i="24" s="1"/>
  <c r="W182" i="24"/>
  <c r="V182" i="24"/>
  <c r="X181" i="24"/>
  <c r="Y181" i="24" s="1"/>
  <c r="V181" i="24"/>
  <c r="W181" i="24" s="1"/>
  <c r="X180" i="24"/>
  <c r="Y180" i="24" s="1"/>
  <c r="W180" i="24"/>
  <c r="V180" i="24"/>
  <c r="X179" i="24"/>
  <c r="Y179" i="24" s="1"/>
  <c r="W179" i="24"/>
  <c r="V179" i="24"/>
  <c r="X178" i="24"/>
  <c r="Y178" i="24" s="1"/>
  <c r="V178" i="24"/>
  <c r="W178" i="24" s="1"/>
  <c r="Y177" i="24"/>
  <c r="X177" i="24"/>
  <c r="V177" i="24"/>
  <c r="W177" i="24" s="1"/>
  <c r="X176" i="24"/>
  <c r="Y176" i="24" s="1"/>
  <c r="W176" i="24"/>
  <c r="V176" i="24"/>
  <c r="X175" i="24"/>
  <c r="Y175" i="24" s="1"/>
  <c r="V175" i="24"/>
  <c r="W175" i="24" s="1"/>
  <c r="X174" i="24"/>
  <c r="Y174" i="24" s="1"/>
  <c r="W174" i="24"/>
  <c r="V174" i="24"/>
  <c r="X173" i="24"/>
  <c r="Y173" i="24" s="1"/>
  <c r="W173" i="24"/>
  <c r="V173" i="24"/>
  <c r="X172" i="24"/>
  <c r="Y172" i="24" s="1"/>
  <c r="V172" i="24"/>
  <c r="W172" i="24" s="1"/>
  <c r="X171" i="24"/>
  <c r="Y171" i="24" s="1"/>
  <c r="V171" i="24"/>
  <c r="W171" i="24" s="1"/>
  <c r="X170" i="24"/>
  <c r="Y170" i="24" s="1"/>
  <c r="W170" i="24"/>
  <c r="V170" i="24"/>
  <c r="X169" i="24"/>
  <c r="Y169" i="24" s="1"/>
  <c r="V169" i="24"/>
  <c r="W169" i="24" s="1"/>
  <c r="X168" i="24"/>
  <c r="Y168" i="24" s="1"/>
  <c r="W168" i="24"/>
  <c r="V168" i="24"/>
  <c r="X167" i="24"/>
  <c r="Y167" i="24" s="1"/>
  <c r="W167" i="24"/>
  <c r="V167" i="24"/>
  <c r="X166" i="24"/>
  <c r="Y166" i="24" s="1"/>
  <c r="V166" i="24"/>
  <c r="W166" i="24" s="1"/>
  <c r="X165" i="24"/>
  <c r="Y165" i="24" s="1"/>
  <c r="V165" i="24"/>
  <c r="W165" i="24" s="1"/>
  <c r="X164" i="24"/>
  <c r="Y164" i="24" s="1"/>
  <c r="W164" i="24"/>
  <c r="V164" i="24"/>
  <c r="X163" i="24"/>
  <c r="Y163" i="24" s="1"/>
  <c r="V163" i="24"/>
  <c r="W163" i="24" s="1"/>
  <c r="X162" i="24"/>
  <c r="Y162" i="24" s="1"/>
  <c r="W162" i="24"/>
  <c r="V162" i="24"/>
  <c r="X161" i="24"/>
  <c r="Y161" i="24" s="1"/>
  <c r="W161" i="24"/>
  <c r="V161" i="24"/>
  <c r="X160" i="24"/>
  <c r="Y160" i="24" s="1"/>
  <c r="V160" i="24"/>
  <c r="W160" i="24" s="1"/>
  <c r="X159" i="24"/>
  <c r="Y159" i="24" s="1"/>
  <c r="V159" i="24"/>
  <c r="W159" i="24" s="1"/>
  <c r="X158" i="24"/>
  <c r="Y158" i="24" s="1"/>
  <c r="W158" i="24"/>
  <c r="V158" i="24"/>
  <c r="X157" i="24"/>
  <c r="Y157" i="24" s="1"/>
  <c r="V157" i="24"/>
  <c r="W157" i="24" s="1"/>
  <c r="X156" i="24"/>
  <c r="Y156" i="24" s="1"/>
  <c r="W156" i="24"/>
  <c r="V156" i="24"/>
  <c r="X155" i="24"/>
  <c r="Y155" i="24" s="1"/>
  <c r="W155" i="24"/>
  <c r="V155" i="24"/>
  <c r="X154" i="24"/>
  <c r="Y154" i="24" s="1"/>
  <c r="V154" i="24"/>
  <c r="W154" i="24" s="1"/>
  <c r="X153" i="24"/>
  <c r="Y153" i="24" s="1"/>
  <c r="V153" i="24"/>
  <c r="W153" i="24" s="1"/>
  <c r="X152" i="24"/>
  <c r="Y152" i="24" s="1"/>
  <c r="W152" i="24"/>
  <c r="V152" i="24"/>
  <c r="X151" i="24"/>
  <c r="Y151" i="24" s="1"/>
  <c r="V151" i="24"/>
  <c r="W151" i="24" s="1"/>
  <c r="X150" i="24"/>
  <c r="Y150" i="24" s="1"/>
  <c r="W150" i="24"/>
  <c r="V150" i="24"/>
  <c r="X149" i="24"/>
  <c r="Y149" i="24" s="1"/>
  <c r="W149" i="24"/>
  <c r="V149" i="24"/>
  <c r="X148" i="24"/>
  <c r="Y148" i="24" s="1"/>
  <c r="V148" i="24"/>
  <c r="W148" i="24" s="1"/>
  <c r="X147" i="24"/>
  <c r="Y147" i="24" s="1"/>
  <c r="V147" i="24"/>
  <c r="W147" i="24" s="1"/>
  <c r="X146" i="24"/>
  <c r="Y146" i="24" s="1"/>
  <c r="W146" i="24"/>
  <c r="V146" i="24"/>
  <c r="X145" i="24"/>
  <c r="Y145" i="24" s="1"/>
  <c r="V145" i="24"/>
  <c r="W145" i="24" s="1"/>
  <c r="X144" i="24"/>
  <c r="Y144" i="24" s="1"/>
  <c r="W144" i="24"/>
  <c r="V144" i="24"/>
  <c r="X143" i="24"/>
  <c r="Y143" i="24" s="1"/>
  <c r="W143" i="24"/>
  <c r="V143" i="24"/>
  <c r="X142" i="24"/>
  <c r="Y142" i="24" s="1"/>
  <c r="V142" i="24"/>
  <c r="W142" i="24" s="1"/>
  <c r="X141" i="24"/>
  <c r="Y141" i="24" s="1"/>
  <c r="V141" i="24"/>
  <c r="W141" i="24" s="1"/>
  <c r="X140" i="24"/>
  <c r="Y140" i="24" s="1"/>
  <c r="W140" i="24"/>
  <c r="V140" i="24"/>
  <c r="X139" i="24"/>
  <c r="Y139" i="24" s="1"/>
  <c r="V139" i="24"/>
  <c r="W139" i="24" s="1"/>
  <c r="X138" i="24"/>
  <c r="Y138" i="24" s="1"/>
  <c r="W138" i="24"/>
  <c r="V138" i="24"/>
  <c r="X137" i="24"/>
  <c r="Y137" i="24" s="1"/>
  <c r="W137" i="24"/>
  <c r="V137" i="24"/>
  <c r="X136" i="24"/>
  <c r="Y136" i="24" s="1"/>
  <c r="V136" i="24"/>
  <c r="W136" i="24" s="1"/>
  <c r="X135" i="24"/>
  <c r="Y135" i="24" s="1"/>
  <c r="V135" i="24"/>
  <c r="W135" i="24" s="1"/>
  <c r="X134" i="24"/>
  <c r="Y134" i="24" s="1"/>
  <c r="W134" i="24"/>
  <c r="V134" i="24"/>
  <c r="X133" i="24"/>
  <c r="Y133" i="24" s="1"/>
  <c r="V133" i="24"/>
  <c r="W133" i="24" s="1"/>
  <c r="X132" i="24"/>
  <c r="Y132" i="24" s="1"/>
  <c r="W132" i="24"/>
  <c r="V132" i="24"/>
  <c r="X131" i="24"/>
  <c r="Y131" i="24" s="1"/>
  <c r="W131" i="24"/>
  <c r="V131" i="24"/>
  <c r="X130" i="24"/>
  <c r="Y130" i="24" s="1"/>
  <c r="V130" i="24"/>
  <c r="W130" i="24" s="1"/>
  <c r="X129" i="24"/>
  <c r="Y129" i="24" s="1"/>
  <c r="V129" i="24"/>
  <c r="W129" i="24" s="1"/>
  <c r="X128" i="24"/>
  <c r="Y128" i="24" s="1"/>
  <c r="W128" i="24"/>
  <c r="V128" i="24"/>
  <c r="X127" i="24"/>
  <c r="Y127" i="24" s="1"/>
  <c r="V127" i="24"/>
  <c r="W127" i="24" s="1"/>
  <c r="X126" i="24"/>
  <c r="Y126" i="24" s="1"/>
  <c r="W126" i="24"/>
  <c r="V126" i="24"/>
  <c r="X125" i="24"/>
  <c r="Y125" i="24" s="1"/>
  <c r="W125" i="24"/>
  <c r="V125" i="24"/>
  <c r="X124" i="24"/>
  <c r="Y124" i="24" s="1"/>
  <c r="V124" i="24"/>
  <c r="W124" i="24" s="1"/>
  <c r="X123" i="24"/>
  <c r="Y123" i="24" s="1"/>
  <c r="V123" i="24"/>
  <c r="W123" i="24" s="1"/>
  <c r="X122" i="24"/>
  <c r="Y122" i="24" s="1"/>
  <c r="W122" i="24"/>
  <c r="V122" i="24"/>
  <c r="X121" i="24"/>
  <c r="Y121" i="24" s="1"/>
  <c r="V121" i="24"/>
  <c r="W121" i="24" s="1"/>
  <c r="X120" i="24"/>
  <c r="Y120" i="24" s="1"/>
  <c r="W120" i="24"/>
  <c r="V120" i="24"/>
  <c r="X119" i="24"/>
  <c r="Y119" i="24" s="1"/>
  <c r="W119" i="24"/>
  <c r="V119" i="24"/>
  <c r="X118" i="24"/>
  <c r="Y118" i="24" s="1"/>
  <c r="V118" i="24"/>
  <c r="W118" i="24" s="1"/>
  <c r="X117" i="24"/>
  <c r="Y117" i="24" s="1"/>
  <c r="V117" i="24"/>
  <c r="W117" i="24" s="1"/>
  <c r="X116" i="24"/>
  <c r="Y116" i="24" s="1"/>
  <c r="W116" i="24"/>
  <c r="V116" i="24"/>
  <c r="X115" i="24"/>
  <c r="Y115" i="24" s="1"/>
  <c r="V115" i="24"/>
  <c r="W115" i="24" s="1"/>
  <c r="X114" i="24"/>
  <c r="Y114" i="24" s="1"/>
  <c r="W114" i="24"/>
  <c r="V114" i="24"/>
  <c r="X113" i="24"/>
  <c r="Y113" i="24" s="1"/>
  <c r="W113" i="24"/>
  <c r="V113" i="24"/>
  <c r="X112" i="24"/>
  <c r="Y112" i="24" s="1"/>
  <c r="V112" i="24"/>
  <c r="W112" i="24" s="1"/>
  <c r="X111" i="24"/>
  <c r="Y111" i="24" s="1"/>
  <c r="V111" i="24"/>
  <c r="W111" i="24" s="1"/>
  <c r="X110" i="24"/>
  <c r="Y110" i="24" s="1"/>
  <c r="W110" i="24"/>
  <c r="V110" i="24"/>
  <c r="X109" i="24"/>
  <c r="Y109" i="24" s="1"/>
  <c r="V109" i="24"/>
  <c r="W109" i="24" s="1"/>
  <c r="X108" i="24"/>
  <c r="Y108" i="24" s="1"/>
  <c r="W108" i="24"/>
  <c r="V108" i="24"/>
  <c r="X107" i="24"/>
  <c r="Y107" i="24" s="1"/>
  <c r="W107" i="24"/>
  <c r="V107" i="24"/>
  <c r="X106" i="24"/>
  <c r="Y106" i="24" s="1"/>
  <c r="V106" i="24"/>
  <c r="W106" i="24" s="1"/>
  <c r="X105" i="24"/>
  <c r="Y105" i="24" s="1"/>
  <c r="V105" i="24"/>
  <c r="W105" i="24" s="1"/>
  <c r="X104" i="24"/>
  <c r="Y104" i="24" s="1"/>
  <c r="W104" i="24"/>
  <c r="V104" i="24"/>
  <c r="X103" i="24"/>
  <c r="Y103" i="24" s="1"/>
  <c r="V103" i="24"/>
  <c r="W103" i="24" s="1"/>
  <c r="X102" i="24"/>
  <c r="Y102" i="24" s="1"/>
  <c r="W102" i="24"/>
  <c r="V102" i="24"/>
  <c r="X101" i="24"/>
  <c r="Y101" i="24" s="1"/>
  <c r="W101" i="24"/>
  <c r="V101" i="24"/>
  <c r="X100" i="24"/>
  <c r="Y100" i="24" s="1"/>
  <c r="V100" i="24"/>
  <c r="W100" i="24" s="1"/>
  <c r="X99" i="24"/>
  <c r="Y99" i="24" s="1"/>
  <c r="V99" i="24"/>
  <c r="W99" i="24" s="1"/>
  <c r="X98" i="24"/>
  <c r="Y98" i="24" s="1"/>
  <c r="W98" i="24"/>
  <c r="V98" i="24"/>
  <c r="X97" i="24"/>
  <c r="Y97" i="24" s="1"/>
  <c r="V97" i="24"/>
  <c r="W97" i="24" s="1"/>
  <c r="X96" i="24"/>
  <c r="Y96" i="24" s="1"/>
  <c r="W96" i="24"/>
  <c r="V96" i="24"/>
  <c r="X95" i="24"/>
  <c r="Y95" i="24" s="1"/>
  <c r="W95" i="24"/>
  <c r="V95" i="24"/>
  <c r="X94" i="24"/>
  <c r="Y94" i="24" s="1"/>
  <c r="V94" i="24"/>
  <c r="W94" i="24" s="1"/>
  <c r="X93" i="24"/>
  <c r="Y93" i="24" s="1"/>
  <c r="V93" i="24"/>
  <c r="W93" i="24" s="1"/>
  <c r="Y92" i="24"/>
  <c r="X92" i="24"/>
  <c r="W92" i="24"/>
  <c r="V92" i="24"/>
  <c r="X91" i="24"/>
  <c r="Y91" i="24" s="1"/>
  <c r="V91" i="24"/>
  <c r="W91" i="24" s="1"/>
  <c r="X90" i="24"/>
  <c r="Y90" i="24" s="1"/>
  <c r="W90" i="24"/>
  <c r="V90" i="24"/>
  <c r="X89" i="24"/>
  <c r="Y89" i="24" s="1"/>
  <c r="W89" i="24"/>
  <c r="V89" i="24"/>
  <c r="X88" i="24"/>
  <c r="Y88" i="24" s="1"/>
  <c r="V88" i="24"/>
  <c r="W88" i="24" s="1"/>
  <c r="X87" i="24"/>
  <c r="Y87" i="24" s="1"/>
  <c r="V87" i="24"/>
  <c r="W87" i="24" s="1"/>
  <c r="X86" i="24"/>
  <c r="Y86" i="24" s="1"/>
  <c r="V86" i="24"/>
  <c r="W86" i="24" s="1"/>
  <c r="X85" i="24"/>
  <c r="Y85" i="24" s="1"/>
  <c r="V85" i="24"/>
  <c r="W85" i="24" s="1"/>
  <c r="X84" i="24"/>
  <c r="Y84" i="24" s="1"/>
  <c r="W84" i="24"/>
  <c r="V84" i="24"/>
  <c r="X83" i="24"/>
  <c r="Y83" i="24" s="1"/>
  <c r="W83" i="24"/>
  <c r="V83" i="24"/>
  <c r="X82" i="24"/>
  <c r="Y82" i="24" s="1"/>
  <c r="V82" i="24"/>
  <c r="W82" i="24" s="1"/>
  <c r="X81" i="24"/>
  <c r="Y81" i="24" s="1"/>
  <c r="V81" i="24"/>
  <c r="W81" i="24" s="1"/>
  <c r="X80" i="24"/>
  <c r="Y80" i="24" s="1"/>
  <c r="W80" i="24"/>
  <c r="V80" i="24"/>
  <c r="X79" i="24"/>
  <c r="Y79" i="24" s="1"/>
  <c r="V79" i="24"/>
  <c r="W79" i="24" s="1"/>
  <c r="X78" i="24"/>
  <c r="Y78" i="24" s="1"/>
  <c r="W78" i="24"/>
  <c r="V78" i="24"/>
  <c r="X77" i="24"/>
  <c r="Y77" i="24" s="1"/>
  <c r="W77" i="24"/>
  <c r="V77" i="24"/>
  <c r="X76" i="24"/>
  <c r="Y76" i="24" s="1"/>
  <c r="V76" i="24"/>
  <c r="W76" i="24" s="1"/>
  <c r="X75" i="24"/>
  <c r="Y75" i="24" s="1"/>
  <c r="V75" i="24"/>
  <c r="W75" i="24" s="1"/>
  <c r="X74" i="24"/>
  <c r="Y74" i="24" s="1"/>
  <c r="W74" i="24"/>
  <c r="V74" i="24"/>
  <c r="X73" i="24"/>
  <c r="Y73" i="24" s="1"/>
  <c r="V73" i="24"/>
  <c r="W73" i="24" s="1"/>
  <c r="X72" i="24"/>
  <c r="Y72" i="24" s="1"/>
  <c r="W72" i="24"/>
  <c r="V72" i="24"/>
  <c r="X71" i="24"/>
  <c r="Y71" i="24" s="1"/>
  <c r="W71" i="24"/>
  <c r="V71" i="24"/>
  <c r="X70" i="24"/>
  <c r="Y70" i="24" s="1"/>
  <c r="V70" i="24"/>
  <c r="W70" i="24" s="1"/>
  <c r="X69" i="24"/>
  <c r="Y69" i="24" s="1"/>
  <c r="V69" i="24"/>
  <c r="W69" i="24" s="1"/>
  <c r="X68" i="24"/>
  <c r="Y68" i="24" s="1"/>
  <c r="W68" i="24"/>
  <c r="V68" i="24"/>
  <c r="X67" i="24"/>
  <c r="Y67" i="24" s="1"/>
  <c r="V67" i="24"/>
  <c r="W67" i="24" s="1"/>
  <c r="X66" i="24"/>
  <c r="Y66" i="24" s="1"/>
  <c r="W66" i="24"/>
  <c r="V66" i="24"/>
  <c r="X65" i="24"/>
  <c r="Y65" i="24" s="1"/>
  <c r="W65" i="24"/>
  <c r="V65" i="24"/>
  <c r="X64" i="24"/>
  <c r="Y64" i="24" s="1"/>
  <c r="V64" i="24"/>
  <c r="W64" i="24" s="1"/>
  <c r="X63" i="24"/>
  <c r="Y63" i="24" s="1"/>
  <c r="V63" i="24"/>
  <c r="W63" i="24" s="1"/>
  <c r="X62" i="24"/>
  <c r="Y62" i="24" s="1"/>
  <c r="W62" i="24"/>
  <c r="V62" i="24"/>
  <c r="X61" i="24"/>
  <c r="Y61" i="24" s="1"/>
  <c r="V61" i="24"/>
  <c r="W61" i="24" s="1"/>
  <c r="X60" i="24"/>
  <c r="Y60" i="24" s="1"/>
  <c r="W60" i="24"/>
  <c r="V60" i="24"/>
  <c r="X59" i="24"/>
  <c r="Y59" i="24" s="1"/>
  <c r="W59" i="24"/>
  <c r="V59" i="24"/>
  <c r="X58" i="24"/>
  <c r="Y58" i="24" s="1"/>
  <c r="V58" i="24"/>
  <c r="W58" i="24" s="1"/>
  <c r="X57" i="24"/>
  <c r="Y57" i="24" s="1"/>
  <c r="V57" i="24"/>
  <c r="W57" i="24" s="1"/>
  <c r="X56" i="24"/>
  <c r="Y56" i="24" s="1"/>
  <c r="W56" i="24"/>
  <c r="V56" i="24"/>
  <c r="X55" i="24"/>
  <c r="Y55" i="24" s="1"/>
  <c r="V55" i="24"/>
  <c r="W55" i="24" s="1"/>
  <c r="X54" i="24"/>
  <c r="Y54" i="24" s="1"/>
  <c r="W54" i="24"/>
  <c r="V54" i="24"/>
  <c r="X53" i="24"/>
  <c r="Y53" i="24" s="1"/>
  <c r="W53" i="24"/>
  <c r="V53" i="24"/>
  <c r="X52" i="24"/>
  <c r="Y52" i="24" s="1"/>
  <c r="V52" i="24"/>
  <c r="W52" i="24" s="1"/>
  <c r="X51" i="24"/>
  <c r="Y51" i="24" s="1"/>
  <c r="V51" i="24"/>
  <c r="W51" i="24" s="1"/>
  <c r="X50" i="24"/>
  <c r="Y50" i="24" s="1"/>
  <c r="W50" i="24"/>
  <c r="V50" i="24"/>
  <c r="X49" i="24"/>
  <c r="Y49" i="24" s="1"/>
  <c r="V49" i="24"/>
  <c r="W49" i="24" s="1"/>
  <c r="X48" i="24"/>
  <c r="Y48" i="24" s="1"/>
  <c r="W48" i="24"/>
  <c r="V48" i="24"/>
  <c r="X47" i="24"/>
  <c r="Y47" i="24" s="1"/>
  <c r="W47" i="24"/>
  <c r="V47" i="24"/>
  <c r="X46" i="24"/>
  <c r="Y46" i="24" s="1"/>
  <c r="V46" i="24"/>
  <c r="W46" i="24" s="1"/>
  <c r="X45" i="24"/>
  <c r="Y45" i="24" s="1"/>
  <c r="V45" i="24"/>
  <c r="W45" i="24" s="1"/>
  <c r="X44" i="24"/>
  <c r="Y44" i="24" s="1"/>
  <c r="W44" i="24"/>
  <c r="V44" i="24"/>
  <c r="X43" i="24"/>
  <c r="Y43" i="24" s="1"/>
  <c r="V43" i="24"/>
  <c r="W43" i="24" s="1"/>
  <c r="X42" i="24"/>
  <c r="Y42" i="24" s="1"/>
  <c r="W42" i="24"/>
  <c r="V42" i="24"/>
  <c r="X41" i="24"/>
  <c r="Y41" i="24" s="1"/>
  <c r="W41" i="24"/>
  <c r="V41" i="24"/>
  <c r="X40" i="24"/>
  <c r="Y40" i="24" s="1"/>
  <c r="V40" i="24"/>
  <c r="W40" i="24" s="1"/>
  <c r="X39" i="24"/>
  <c r="Y39" i="24" s="1"/>
  <c r="V39" i="24"/>
  <c r="W39" i="24" s="1"/>
  <c r="X38" i="24"/>
  <c r="Y38" i="24" s="1"/>
  <c r="W38" i="24"/>
  <c r="V38" i="24"/>
  <c r="X37" i="24"/>
  <c r="Y37" i="24" s="1"/>
  <c r="V37" i="24"/>
  <c r="W37" i="24" s="1"/>
  <c r="X36" i="24"/>
  <c r="Y36" i="24" s="1"/>
  <c r="W36" i="24"/>
  <c r="V36" i="24"/>
  <c r="X35" i="24"/>
  <c r="Y35" i="24" s="1"/>
  <c r="W35" i="24"/>
  <c r="V35" i="24"/>
  <c r="X34" i="24"/>
  <c r="Y34" i="24" s="1"/>
  <c r="V34" i="24"/>
  <c r="W34" i="24" s="1"/>
  <c r="X33" i="24"/>
  <c r="Y33" i="24" s="1"/>
  <c r="V33" i="24"/>
  <c r="W33" i="24" s="1"/>
  <c r="X32" i="24"/>
  <c r="Y32" i="24" s="1"/>
  <c r="W32" i="24"/>
  <c r="V32" i="24"/>
  <c r="X31" i="24"/>
  <c r="Y31" i="24" s="1"/>
  <c r="V31" i="24"/>
  <c r="W31" i="24" s="1"/>
  <c r="X30" i="24"/>
  <c r="Y30" i="24" s="1"/>
  <c r="W30" i="24"/>
  <c r="V30" i="24"/>
  <c r="X29" i="24"/>
  <c r="Y29" i="24" s="1"/>
  <c r="W29" i="24"/>
  <c r="V29" i="24"/>
  <c r="X28" i="24"/>
  <c r="Y28" i="24" s="1"/>
  <c r="V28" i="24"/>
  <c r="W28" i="24" s="1"/>
  <c r="X27" i="24"/>
  <c r="Y27" i="24" s="1"/>
  <c r="V27" i="24"/>
  <c r="W27" i="24" s="1"/>
  <c r="X26" i="24"/>
  <c r="Y26" i="24" s="1"/>
  <c r="W26" i="24"/>
  <c r="V26" i="24"/>
  <c r="X25" i="24"/>
  <c r="Y25" i="24" s="1"/>
  <c r="V25" i="24"/>
  <c r="W25" i="24" s="1"/>
  <c r="X24" i="24"/>
  <c r="Y24" i="24" s="1"/>
  <c r="W24" i="24"/>
  <c r="V24" i="24"/>
  <c r="X23" i="24"/>
  <c r="Y23" i="24" s="1"/>
  <c r="W23" i="24"/>
  <c r="V23" i="24"/>
  <c r="X22" i="24"/>
  <c r="Y22" i="24" s="1"/>
  <c r="V22" i="24"/>
  <c r="W22" i="24" s="1"/>
  <c r="X21" i="24"/>
  <c r="Y21" i="24" s="1"/>
  <c r="V21" i="24"/>
  <c r="W21" i="24" s="1"/>
  <c r="X20" i="24"/>
  <c r="Y20" i="24" s="1"/>
  <c r="W20" i="24"/>
  <c r="V20" i="24"/>
  <c r="X19" i="24"/>
  <c r="Y19" i="24" s="1"/>
  <c r="V19" i="24"/>
  <c r="W19" i="24" s="1"/>
  <c r="X18" i="24"/>
  <c r="Y18" i="24" s="1"/>
  <c r="W18" i="24"/>
  <c r="V18" i="24"/>
  <c r="X17" i="24"/>
  <c r="Y17" i="24" s="1"/>
  <c r="W17" i="24"/>
  <c r="V17" i="24"/>
  <c r="X16" i="24"/>
  <c r="Y16" i="24" s="1"/>
  <c r="V16" i="24"/>
  <c r="W16" i="24" s="1"/>
  <c r="X15" i="24"/>
  <c r="Y15" i="24" s="1"/>
  <c r="V15" i="24"/>
  <c r="W15" i="24" s="1"/>
  <c r="Y14" i="24"/>
  <c r="X14" i="24"/>
  <c r="W14" i="24"/>
  <c r="V14" i="24"/>
  <c r="X13" i="24"/>
  <c r="Y13" i="24" s="1"/>
  <c r="V13" i="24"/>
  <c r="W13" i="24" s="1"/>
  <c r="X12" i="24"/>
  <c r="Y12" i="24" s="1"/>
  <c r="W12" i="24"/>
  <c r="V12" i="24"/>
  <c r="X11" i="24"/>
  <c r="Y11" i="24" s="1"/>
  <c r="W11" i="24"/>
  <c r="V11" i="24"/>
  <c r="X10" i="24"/>
  <c r="Y10" i="24" s="1"/>
  <c r="V10" i="24"/>
  <c r="W10" i="24" s="1"/>
  <c r="X9" i="24"/>
  <c r="Y9" i="24" s="1"/>
  <c r="V9" i="24"/>
  <c r="W9" i="24" s="1"/>
  <c r="X8" i="24"/>
  <c r="Y8" i="24" s="1"/>
  <c r="W8" i="24"/>
  <c r="V8" i="24"/>
  <c r="X7" i="24"/>
  <c r="Y7" i="24" s="1"/>
  <c r="V7" i="24"/>
  <c r="W7" i="24" s="1"/>
  <c r="X6" i="24"/>
  <c r="Y6" i="24" s="1"/>
  <c r="W6" i="24"/>
  <c r="V6" i="24"/>
  <c r="X5" i="24"/>
  <c r="Y5" i="24" s="1"/>
  <c r="W5" i="24"/>
  <c r="V5" i="24"/>
  <c r="X4" i="24"/>
  <c r="Y4" i="24" s="1"/>
  <c r="V4" i="24"/>
  <c r="W4" i="24" s="1"/>
  <c r="X3" i="24"/>
  <c r="Y3" i="24" s="1"/>
  <c r="V3" i="24"/>
  <c r="W3" i="24" s="1"/>
  <c r="Y2" i="24"/>
  <c r="X2" i="24"/>
  <c r="W2" i="24"/>
  <c r="V2" i="24"/>
  <c r="O2" i="25"/>
  <c r="O3" i="25"/>
  <c r="O4" i="25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O101" i="25"/>
  <c r="O102" i="25"/>
  <c r="O103" i="25"/>
  <c r="O104" i="25"/>
  <c r="O105" i="25"/>
  <c r="O106" i="25"/>
  <c r="O107" i="25"/>
  <c r="O108" i="25"/>
  <c r="O109" i="25"/>
  <c r="O110" i="25"/>
  <c r="O111" i="25"/>
  <c r="O112" i="25"/>
  <c r="O113" i="25"/>
  <c r="O114" i="25"/>
  <c r="O115" i="25"/>
  <c r="O116" i="25"/>
  <c r="O117" i="25"/>
  <c r="O118" i="25"/>
  <c r="O119" i="25"/>
  <c r="O120" i="25"/>
  <c r="O121" i="25"/>
  <c r="O122" i="25"/>
  <c r="O123" i="25"/>
  <c r="O124" i="25"/>
  <c r="O125" i="25"/>
  <c r="O126" i="25"/>
  <c r="O127" i="25"/>
  <c r="O128" i="25"/>
  <c r="O129" i="25"/>
  <c r="O130" i="25"/>
  <c r="O131" i="25"/>
  <c r="O132" i="25"/>
  <c r="O133" i="25"/>
  <c r="O134" i="25"/>
  <c r="O135" i="25"/>
  <c r="O136" i="25"/>
  <c r="O137" i="25"/>
  <c r="O138" i="25"/>
  <c r="O139" i="25"/>
  <c r="O140" i="25"/>
  <c r="O141" i="25"/>
  <c r="O142" i="25"/>
  <c r="O143" i="25"/>
  <c r="O144" i="25"/>
  <c r="O145" i="25"/>
  <c r="O146" i="25"/>
  <c r="O147" i="25"/>
  <c r="O148" i="25"/>
  <c r="O149" i="25"/>
  <c r="O150" i="25"/>
  <c r="O151" i="25"/>
  <c r="O152" i="25"/>
  <c r="O153" i="25"/>
  <c r="O154" i="25"/>
  <c r="O155" i="25"/>
  <c r="O156" i="25"/>
  <c r="O157" i="25"/>
  <c r="O158" i="25"/>
  <c r="O159" i="25"/>
  <c r="O160" i="25"/>
  <c r="O161" i="25"/>
  <c r="O162" i="25"/>
  <c r="O163" i="25"/>
  <c r="O164" i="25"/>
  <c r="O165" i="25"/>
  <c r="O166" i="25"/>
  <c r="O167" i="25"/>
  <c r="O168" i="25"/>
  <c r="O169" i="25"/>
  <c r="O170" i="25"/>
  <c r="O171" i="25"/>
  <c r="O172" i="25"/>
  <c r="O173" i="25"/>
  <c r="O174" i="25"/>
  <c r="O175" i="25"/>
  <c r="O176" i="25"/>
  <c r="O177" i="25"/>
  <c r="O178" i="25"/>
  <c r="O179" i="25"/>
  <c r="O180" i="25"/>
  <c r="O181" i="25"/>
  <c r="O182" i="25"/>
  <c r="O183" i="25"/>
  <c r="O184" i="25"/>
  <c r="O185" i="25"/>
  <c r="O186" i="25"/>
  <c r="O187" i="25"/>
  <c r="O188" i="25"/>
  <c r="O189" i="25"/>
  <c r="O190" i="25"/>
  <c r="O191" i="25"/>
  <c r="O192" i="25"/>
  <c r="O193" i="25"/>
  <c r="O194" i="25"/>
  <c r="O195" i="25"/>
  <c r="O196" i="25"/>
  <c r="O197" i="25"/>
  <c r="O198" i="25"/>
  <c r="O199" i="25"/>
  <c r="O200" i="25"/>
  <c r="O201" i="25"/>
  <c r="O202" i="25"/>
  <c r="O203" i="25"/>
  <c r="O204" i="25"/>
  <c r="O205" i="25"/>
  <c r="O206" i="25"/>
  <c r="O207" i="25"/>
  <c r="O208" i="25"/>
  <c r="O209" i="25"/>
  <c r="O210" i="25"/>
  <c r="O211" i="25"/>
  <c r="O212" i="25"/>
  <c r="O213" i="25"/>
  <c r="O214" i="25"/>
  <c r="O215" i="25"/>
  <c r="O216" i="25"/>
  <c r="O217" i="25"/>
  <c r="O218" i="25"/>
  <c r="O219" i="25"/>
  <c r="O220" i="25"/>
  <c r="O221" i="25"/>
  <c r="O222" i="25"/>
  <c r="O223" i="25"/>
  <c r="O224" i="25"/>
  <c r="O225" i="25"/>
  <c r="O226" i="25"/>
  <c r="O227" i="25"/>
  <c r="O228" i="25"/>
  <c r="O229" i="25"/>
  <c r="O230" i="25"/>
  <c r="O231" i="25"/>
  <c r="O232" i="25"/>
  <c r="O233" i="25"/>
  <c r="O234" i="25"/>
  <c r="O235" i="25"/>
  <c r="O236" i="25"/>
  <c r="O237" i="25"/>
  <c r="O238" i="25"/>
  <c r="O239" i="25"/>
  <c r="O240" i="25"/>
  <c r="O241" i="25"/>
  <c r="O242" i="25"/>
  <c r="O243" i="25"/>
  <c r="O244" i="25"/>
  <c r="O245" i="25"/>
  <c r="O246" i="25"/>
  <c r="O247" i="25"/>
  <c r="O248" i="25"/>
  <c r="O249" i="25"/>
  <c r="O250" i="25"/>
  <c r="O251" i="25"/>
  <c r="O252" i="25"/>
  <c r="O253" i="25"/>
  <c r="O254" i="25"/>
  <c r="O255" i="25"/>
  <c r="O256" i="25"/>
  <c r="O257" i="25"/>
  <c r="O258" i="25"/>
  <c r="O259" i="25"/>
  <c r="O260" i="25"/>
  <c r="O261" i="25"/>
  <c r="O262" i="25"/>
  <c r="O263" i="25"/>
  <c r="O264" i="25"/>
  <c r="O265" i="25"/>
  <c r="O266" i="25"/>
  <c r="O267" i="25"/>
  <c r="O268" i="25"/>
  <c r="O269" i="25"/>
  <c r="O270" i="25"/>
  <c r="O271" i="25"/>
  <c r="O272" i="25"/>
  <c r="O273" i="25"/>
  <c r="O274" i="25"/>
  <c r="O275" i="25"/>
  <c r="O276" i="25"/>
  <c r="O277" i="25"/>
  <c r="O278" i="25"/>
  <c r="O279" i="25"/>
  <c r="O280" i="25"/>
  <c r="O281" i="25"/>
  <c r="O282" i="25"/>
  <c r="O283" i="25"/>
  <c r="O284" i="25"/>
  <c r="O285" i="25"/>
  <c r="O286" i="25"/>
  <c r="O287" i="25"/>
  <c r="O2" i="24"/>
  <c r="O3" i="24"/>
  <c r="O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O117" i="24"/>
  <c r="O118" i="24"/>
  <c r="O119" i="24"/>
  <c r="O120" i="24"/>
  <c r="O121" i="24"/>
  <c r="O122" i="24"/>
  <c r="O123" i="24"/>
  <c r="O124" i="24"/>
  <c r="O125" i="24"/>
  <c r="O126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O150" i="24"/>
  <c r="O151" i="24"/>
  <c r="O152" i="24"/>
  <c r="O153" i="24"/>
  <c r="O154" i="24"/>
  <c r="O155" i="24"/>
  <c r="O156" i="24"/>
  <c r="O157" i="24"/>
  <c r="O158" i="24"/>
  <c r="O159" i="24"/>
  <c r="O160" i="24"/>
  <c r="O161" i="24"/>
  <c r="O162" i="24"/>
  <c r="O163" i="24"/>
  <c r="O164" i="24"/>
  <c r="O165" i="24"/>
  <c r="O166" i="24"/>
  <c r="O167" i="24"/>
  <c r="O168" i="24"/>
  <c r="O169" i="24"/>
  <c r="O170" i="24"/>
  <c r="O171" i="24"/>
  <c r="O172" i="24"/>
  <c r="O173" i="24"/>
  <c r="O174" i="24"/>
  <c r="O175" i="24"/>
  <c r="O176" i="24"/>
  <c r="O177" i="24"/>
  <c r="O178" i="24"/>
  <c r="O179" i="24"/>
  <c r="O180" i="24"/>
  <c r="O181" i="24"/>
  <c r="O182" i="24"/>
  <c r="O183" i="24"/>
  <c r="O184" i="24"/>
  <c r="O185" i="24"/>
  <c r="O186" i="24"/>
  <c r="O187" i="24"/>
  <c r="O188" i="24"/>
  <c r="O189" i="24"/>
  <c r="O190" i="24"/>
  <c r="O191" i="24"/>
  <c r="O192" i="24"/>
  <c r="O193" i="24"/>
  <c r="O194" i="24"/>
  <c r="O195" i="24"/>
  <c r="O196" i="24"/>
  <c r="O197" i="24"/>
  <c r="O198" i="24"/>
  <c r="O199" i="24"/>
  <c r="O200" i="24"/>
  <c r="O201" i="24"/>
  <c r="O202" i="24"/>
  <c r="O203" i="24"/>
  <c r="O204" i="24"/>
  <c r="O205" i="24"/>
  <c r="O206" i="24"/>
  <c r="O207" i="24"/>
  <c r="O208" i="24"/>
  <c r="O209" i="24"/>
  <c r="O210" i="24"/>
  <c r="O211" i="24"/>
  <c r="O212" i="24"/>
  <c r="O213" i="24"/>
  <c r="O214" i="24"/>
  <c r="O215" i="24"/>
  <c r="O216" i="24"/>
  <c r="O217" i="24"/>
  <c r="O218" i="24"/>
  <c r="O219" i="24"/>
  <c r="O220" i="24"/>
  <c r="O221" i="24"/>
  <c r="O222" i="24"/>
  <c r="O223" i="24"/>
  <c r="O224" i="24"/>
  <c r="O225" i="24"/>
  <c r="O226" i="24"/>
  <c r="O227" i="24"/>
  <c r="O228" i="24"/>
  <c r="O229" i="24"/>
  <c r="O230" i="24"/>
  <c r="O231" i="24"/>
  <c r="O232" i="24"/>
  <c r="O233" i="24"/>
  <c r="O234" i="24"/>
  <c r="O235" i="24"/>
  <c r="O236" i="24"/>
  <c r="O237" i="24"/>
  <c r="O238" i="24"/>
  <c r="O239" i="24"/>
  <c r="O240" i="24"/>
  <c r="O241" i="24"/>
  <c r="O242" i="24"/>
  <c r="O243" i="24"/>
  <c r="O244" i="24"/>
  <c r="O245" i="24"/>
  <c r="O246" i="24"/>
  <c r="O247" i="24"/>
  <c r="O248" i="24"/>
  <c r="O249" i="24"/>
  <c r="O250" i="24"/>
  <c r="O251" i="24"/>
  <c r="O252" i="24"/>
  <c r="O253" i="24"/>
  <c r="O254" i="24"/>
  <c r="O255" i="24"/>
  <c r="O256" i="24"/>
  <c r="O257" i="24"/>
  <c r="O258" i="24"/>
  <c r="O259" i="24"/>
  <c r="O260" i="24"/>
  <c r="O261" i="24"/>
  <c r="O262" i="24"/>
  <c r="O263" i="24"/>
  <c r="O264" i="24"/>
  <c r="O265" i="24"/>
  <c r="O266" i="24"/>
  <c r="O267" i="24"/>
  <c r="O268" i="24"/>
  <c r="O269" i="24"/>
  <c r="O270" i="24"/>
  <c r="O271" i="24"/>
  <c r="O272" i="24"/>
  <c r="O273" i="24"/>
  <c r="O274" i="24"/>
  <c r="O275" i="24"/>
  <c r="O276" i="24"/>
  <c r="O277" i="24"/>
  <c r="O278" i="24"/>
  <c r="O279" i="24"/>
  <c r="O280" i="24"/>
  <c r="O281" i="24"/>
  <c r="O282" i="24"/>
  <c r="O283" i="24"/>
  <c r="O284" i="24"/>
  <c r="O285" i="24"/>
  <c r="O286" i="24"/>
  <c r="O287" i="24"/>
  <c r="O2" i="23"/>
  <c r="O3" i="23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O61" i="23"/>
  <c r="O62" i="23"/>
  <c r="O63" i="23"/>
  <c r="O64" i="23"/>
  <c r="O65" i="23"/>
  <c r="O66" i="23"/>
  <c r="O67" i="23"/>
  <c r="O68" i="23"/>
  <c r="O69" i="23"/>
  <c r="O70" i="23"/>
  <c r="O71" i="23"/>
  <c r="O72" i="23"/>
  <c r="O73" i="23"/>
  <c r="O74" i="23"/>
  <c r="O75" i="23"/>
  <c r="O76" i="23"/>
  <c r="O77" i="23"/>
  <c r="O78" i="23"/>
  <c r="O79" i="23"/>
  <c r="O80" i="23"/>
  <c r="O81" i="23"/>
  <c r="O82" i="23"/>
  <c r="O83" i="23"/>
  <c r="O84" i="23"/>
  <c r="O85" i="23"/>
  <c r="O86" i="23"/>
  <c r="O87" i="23"/>
  <c r="O88" i="23"/>
  <c r="O89" i="23"/>
  <c r="O90" i="23"/>
  <c r="O91" i="23"/>
  <c r="O92" i="23"/>
  <c r="O93" i="23"/>
  <c r="O94" i="23"/>
  <c r="O95" i="23"/>
  <c r="O96" i="23"/>
  <c r="O97" i="23"/>
  <c r="O98" i="23"/>
  <c r="O99" i="23"/>
  <c r="O100" i="23"/>
  <c r="O101" i="23"/>
  <c r="O102" i="23"/>
  <c r="O103" i="23"/>
  <c r="O104" i="23"/>
  <c r="O105" i="23"/>
  <c r="O106" i="23"/>
  <c r="O107" i="23"/>
  <c r="O108" i="23"/>
  <c r="O109" i="23"/>
  <c r="O110" i="23"/>
  <c r="O111" i="23"/>
  <c r="O112" i="23"/>
  <c r="O113" i="23"/>
  <c r="O114" i="23"/>
  <c r="O115" i="23"/>
  <c r="O116" i="23"/>
  <c r="O117" i="23"/>
  <c r="O118" i="23"/>
  <c r="O119" i="23"/>
  <c r="O120" i="23"/>
  <c r="O121" i="23"/>
  <c r="O122" i="23"/>
  <c r="O123" i="23"/>
  <c r="O124" i="23"/>
  <c r="O125" i="23"/>
  <c r="O126" i="23"/>
  <c r="O127" i="23"/>
  <c r="O128" i="23"/>
  <c r="O129" i="23"/>
  <c r="O130" i="23"/>
  <c r="O131" i="23"/>
  <c r="O132" i="23"/>
  <c r="O133" i="23"/>
  <c r="O134" i="23"/>
  <c r="O135" i="23"/>
  <c r="O136" i="23"/>
  <c r="O137" i="23"/>
  <c r="O138" i="23"/>
  <c r="O139" i="23"/>
  <c r="O140" i="23"/>
  <c r="O141" i="23"/>
  <c r="O142" i="23"/>
  <c r="O143" i="23"/>
  <c r="O144" i="23"/>
  <c r="O145" i="23"/>
  <c r="O146" i="23"/>
  <c r="O147" i="23"/>
  <c r="O148" i="23"/>
  <c r="O149" i="23"/>
  <c r="O150" i="23"/>
  <c r="O151" i="23"/>
  <c r="O152" i="23"/>
  <c r="O153" i="23"/>
  <c r="O154" i="23"/>
  <c r="O155" i="23"/>
  <c r="O156" i="23"/>
  <c r="O157" i="23"/>
  <c r="O158" i="23"/>
  <c r="O159" i="23"/>
  <c r="O160" i="23"/>
  <c r="O161" i="23"/>
  <c r="O162" i="23"/>
  <c r="O163" i="23"/>
  <c r="O164" i="23"/>
  <c r="O165" i="23"/>
  <c r="O166" i="23"/>
  <c r="O167" i="23"/>
  <c r="O168" i="23"/>
  <c r="O169" i="23"/>
  <c r="O170" i="23"/>
  <c r="O171" i="23"/>
  <c r="O172" i="23"/>
  <c r="O173" i="23"/>
  <c r="O174" i="23"/>
  <c r="O175" i="23"/>
  <c r="O176" i="23"/>
  <c r="O177" i="23"/>
  <c r="O178" i="23"/>
  <c r="O179" i="23"/>
  <c r="O180" i="23"/>
  <c r="O181" i="23"/>
  <c r="O182" i="23"/>
  <c r="O183" i="23"/>
  <c r="O184" i="23"/>
  <c r="O185" i="23"/>
  <c r="O186" i="23"/>
  <c r="O187" i="23"/>
  <c r="O188" i="23"/>
  <c r="O189" i="23"/>
  <c r="O190" i="23"/>
  <c r="O191" i="23"/>
  <c r="O192" i="23"/>
  <c r="O193" i="23"/>
  <c r="O194" i="23"/>
  <c r="O195" i="23"/>
  <c r="O196" i="23"/>
  <c r="O197" i="23"/>
  <c r="O198" i="23"/>
  <c r="O199" i="23"/>
  <c r="O200" i="23"/>
  <c r="O201" i="23"/>
  <c r="O202" i="23"/>
  <c r="O203" i="23"/>
  <c r="O204" i="23"/>
  <c r="O205" i="23"/>
  <c r="O206" i="23"/>
  <c r="O207" i="23"/>
  <c r="O208" i="23"/>
  <c r="O209" i="23"/>
  <c r="O210" i="23"/>
  <c r="O211" i="23"/>
  <c r="O212" i="23"/>
  <c r="O213" i="23"/>
  <c r="O214" i="23"/>
  <c r="O215" i="23"/>
  <c r="O216" i="23"/>
  <c r="O217" i="23"/>
  <c r="O218" i="23"/>
  <c r="O219" i="23"/>
  <c r="O220" i="23"/>
  <c r="O221" i="23"/>
  <c r="O222" i="23"/>
  <c r="O223" i="23"/>
  <c r="O224" i="23"/>
  <c r="O225" i="23"/>
  <c r="O226" i="23"/>
  <c r="O227" i="23"/>
  <c r="O228" i="23"/>
  <c r="O229" i="23"/>
  <c r="O230" i="23"/>
  <c r="O231" i="23"/>
  <c r="O232" i="23"/>
  <c r="O233" i="23"/>
  <c r="O234" i="23"/>
  <c r="O235" i="23"/>
  <c r="O236" i="23"/>
  <c r="O237" i="23"/>
  <c r="O238" i="23"/>
  <c r="O239" i="23"/>
  <c r="O240" i="23"/>
  <c r="O241" i="23"/>
  <c r="O242" i="23"/>
  <c r="O243" i="23"/>
  <c r="O244" i="23"/>
  <c r="O245" i="23"/>
  <c r="O246" i="23"/>
  <c r="O247" i="23"/>
  <c r="O248" i="23"/>
  <c r="O249" i="23"/>
  <c r="O250" i="23"/>
  <c r="O251" i="23"/>
  <c r="O252" i="23"/>
  <c r="O253" i="23"/>
  <c r="O254" i="23"/>
  <c r="O255" i="23"/>
  <c r="O256" i="23"/>
  <c r="O257" i="23"/>
  <c r="O258" i="23"/>
  <c r="O259" i="23"/>
  <c r="O260" i="23"/>
  <c r="O261" i="23"/>
  <c r="O262" i="23"/>
  <c r="O263" i="23"/>
  <c r="O264" i="23"/>
  <c r="O265" i="23"/>
  <c r="O266" i="23"/>
  <c r="O267" i="23"/>
  <c r="O268" i="23"/>
  <c r="O269" i="23"/>
  <c r="O270" i="23"/>
  <c r="O271" i="23"/>
  <c r="O272" i="23"/>
  <c r="O273" i="23"/>
  <c r="O274" i="23"/>
  <c r="O275" i="23"/>
  <c r="O276" i="23"/>
  <c r="O277" i="23"/>
  <c r="O278" i="23"/>
  <c r="O279" i="23"/>
  <c r="O280" i="23"/>
  <c r="O281" i="23"/>
  <c r="O282" i="23"/>
  <c r="O283" i="23"/>
  <c r="O284" i="23"/>
  <c r="O285" i="23"/>
  <c r="O286" i="23"/>
  <c r="O287" i="23"/>
  <c r="O2" i="22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O208" i="22"/>
  <c r="O209" i="22"/>
  <c r="O210" i="22"/>
  <c r="O211" i="22"/>
  <c r="O212" i="22"/>
  <c r="O213" i="22"/>
  <c r="O214" i="22"/>
  <c r="O215" i="22"/>
  <c r="O216" i="22"/>
  <c r="O217" i="22"/>
  <c r="O218" i="22"/>
  <c r="O219" i="22"/>
  <c r="O220" i="22"/>
  <c r="O221" i="22"/>
  <c r="O222" i="22"/>
  <c r="O223" i="22"/>
  <c r="O224" i="22"/>
  <c r="O225" i="22"/>
  <c r="O226" i="22"/>
  <c r="O227" i="22"/>
  <c r="O228" i="22"/>
  <c r="O229" i="22"/>
  <c r="O230" i="22"/>
  <c r="O231" i="22"/>
  <c r="O232" i="22"/>
  <c r="O233" i="22"/>
  <c r="O234" i="22"/>
  <c r="O235" i="22"/>
  <c r="O236" i="22"/>
  <c r="O237" i="22"/>
  <c r="O238" i="22"/>
  <c r="O239" i="22"/>
  <c r="O240" i="22"/>
  <c r="O241" i="22"/>
  <c r="O242" i="22"/>
  <c r="O243" i="22"/>
  <c r="O244" i="22"/>
  <c r="O245" i="22"/>
  <c r="O246" i="22"/>
  <c r="O247" i="22"/>
  <c r="O248" i="22"/>
  <c r="O249" i="22"/>
  <c r="O250" i="22"/>
  <c r="O251" i="22"/>
  <c r="O252" i="22"/>
  <c r="O253" i="22"/>
  <c r="O254" i="22"/>
  <c r="O255" i="22"/>
  <c r="O256" i="22"/>
  <c r="O257" i="22"/>
  <c r="O258" i="22"/>
  <c r="O259" i="22"/>
  <c r="O260" i="22"/>
  <c r="O261" i="22"/>
  <c r="O262" i="22"/>
  <c r="O263" i="22"/>
  <c r="O264" i="22"/>
  <c r="O265" i="22"/>
  <c r="O266" i="22"/>
  <c r="O267" i="22"/>
  <c r="O268" i="22"/>
  <c r="O269" i="22"/>
  <c r="O270" i="22"/>
  <c r="O271" i="22"/>
  <c r="O272" i="22"/>
  <c r="O273" i="22"/>
  <c r="O274" i="22"/>
  <c r="O275" i="22"/>
  <c r="O276" i="22"/>
  <c r="O277" i="22"/>
  <c r="O278" i="22"/>
  <c r="O279" i="22"/>
  <c r="O280" i="22"/>
  <c r="O281" i="22"/>
  <c r="O282" i="22"/>
  <c r="O283" i="22"/>
  <c r="O284" i="22"/>
  <c r="O285" i="22"/>
  <c r="O286" i="22"/>
  <c r="O2" i="21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36" i="21"/>
  <c r="O237" i="21"/>
  <c r="O238" i="21"/>
  <c r="O239" i="21"/>
  <c r="O240" i="21"/>
  <c r="O241" i="21"/>
  <c r="O242" i="21"/>
  <c r="O243" i="21"/>
  <c r="O244" i="21"/>
  <c r="O245" i="21"/>
  <c r="O246" i="21"/>
  <c r="O247" i="21"/>
  <c r="O248" i="21"/>
  <c r="O249" i="21"/>
  <c r="O250" i="21"/>
  <c r="O251" i="21"/>
  <c r="O252" i="21"/>
  <c r="O253" i="21"/>
  <c r="O254" i="21"/>
  <c r="O255" i="21"/>
  <c r="O256" i="21"/>
  <c r="O257" i="21"/>
  <c r="O258" i="21"/>
  <c r="O259" i="21"/>
  <c r="O260" i="21"/>
  <c r="O261" i="21"/>
  <c r="O262" i="21"/>
  <c r="O263" i="21"/>
  <c r="O264" i="21"/>
  <c r="O265" i="21"/>
  <c r="O266" i="21"/>
  <c r="O267" i="21"/>
  <c r="O268" i="21"/>
  <c r="O269" i="21"/>
  <c r="O270" i="21"/>
  <c r="O271" i="21"/>
  <c r="O272" i="21"/>
  <c r="O273" i="21"/>
  <c r="O274" i="21"/>
  <c r="O275" i="21"/>
  <c r="O276" i="21"/>
  <c r="O277" i="21"/>
  <c r="O278" i="21"/>
  <c r="V274" i="20"/>
  <c r="W274" i="20" s="1"/>
  <c r="T274" i="20"/>
  <c r="U274" i="20" s="1"/>
  <c r="V273" i="20"/>
  <c r="W273" i="20" s="1"/>
  <c r="T273" i="20"/>
  <c r="U273" i="20" s="1"/>
  <c r="V272" i="20"/>
  <c r="W272" i="20" s="1"/>
  <c r="T272" i="20"/>
  <c r="U272" i="20" s="1"/>
  <c r="V271" i="20"/>
  <c r="W271" i="20" s="1"/>
  <c r="T271" i="20"/>
  <c r="U271" i="20" s="1"/>
  <c r="V270" i="20"/>
  <c r="W270" i="20" s="1"/>
  <c r="T270" i="20"/>
  <c r="U270" i="20" s="1"/>
  <c r="V269" i="20"/>
  <c r="W269" i="20" s="1"/>
  <c r="T269" i="20"/>
  <c r="U269" i="20" s="1"/>
  <c r="V268" i="20"/>
  <c r="W268" i="20" s="1"/>
  <c r="T268" i="20"/>
  <c r="U268" i="20" s="1"/>
  <c r="V267" i="20"/>
  <c r="W267" i="20" s="1"/>
  <c r="T267" i="20"/>
  <c r="U267" i="20" s="1"/>
  <c r="V266" i="20"/>
  <c r="W266" i="20" s="1"/>
  <c r="T266" i="20"/>
  <c r="U266" i="20" s="1"/>
  <c r="V265" i="20"/>
  <c r="W265" i="20" s="1"/>
  <c r="T265" i="20"/>
  <c r="U265" i="20" s="1"/>
  <c r="W264" i="20"/>
  <c r="V264" i="20"/>
  <c r="T264" i="20"/>
  <c r="U264" i="20" s="1"/>
  <c r="V263" i="20"/>
  <c r="W263" i="20" s="1"/>
  <c r="T263" i="20"/>
  <c r="U263" i="20" s="1"/>
  <c r="V262" i="20"/>
  <c r="W262" i="20" s="1"/>
  <c r="T262" i="20"/>
  <c r="U262" i="20" s="1"/>
  <c r="V261" i="20"/>
  <c r="W261" i="20" s="1"/>
  <c r="T261" i="20"/>
  <c r="U261" i="20" s="1"/>
  <c r="V260" i="20"/>
  <c r="W260" i="20" s="1"/>
  <c r="T260" i="20"/>
  <c r="U260" i="20" s="1"/>
  <c r="V259" i="20"/>
  <c r="W259" i="20" s="1"/>
  <c r="T259" i="20"/>
  <c r="U259" i="20" s="1"/>
  <c r="V258" i="20"/>
  <c r="W258" i="20" s="1"/>
  <c r="T258" i="20"/>
  <c r="U258" i="20" s="1"/>
  <c r="V257" i="20"/>
  <c r="W257" i="20" s="1"/>
  <c r="T257" i="20"/>
  <c r="U257" i="20" s="1"/>
  <c r="V256" i="20"/>
  <c r="W256" i="20" s="1"/>
  <c r="T256" i="20"/>
  <c r="U256" i="20" s="1"/>
  <c r="V255" i="20"/>
  <c r="W255" i="20" s="1"/>
  <c r="U255" i="20"/>
  <c r="T255" i="20"/>
  <c r="V254" i="20"/>
  <c r="W254" i="20" s="1"/>
  <c r="T254" i="20"/>
  <c r="U254" i="20" s="1"/>
  <c r="V253" i="20"/>
  <c r="W253" i="20" s="1"/>
  <c r="U253" i="20"/>
  <c r="T253" i="20"/>
  <c r="W252" i="20"/>
  <c r="V252" i="20"/>
  <c r="T252" i="20"/>
  <c r="U252" i="20" s="1"/>
  <c r="V251" i="20"/>
  <c r="W251" i="20" s="1"/>
  <c r="T251" i="20"/>
  <c r="U251" i="20" s="1"/>
  <c r="V250" i="20"/>
  <c r="W250" i="20" s="1"/>
  <c r="T250" i="20"/>
  <c r="U250" i="20" s="1"/>
  <c r="V249" i="20"/>
  <c r="W249" i="20" s="1"/>
  <c r="T249" i="20"/>
  <c r="U249" i="20" s="1"/>
  <c r="V248" i="20"/>
  <c r="W248" i="20" s="1"/>
  <c r="U248" i="20"/>
  <c r="T248" i="20"/>
  <c r="V247" i="20"/>
  <c r="W247" i="20" s="1"/>
  <c r="U247" i="20"/>
  <c r="T247" i="20"/>
  <c r="V246" i="20"/>
  <c r="W246" i="20" s="1"/>
  <c r="T246" i="20"/>
  <c r="U246" i="20" s="1"/>
  <c r="V245" i="20"/>
  <c r="W245" i="20" s="1"/>
  <c r="T245" i="20"/>
  <c r="U245" i="20" s="1"/>
  <c r="V244" i="20"/>
  <c r="W244" i="20" s="1"/>
  <c r="T244" i="20"/>
  <c r="U244" i="20" s="1"/>
  <c r="V243" i="20"/>
  <c r="W243" i="20" s="1"/>
  <c r="T243" i="20"/>
  <c r="U243" i="20" s="1"/>
  <c r="V242" i="20"/>
  <c r="W242" i="20" s="1"/>
  <c r="U242" i="20"/>
  <c r="T242" i="20"/>
  <c r="V241" i="20"/>
  <c r="W241" i="20" s="1"/>
  <c r="T241" i="20"/>
  <c r="U241" i="20" s="1"/>
  <c r="V240" i="20"/>
  <c r="W240" i="20" s="1"/>
  <c r="T240" i="20"/>
  <c r="U240" i="20" s="1"/>
  <c r="V239" i="20"/>
  <c r="W239" i="20" s="1"/>
  <c r="U239" i="20"/>
  <c r="T239" i="20"/>
  <c r="V238" i="20"/>
  <c r="W238" i="20" s="1"/>
  <c r="T238" i="20"/>
  <c r="U238" i="20" s="1"/>
  <c r="V237" i="20"/>
  <c r="W237" i="20" s="1"/>
  <c r="T237" i="20"/>
  <c r="U237" i="20" s="1"/>
  <c r="V236" i="20"/>
  <c r="W236" i="20" s="1"/>
  <c r="T236" i="20"/>
  <c r="U236" i="20" s="1"/>
  <c r="V235" i="20"/>
  <c r="W235" i="20" s="1"/>
  <c r="T235" i="20"/>
  <c r="U235" i="20" s="1"/>
  <c r="W234" i="20"/>
  <c r="V234" i="20"/>
  <c r="T234" i="20"/>
  <c r="U234" i="20" s="1"/>
  <c r="V233" i="20"/>
  <c r="W233" i="20" s="1"/>
  <c r="T233" i="20"/>
  <c r="U233" i="20" s="1"/>
  <c r="V232" i="20"/>
  <c r="W232" i="20" s="1"/>
  <c r="T232" i="20"/>
  <c r="U232" i="20" s="1"/>
  <c r="V231" i="20"/>
  <c r="W231" i="20" s="1"/>
  <c r="T231" i="20"/>
  <c r="U231" i="20" s="1"/>
  <c r="V230" i="20"/>
  <c r="W230" i="20" s="1"/>
  <c r="T230" i="20"/>
  <c r="U230" i="20" s="1"/>
  <c r="V229" i="20"/>
  <c r="W229" i="20" s="1"/>
  <c r="T229" i="20"/>
  <c r="U229" i="20" s="1"/>
  <c r="V228" i="20"/>
  <c r="W228" i="20" s="1"/>
  <c r="T228" i="20"/>
  <c r="U228" i="20" s="1"/>
  <c r="V227" i="20"/>
  <c r="W227" i="20" s="1"/>
  <c r="T227" i="20"/>
  <c r="U227" i="20" s="1"/>
  <c r="V226" i="20"/>
  <c r="W226" i="20" s="1"/>
  <c r="T226" i="20"/>
  <c r="U226" i="20" s="1"/>
  <c r="V225" i="20"/>
  <c r="W225" i="20" s="1"/>
  <c r="T225" i="20"/>
  <c r="U225" i="20" s="1"/>
  <c r="V224" i="20"/>
  <c r="W224" i="20" s="1"/>
  <c r="U224" i="20"/>
  <c r="T224" i="20"/>
  <c r="V223" i="20"/>
  <c r="W223" i="20" s="1"/>
  <c r="T223" i="20"/>
  <c r="U223" i="20" s="1"/>
  <c r="W222" i="20"/>
  <c r="V222" i="20"/>
  <c r="T222" i="20"/>
  <c r="U222" i="20" s="1"/>
  <c r="V221" i="20"/>
  <c r="W221" i="20" s="1"/>
  <c r="T221" i="20"/>
  <c r="U221" i="20" s="1"/>
  <c r="V220" i="20"/>
  <c r="W220" i="20" s="1"/>
  <c r="T220" i="20"/>
  <c r="U220" i="20" s="1"/>
  <c r="V219" i="20"/>
  <c r="W219" i="20" s="1"/>
  <c r="T219" i="20"/>
  <c r="U219" i="20" s="1"/>
  <c r="V218" i="20"/>
  <c r="W218" i="20" s="1"/>
  <c r="T218" i="20"/>
  <c r="U218" i="20" s="1"/>
  <c r="V217" i="20"/>
  <c r="W217" i="20" s="1"/>
  <c r="T217" i="20"/>
  <c r="U217" i="20" s="1"/>
  <c r="V216" i="20"/>
  <c r="W216" i="20" s="1"/>
  <c r="T216" i="20"/>
  <c r="U216" i="20" s="1"/>
  <c r="V215" i="20"/>
  <c r="W215" i="20" s="1"/>
  <c r="U215" i="20"/>
  <c r="T215" i="20"/>
  <c r="V214" i="20"/>
  <c r="W214" i="20" s="1"/>
  <c r="T214" i="20"/>
  <c r="U214" i="20" s="1"/>
  <c r="V213" i="20"/>
  <c r="W213" i="20" s="1"/>
  <c r="T213" i="20"/>
  <c r="U213" i="20" s="1"/>
  <c r="V212" i="20"/>
  <c r="W212" i="20" s="1"/>
  <c r="U212" i="20"/>
  <c r="T212" i="20"/>
  <c r="V211" i="20"/>
  <c r="W211" i="20" s="1"/>
  <c r="U211" i="20"/>
  <c r="T211" i="20"/>
  <c r="V210" i="20"/>
  <c r="W210" i="20" s="1"/>
  <c r="T210" i="20"/>
  <c r="U210" i="20" s="1"/>
  <c r="V209" i="20"/>
  <c r="W209" i="20" s="1"/>
  <c r="T209" i="20"/>
  <c r="U209" i="20" s="1"/>
  <c r="V208" i="20"/>
  <c r="W208" i="20" s="1"/>
  <c r="T208" i="20"/>
  <c r="U208" i="20" s="1"/>
  <c r="V207" i="20"/>
  <c r="W207" i="20" s="1"/>
  <c r="T207" i="20"/>
  <c r="U207" i="20" s="1"/>
  <c r="V206" i="20"/>
  <c r="W206" i="20" s="1"/>
  <c r="T206" i="20"/>
  <c r="U206" i="20" s="1"/>
  <c r="V205" i="20"/>
  <c r="W205" i="20" s="1"/>
  <c r="T205" i="20"/>
  <c r="U205" i="20" s="1"/>
  <c r="V204" i="20"/>
  <c r="W204" i="20" s="1"/>
  <c r="T204" i="20"/>
  <c r="U204" i="20" s="1"/>
  <c r="V203" i="20"/>
  <c r="W203" i="20" s="1"/>
  <c r="T203" i="20"/>
  <c r="U203" i="20" s="1"/>
  <c r="V202" i="20"/>
  <c r="W202" i="20" s="1"/>
  <c r="T202" i="20"/>
  <c r="U202" i="20" s="1"/>
  <c r="V201" i="20"/>
  <c r="W201" i="20" s="1"/>
  <c r="T201" i="20"/>
  <c r="U201" i="20" s="1"/>
  <c r="V200" i="20"/>
  <c r="W200" i="20" s="1"/>
  <c r="T200" i="20"/>
  <c r="U200" i="20" s="1"/>
  <c r="V199" i="20"/>
  <c r="W199" i="20" s="1"/>
  <c r="T199" i="20"/>
  <c r="U199" i="20" s="1"/>
  <c r="V198" i="20"/>
  <c r="W198" i="20" s="1"/>
  <c r="T198" i="20"/>
  <c r="U198" i="20" s="1"/>
  <c r="V197" i="20"/>
  <c r="W197" i="20" s="1"/>
  <c r="T197" i="20"/>
  <c r="U197" i="20" s="1"/>
  <c r="V196" i="20"/>
  <c r="W196" i="20" s="1"/>
  <c r="T196" i="20"/>
  <c r="U196" i="20" s="1"/>
  <c r="V195" i="20"/>
  <c r="W195" i="20" s="1"/>
  <c r="T195" i="20"/>
  <c r="U195" i="20" s="1"/>
  <c r="V194" i="20"/>
  <c r="W194" i="20" s="1"/>
  <c r="U194" i="20"/>
  <c r="T194" i="20"/>
  <c r="V193" i="20"/>
  <c r="W193" i="20" s="1"/>
  <c r="T193" i="20"/>
  <c r="U193" i="20" s="1"/>
  <c r="W192" i="20"/>
  <c r="V192" i="20"/>
  <c r="T192" i="20"/>
  <c r="U192" i="20" s="1"/>
  <c r="V191" i="20"/>
  <c r="W191" i="20" s="1"/>
  <c r="T191" i="20"/>
  <c r="U191" i="20" s="1"/>
  <c r="V190" i="20"/>
  <c r="W190" i="20" s="1"/>
  <c r="T190" i="20"/>
  <c r="U190" i="20" s="1"/>
  <c r="V189" i="20"/>
  <c r="W189" i="20" s="1"/>
  <c r="T189" i="20"/>
  <c r="U189" i="20" s="1"/>
  <c r="V188" i="20"/>
  <c r="W188" i="20" s="1"/>
  <c r="U188" i="20"/>
  <c r="T188" i="20"/>
  <c r="V187" i="20"/>
  <c r="W187" i="20" s="1"/>
  <c r="U187" i="20"/>
  <c r="T187" i="20"/>
  <c r="V186" i="20"/>
  <c r="W186" i="20" s="1"/>
  <c r="T186" i="20"/>
  <c r="U186" i="20" s="1"/>
  <c r="V185" i="20"/>
  <c r="W185" i="20" s="1"/>
  <c r="T185" i="20"/>
  <c r="U185" i="20" s="1"/>
  <c r="V184" i="20"/>
  <c r="W184" i="20" s="1"/>
  <c r="T184" i="20"/>
  <c r="U184" i="20" s="1"/>
  <c r="V183" i="20"/>
  <c r="W183" i="20" s="1"/>
  <c r="U183" i="20"/>
  <c r="T183" i="20"/>
  <c r="V182" i="20"/>
  <c r="W182" i="20" s="1"/>
  <c r="U182" i="20"/>
  <c r="T182" i="20"/>
  <c r="V181" i="20"/>
  <c r="W181" i="20" s="1"/>
  <c r="U181" i="20"/>
  <c r="T181" i="20"/>
  <c r="V180" i="20"/>
  <c r="W180" i="20" s="1"/>
  <c r="T180" i="20"/>
  <c r="U180" i="20" s="1"/>
  <c r="V179" i="20"/>
  <c r="W179" i="20" s="1"/>
  <c r="T179" i="20"/>
  <c r="U179" i="20" s="1"/>
  <c r="V178" i="20"/>
  <c r="W178" i="20" s="1"/>
  <c r="T178" i="20"/>
  <c r="U178" i="20" s="1"/>
  <c r="V177" i="20"/>
  <c r="W177" i="20" s="1"/>
  <c r="T177" i="20"/>
  <c r="U177" i="20" s="1"/>
  <c r="V176" i="20"/>
  <c r="W176" i="20" s="1"/>
  <c r="T176" i="20"/>
  <c r="U176" i="20" s="1"/>
  <c r="V175" i="20"/>
  <c r="W175" i="20" s="1"/>
  <c r="U175" i="20"/>
  <c r="T175" i="20"/>
  <c r="V174" i="20"/>
  <c r="W174" i="20" s="1"/>
  <c r="T174" i="20"/>
  <c r="U174" i="20" s="1"/>
  <c r="V173" i="20"/>
  <c r="W173" i="20" s="1"/>
  <c r="T173" i="20"/>
  <c r="U173" i="20" s="1"/>
  <c r="V172" i="20"/>
  <c r="W172" i="20" s="1"/>
  <c r="T172" i="20"/>
  <c r="U172" i="20" s="1"/>
  <c r="V171" i="20"/>
  <c r="W171" i="20" s="1"/>
  <c r="T171" i="20"/>
  <c r="U171" i="20" s="1"/>
  <c r="V170" i="20"/>
  <c r="W170" i="20" s="1"/>
  <c r="T170" i="20"/>
  <c r="U170" i="20" s="1"/>
  <c r="V169" i="20"/>
  <c r="W169" i="20" s="1"/>
  <c r="U169" i="20"/>
  <c r="T169" i="20"/>
  <c r="W168" i="20"/>
  <c r="V168" i="20"/>
  <c r="T168" i="20"/>
  <c r="U168" i="20" s="1"/>
  <c r="V167" i="20"/>
  <c r="W167" i="20" s="1"/>
  <c r="T167" i="20"/>
  <c r="U167" i="20" s="1"/>
  <c r="V166" i="20"/>
  <c r="W166" i="20" s="1"/>
  <c r="T166" i="20"/>
  <c r="U166" i="20" s="1"/>
  <c r="V165" i="20"/>
  <c r="W165" i="20" s="1"/>
  <c r="T165" i="20"/>
  <c r="U165" i="20" s="1"/>
  <c r="V164" i="20"/>
  <c r="W164" i="20" s="1"/>
  <c r="T164" i="20"/>
  <c r="U164" i="20" s="1"/>
  <c r="V163" i="20"/>
  <c r="W163" i="20" s="1"/>
  <c r="T163" i="20"/>
  <c r="U163" i="20" s="1"/>
  <c r="W162" i="20"/>
  <c r="V162" i="20"/>
  <c r="T162" i="20"/>
  <c r="U162" i="20" s="1"/>
  <c r="V161" i="20"/>
  <c r="W161" i="20" s="1"/>
  <c r="T161" i="20"/>
  <c r="U161" i="20" s="1"/>
  <c r="V160" i="20"/>
  <c r="W160" i="20" s="1"/>
  <c r="T160" i="20"/>
  <c r="U160" i="20" s="1"/>
  <c r="V159" i="20"/>
  <c r="W159" i="20" s="1"/>
  <c r="U159" i="20"/>
  <c r="T159" i="20"/>
  <c r="V158" i="20"/>
  <c r="W158" i="20" s="1"/>
  <c r="T158" i="20"/>
  <c r="U158" i="20" s="1"/>
  <c r="V157" i="20"/>
  <c r="W157" i="20" s="1"/>
  <c r="T157" i="20"/>
  <c r="U157" i="20" s="1"/>
  <c r="V156" i="20"/>
  <c r="W156" i="20" s="1"/>
  <c r="T156" i="20"/>
  <c r="U156" i="20" s="1"/>
  <c r="V155" i="20"/>
  <c r="W155" i="20" s="1"/>
  <c r="T155" i="20"/>
  <c r="U155" i="20" s="1"/>
  <c r="V154" i="20"/>
  <c r="W154" i="20" s="1"/>
  <c r="T154" i="20"/>
  <c r="U154" i="20" s="1"/>
  <c r="V153" i="20"/>
  <c r="W153" i="20" s="1"/>
  <c r="T153" i="20"/>
  <c r="U153" i="20" s="1"/>
  <c r="V152" i="20"/>
  <c r="W152" i="20" s="1"/>
  <c r="T152" i="20"/>
  <c r="U152" i="20" s="1"/>
  <c r="V151" i="20"/>
  <c r="W151" i="20" s="1"/>
  <c r="U151" i="20"/>
  <c r="T151" i="20"/>
  <c r="V150" i="20"/>
  <c r="W150" i="20" s="1"/>
  <c r="T150" i="20"/>
  <c r="U150" i="20" s="1"/>
  <c r="V149" i="20"/>
  <c r="W149" i="20" s="1"/>
  <c r="T149" i="20"/>
  <c r="U149" i="20" s="1"/>
  <c r="V148" i="20"/>
  <c r="W148" i="20" s="1"/>
  <c r="T148" i="20"/>
  <c r="U148" i="20" s="1"/>
  <c r="V147" i="20"/>
  <c r="W147" i="20" s="1"/>
  <c r="T147" i="20"/>
  <c r="U147" i="20" s="1"/>
  <c r="V146" i="20"/>
  <c r="W146" i="20" s="1"/>
  <c r="T146" i="20"/>
  <c r="U146" i="20" s="1"/>
  <c r="V145" i="20"/>
  <c r="W145" i="20" s="1"/>
  <c r="T145" i="20"/>
  <c r="U145" i="20" s="1"/>
  <c r="W144" i="20"/>
  <c r="V144" i="20"/>
  <c r="T144" i="20"/>
  <c r="U144" i="20" s="1"/>
  <c r="V143" i="20"/>
  <c r="W143" i="20" s="1"/>
  <c r="T143" i="20"/>
  <c r="U143" i="20" s="1"/>
  <c r="V142" i="20"/>
  <c r="W142" i="20" s="1"/>
  <c r="T142" i="20"/>
  <c r="U142" i="20" s="1"/>
  <c r="V141" i="20"/>
  <c r="W141" i="20" s="1"/>
  <c r="T141" i="20"/>
  <c r="U141" i="20" s="1"/>
  <c r="V140" i="20"/>
  <c r="W140" i="20" s="1"/>
  <c r="T140" i="20"/>
  <c r="U140" i="20" s="1"/>
  <c r="V139" i="20"/>
  <c r="W139" i="20" s="1"/>
  <c r="U139" i="20"/>
  <c r="T139" i="20"/>
  <c r="W138" i="20"/>
  <c r="V138" i="20"/>
  <c r="T138" i="20"/>
  <c r="U138" i="20" s="1"/>
  <c r="V137" i="20"/>
  <c r="W137" i="20" s="1"/>
  <c r="T137" i="20"/>
  <c r="U137" i="20" s="1"/>
  <c r="V136" i="20"/>
  <c r="W136" i="20" s="1"/>
  <c r="T136" i="20"/>
  <c r="U136" i="20" s="1"/>
  <c r="V135" i="20"/>
  <c r="W135" i="20" s="1"/>
  <c r="T135" i="20"/>
  <c r="U135" i="20" s="1"/>
  <c r="V134" i="20"/>
  <c r="W134" i="20" s="1"/>
  <c r="T134" i="20"/>
  <c r="U134" i="20" s="1"/>
  <c r="V133" i="20"/>
  <c r="W133" i="20" s="1"/>
  <c r="U133" i="20"/>
  <c r="T133" i="20"/>
  <c r="V132" i="20"/>
  <c r="W132" i="20" s="1"/>
  <c r="T132" i="20"/>
  <c r="U132" i="20" s="1"/>
  <c r="V131" i="20"/>
  <c r="W131" i="20" s="1"/>
  <c r="T131" i="20"/>
  <c r="U131" i="20" s="1"/>
  <c r="V130" i="20"/>
  <c r="W130" i="20" s="1"/>
  <c r="T130" i="20"/>
  <c r="U130" i="20" s="1"/>
  <c r="V129" i="20"/>
  <c r="W129" i="20" s="1"/>
  <c r="T129" i="20"/>
  <c r="U129" i="20" s="1"/>
  <c r="V128" i="20"/>
  <c r="W128" i="20" s="1"/>
  <c r="U128" i="20"/>
  <c r="T128" i="20"/>
  <c r="V127" i="20"/>
  <c r="W127" i="20" s="1"/>
  <c r="U127" i="20"/>
  <c r="T127" i="20"/>
  <c r="V126" i="20"/>
  <c r="W126" i="20" s="1"/>
  <c r="T126" i="20"/>
  <c r="U126" i="20" s="1"/>
  <c r="V125" i="20"/>
  <c r="W125" i="20" s="1"/>
  <c r="T125" i="20"/>
  <c r="U125" i="20" s="1"/>
  <c r="V124" i="20"/>
  <c r="W124" i="20" s="1"/>
  <c r="T124" i="20"/>
  <c r="U124" i="20" s="1"/>
  <c r="V123" i="20"/>
  <c r="W123" i="20" s="1"/>
  <c r="T123" i="20"/>
  <c r="U123" i="20" s="1"/>
  <c r="V122" i="20"/>
  <c r="W122" i="20" s="1"/>
  <c r="T122" i="20"/>
  <c r="U122" i="20" s="1"/>
  <c r="V121" i="20"/>
  <c r="W121" i="20" s="1"/>
  <c r="T121" i="20"/>
  <c r="U121" i="20" s="1"/>
  <c r="V120" i="20"/>
  <c r="W120" i="20" s="1"/>
  <c r="T120" i="20"/>
  <c r="U120" i="20" s="1"/>
  <c r="V119" i="20"/>
  <c r="W119" i="20" s="1"/>
  <c r="T119" i="20"/>
  <c r="U119" i="20" s="1"/>
  <c r="V118" i="20"/>
  <c r="W118" i="20" s="1"/>
  <c r="T118" i="20"/>
  <c r="U118" i="20" s="1"/>
  <c r="V117" i="20"/>
  <c r="W117" i="20" s="1"/>
  <c r="T117" i="20"/>
  <c r="U117" i="20" s="1"/>
  <c r="V116" i="20"/>
  <c r="W116" i="20" s="1"/>
  <c r="T116" i="20"/>
  <c r="U116" i="20" s="1"/>
  <c r="V115" i="20"/>
  <c r="W115" i="20" s="1"/>
  <c r="T115" i="20"/>
  <c r="U115" i="20" s="1"/>
  <c r="W114" i="20"/>
  <c r="V114" i="20"/>
  <c r="T114" i="20"/>
  <c r="U114" i="20" s="1"/>
  <c r="V113" i="20"/>
  <c r="W113" i="20" s="1"/>
  <c r="T113" i="20"/>
  <c r="U113" i="20" s="1"/>
  <c r="V112" i="20"/>
  <c r="W112" i="20" s="1"/>
  <c r="T112" i="20"/>
  <c r="U112" i="20" s="1"/>
  <c r="V111" i="20"/>
  <c r="W111" i="20" s="1"/>
  <c r="T111" i="20"/>
  <c r="U111" i="20" s="1"/>
  <c r="V110" i="20"/>
  <c r="W110" i="20" s="1"/>
  <c r="T110" i="20"/>
  <c r="U110" i="20" s="1"/>
  <c r="V109" i="20"/>
  <c r="W109" i="20" s="1"/>
  <c r="T109" i="20"/>
  <c r="U109" i="20" s="1"/>
  <c r="V108" i="20"/>
  <c r="W108" i="20" s="1"/>
  <c r="T108" i="20"/>
  <c r="U108" i="20" s="1"/>
  <c r="V107" i="20"/>
  <c r="W107" i="20" s="1"/>
  <c r="T107" i="20"/>
  <c r="U107" i="20" s="1"/>
  <c r="V106" i="20"/>
  <c r="W106" i="20" s="1"/>
  <c r="T106" i="20"/>
  <c r="U106" i="20" s="1"/>
  <c r="W105" i="20"/>
  <c r="V105" i="20"/>
  <c r="T105" i="20"/>
  <c r="U105" i="20" s="1"/>
  <c r="V104" i="20"/>
  <c r="W104" i="20" s="1"/>
  <c r="T104" i="20"/>
  <c r="U104" i="20" s="1"/>
  <c r="V103" i="20"/>
  <c r="W103" i="20" s="1"/>
  <c r="T103" i="20"/>
  <c r="U103" i="20" s="1"/>
  <c r="V102" i="20"/>
  <c r="W102" i="20" s="1"/>
  <c r="T102" i="20"/>
  <c r="U102" i="20" s="1"/>
  <c r="V101" i="20"/>
  <c r="W101" i="20" s="1"/>
  <c r="T101" i="20"/>
  <c r="U101" i="20" s="1"/>
  <c r="V100" i="20"/>
  <c r="W100" i="20" s="1"/>
  <c r="T100" i="20"/>
  <c r="U100" i="20" s="1"/>
  <c r="V99" i="20"/>
  <c r="W99" i="20" s="1"/>
  <c r="T99" i="20"/>
  <c r="U99" i="20" s="1"/>
  <c r="V98" i="20"/>
  <c r="W98" i="20" s="1"/>
  <c r="T98" i="20"/>
  <c r="U98" i="20" s="1"/>
  <c r="V97" i="20"/>
  <c r="W97" i="20" s="1"/>
  <c r="T97" i="20"/>
  <c r="U97" i="20" s="1"/>
  <c r="V96" i="20"/>
  <c r="W96" i="20" s="1"/>
  <c r="T96" i="20"/>
  <c r="U96" i="20" s="1"/>
  <c r="V95" i="20"/>
  <c r="W95" i="20" s="1"/>
  <c r="T95" i="20"/>
  <c r="U95" i="20" s="1"/>
  <c r="V94" i="20"/>
  <c r="W94" i="20" s="1"/>
  <c r="T94" i="20"/>
  <c r="U94" i="20" s="1"/>
  <c r="V93" i="20"/>
  <c r="W93" i="20" s="1"/>
  <c r="T93" i="20"/>
  <c r="U93" i="20" s="1"/>
  <c r="V92" i="20"/>
  <c r="W92" i="20" s="1"/>
  <c r="T92" i="20"/>
  <c r="U92" i="20" s="1"/>
  <c r="V91" i="20"/>
  <c r="W91" i="20" s="1"/>
  <c r="U91" i="20"/>
  <c r="T91" i="20"/>
  <c r="V90" i="20"/>
  <c r="W90" i="20" s="1"/>
  <c r="T90" i="20"/>
  <c r="U90" i="20" s="1"/>
  <c r="V89" i="20"/>
  <c r="W89" i="20" s="1"/>
  <c r="U89" i="20"/>
  <c r="T89" i="20"/>
  <c r="V88" i="20"/>
  <c r="W88" i="20" s="1"/>
  <c r="T88" i="20"/>
  <c r="U88" i="20" s="1"/>
  <c r="V87" i="20"/>
  <c r="W87" i="20" s="1"/>
  <c r="T87" i="20"/>
  <c r="U87" i="20" s="1"/>
  <c r="W86" i="20"/>
  <c r="V86" i="20"/>
  <c r="T86" i="20"/>
  <c r="U86" i="20" s="1"/>
  <c r="V79" i="20"/>
  <c r="W79" i="20" s="1"/>
  <c r="T79" i="20"/>
  <c r="U79" i="20" s="1"/>
  <c r="V78" i="20"/>
  <c r="W78" i="20" s="1"/>
  <c r="T78" i="20"/>
  <c r="U78" i="20" s="1"/>
  <c r="V77" i="20"/>
  <c r="W77" i="20" s="1"/>
  <c r="T77" i="20"/>
  <c r="U77" i="20" s="1"/>
  <c r="V76" i="20"/>
  <c r="W76" i="20" s="1"/>
  <c r="T76" i="20"/>
  <c r="U76" i="20" s="1"/>
  <c r="V75" i="20"/>
  <c r="W75" i="20" s="1"/>
  <c r="U75" i="20"/>
  <c r="T75" i="20"/>
  <c r="V74" i="20"/>
  <c r="W74" i="20" s="1"/>
  <c r="T74" i="20"/>
  <c r="U74" i="20" s="1"/>
  <c r="V73" i="20"/>
  <c r="W73" i="20" s="1"/>
  <c r="T73" i="20"/>
  <c r="U73" i="20" s="1"/>
  <c r="V72" i="20"/>
  <c r="W72" i="20" s="1"/>
  <c r="T72" i="20"/>
  <c r="U72" i="20" s="1"/>
  <c r="V71" i="20"/>
  <c r="W71" i="20" s="1"/>
  <c r="T71" i="20"/>
  <c r="U71" i="20" s="1"/>
  <c r="V70" i="20"/>
  <c r="W70" i="20" s="1"/>
  <c r="T70" i="20"/>
  <c r="U70" i="20" s="1"/>
  <c r="V69" i="20"/>
  <c r="W69" i="20" s="1"/>
  <c r="U69" i="20"/>
  <c r="T69" i="20"/>
  <c r="V68" i="20"/>
  <c r="W68" i="20" s="1"/>
  <c r="T68" i="20"/>
  <c r="U68" i="20" s="1"/>
  <c r="V67" i="20"/>
  <c r="W67" i="20" s="1"/>
  <c r="T67" i="20"/>
  <c r="U67" i="20" s="1"/>
  <c r="V66" i="20"/>
  <c r="W66" i="20" s="1"/>
  <c r="T66" i="20"/>
  <c r="U66" i="20" s="1"/>
  <c r="V65" i="20"/>
  <c r="W65" i="20" s="1"/>
  <c r="T65" i="20"/>
  <c r="U65" i="20" s="1"/>
  <c r="V64" i="20"/>
  <c r="W64" i="20" s="1"/>
  <c r="T64" i="20"/>
  <c r="U64" i="20" s="1"/>
  <c r="V63" i="20"/>
  <c r="W63" i="20" s="1"/>
  <c r="T63" i="20"/>
  <c r="U63" i="20" s="1"/>
  <c r="V62" i="20"/>
  <c r="W62" i="20" s="1"/>
  <c r="T62" i="20"/>
  <c r="U62" i="20" s="1"/>
  <c r="V61" i="20"/>
  <c r="W61" i="20" s="1"/>
  <c r="T61" i="20"/>
  <c r="U61" i="20" s="1"/>
  <c r="V60" i="20"/>
  <c r="W60" i="20" s="1"/>
  <c r="T60" i="20"/>
  <c r="U60" i="20" s="1"/>
  <c r="V59" i="20"/>
  <c r="W59" i="20" s="1"/>
  <c r="T59" i="20"/>
  <c r="U59" i="20" s="1"/>
  <c r="V58" i="20"/>
  <c r="W58" i="20" s="1"/>
  <c r="T58" i="20"/>
  <c r="U58" i="20" s="1"/>
  <c r="V57" i="20"/>
  <c r="W57" i="20" s="1"/>
  <c r="U57" i="20"/>
  <c r="T57" i="20"/>
  <c r="W56" i="20"/>
  <c r="V56" i="20"/>
  <c r="T56" i="20"/>
  <c r="U56" i="20" s="1"/>
  <c r="V55" i="20"/>
  <c r="W55" i="20" s="1"/>
  <c r="T55" i="20"/>
  <c r="U55" i="20" s="1"/>
  <c r="V54" i="20"/>
  <c r="W54" i="20" s="1"/>
  <c r="T54" i="20"/>
  <c r="U54" i="20" s="1"/>
  <c r="V53" i="20"/>
  <c r="W53" i="20" s="1"/>
  <c r="T53" i="20"/>
  <c r="U53" i="20" s="1"/>
  <c r="V52" i="20"/>
  <c r="W52" i="20" s="1"/>
  <c r="T52" i="20"/>
  <c r="U52" i="20" s="1"/>
  <c r="V51" i="20"/>
  <c r="W51" i="20" s="1"/>
  <c r="T51" i="20"/>
  <c r="U51" i="20" s="1"/>
  <c r="W50" i="20"/>
  <c r="V50" i="20"/>
  <c r="T50" i="20"/>
  <c r="U50" i="20" s="1"/>
  <c r="V49" i="20"/>
  <c r="W49" i="20" s="1"/>
  <c r="T49" i="20"/>
  <c r="U49" i="20" s="1"/>
  <c r="V48" i="20"/>
  <c r="W48" i="20" s="1"/>
  <c r="T48" i="20"/>
  <c r="U48" i="20" s="1"/>
  <c r="V47" i="20"/>
  <c r="W47" i="20" s="1"/>
  <c r="T47" i="20"/>
  <c r="U47" i="20" s="1"/>
  <c r="V46" i="20"/>
  <c r="W46" i="20" s="1"/>
  <c r="T46" i="20"/>
  <c r="U46" i="20" s="1"/>
  <c r="V45" i="20"/>
  <c r="W45" i="20" s="1"/>
  <c r="T45" i="20"/>
  <c r="U45" i="20" s="1"/>
  <c r="V44" i="20"/>
  <c r="W44" i="20" s="1"/>
  <c r="T44" i="20"/>
  <c r="U44" i="20" s="1"/>
  <c r="V43" i="20"/>
  <c r="W43" i="20" s="1"/>
  <c r="T43" i="20"/>
  <c r="U43" i="20" s="1"/>
  <c r="V42" i="20"/>
  <c r="W42" i="20" s="1"/>
  <c r="T42" i="20"/>
  <c r="U42" i="20" s="1"/>
  <c r="V41" i="20"/>
  <c r="W41" i="20" s="1"/>
  <c r="T41" i="20"/>
  <c r="U41" i="20" s="1"/>
  <c r="V40" i="20"/>
  <c r="W40" i="20" s="1"/>
  <c r="T40" i="20"/>
  <c r="U40" i="20" s="1"/>
  <c r="V39" i="20"/>
  <c r="W39" i="20" s="1"/>
  <c r="T39" i="20"/>
  <c r="U39" i="20" s="1"/>
  <c r="V38" i="20"/>
  <c r="W38" i="20" s="1"/>
  <c r="T38" i="20"/>
  <c r="U38" i="20" s="1"/>
  <c r="V37" i="20"/>
  <c r="W37" i="20" s="1"/>
  <c r="T37" i="20"/>
  <c r="U37" i="20" s="1"/>
  <c r="V36" i="20"/>
  <c r="W36" i="20" s="1"/>
  <c r="T36" i="20"/>
  <c r="U36" i="20" s="1"/>
  <c r="V35" i="20"/>
  <c r="W35" i="20" s="1"/>
  <c r="T35" i="20"/>
  <c r="U35" i="20" s="1"/>
  <c r="V34" i="20"/>
  <c r="W34" i="20" s="1"/>
  <c r="T34" i="20"/>
  <c r="U34" i="20" s="1"/>
  <c r="V33" i="20"/>
  <c r="W33" i="20" s="1"/>
  <c r="U33" i="20"/>
  <c r="T33" i="20"/>
  <c r="V32" i="20"/>
  <c r="W32" i="20" s="1"/>
  <c r="T32" i="20"/>
  <c r="U32" i="20" s="1"/>
  <c r="V31" i="20"/>
  <c r="W31" i="20" s="1"/>
  <c r="T31" i="20"/>
  <c r="U31" i="20" s="1"/>
  <c r="V30" i="20"/>
  <c r="W30" i="20" s="1"/>
  <c r="T30" i="20"/>
  <c r="U30" i="20" s="1"/>
  <c r="V29" i="20"/>
  <c r="W29" i="20" s="1"/>
  <c r="T29" i="20"/>
  <c r="U29" i="20" s="1"/>
  <c r="V28" i="20"/>
  <c r="W28" i="20" s="1"/>
  <c r="T28" i="20"/>
  <c r="U28" i="20" s="1"/>
  <c r="V27" i="20"/>
  <c r="W27" i="20" s="1"/>
  <c r="T27" i="20"/>
  <c r="U27" i="20" s="1"/>
  <c r="W26" i="20"/>
  <c r="V26" i="20"/>
  <c r="T26" i="20"/>
  <c r="U26" i="20" s="1"/>
  <c r="V25" i="20"/>
  <c r="W25" i="20" s="1"/>
  <c r="T25" i="20"/>
  <c r="U25" i="20" s="1"/>
  <c r="V24" i="20"/>
  <c r="W24" i="20" s="1"/>
  <c r="T24" i="20"/>
  <c r="U24" i="20" s="1"/>
  <c r="V23" i="20"/>
  <c r="W23" i="20" s="1"/>
  <c r="T23" i="20"/>
  <c r="U23" i="20" s="1"/>
  <c r="V22" i="20"/>
  <c r="W22" i="20" s="1"/>
  <c r="T22" i="20"/>
  <c r="U22" i="20" s="1"/>
  <c r="V21" i="20"/>
  <c r="W21" i="20" s="1"/>
  <c r="T21" i="20"/>
  <c r="U21" i="20" s="1"/>
  <c r="V20" i="20"/>
  <c r="W20" i="20" s="1"/>
  <c r="T20" i="20"/>
  <c r="U20" i="20" s="1"/>
  <c r="V19" i="20"/>
  <c r="W19" i="20" s="1"/>
  <c r="T19" i="20"/>
  <c r="U19" i="20" s="1"/>
  <c r="V18" i="20"/>
  <c r="W18" i="20" s="1"/>
  <c r="T18" i="20"/>
  <c r="U18" i="20" s="1"/>
  <c r="V17" i="20"/>
  <c r="W17" i="20" s="1"/>
  <c r="T17" i="20"/>
  <c r="U17" i="20" s="1"/>
  <c r="V16" i="20"/>
  <c r="W16" i="20" s="1"/>
  <c r="T16" i="20"/>
  <c r="U16" i="20" s="1"/>
  <c r="V15" i="20"/>
  <c r="W15" i="20" s="1"/>
  <c r="T15" i="20"/>
  <c r="U15" i="20" s="1"/>
  <c r="W14" i="20"/>
  <c r="V14" i="20"/>
  <c r="T14" i="20"/>
  <c r="U14" i="20" s="1"/>
  <c r="V13" i="20"/>
  <c r="W13" i="20" s="1"/>
  <c r="T13" i="20"/>
  <c r="U13" i="20" s="1"/>
  <c r="V12" i="20"/>
  <c r="W12" i="20" s="1"/>
  <c r="T12" i="20"/>
  <c r="U12" i="20" s="1"/>
  <c r="V11" i="20"/>
  <c r="W11" i="20" s="1"/>
  <c r="T11" i="20"/>
  <c r="U11" i="20" s="1"/>
  <c r="V10" i="20"/>
  <c r="W10" i="20" s="1"/>
  <c r="T10" i="20"/>
  <c r="U10" i="20" s="1"/>
  <c r="V9" i="20"/>
  <c r="W9" i="20" s="1"/>
  <c r="U9" i="20"/>
  <c r="T9" i="20"/>
  <c r="W8" i="20"/>
  <c r="V8" i="20"/>
  <c r="T8" i="20"/>
  <c r="U8" i="20" s="1"/>
  <c r="V7" i="20"/>
  <c r="W7" i="20" s="1"/>
  <c r="T7" i="20"/>
  <c r="U7" i="20" s="1"/>
  <c r="V6" i="20"/>
  <c r="W6" i="20" s="1"/>
  <c r="T6" i="20"/>
  <c r="U6" i="20" s="1"/>
  <c r="V5" i="20"/>
  <c r="W5" i="20" s="1"/>
  <c r="T5" i="20"/>
  <c r="U5" i="20" s="1"/>
  <c r="V4" i="20"/>
  <c r="W4" i="20" s="1"/>
  <c r="T4" i="20"/>
  <c r="U4" i="20" s="1"/>
  <c r="V3" i="20"/>
  <c r="W3" i="20" s="1"/>
  <c r="T3" i="20"/>
  <c r="U3" i="20" s="1"/>
  <c r="T2" i="20"/>
  <c r="V2" i="20"/>
  <c r="W2" i="20" s="1"/>
  <c r="U2" i="20"/>
  <c r="O2" i="20"/>
  <c r="O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8" i="20"/>
  <c r="O249" i="20"/>
  <c r="O250" i="20"/>
  <c r="O251" i="20"/>
  <c r="O252" i="20"/>
  <c r="O253" i="20"/>
  <c r="O254" i="20"/>
  <c r="O255" i="20"/>
  <c r="O256" i="20"/>
  <c r="O257" i="20"/>
  <c r="O258" i="20"/>
  <c r="O259" i="20"/>
  <c r="O260" i="20"/>
  <c r="O261" i="20"/>
  <c r="O262" i="20"/>
  <c r="O263" i="20"/>
  <c r="O264" i="20"/>
  <c r="O265" i="20"/>
  <c r="O266" i="20"/>
  <c r="O267" i="20"/>
  <c r="O268" i="20"/>
  <c r="O269" i="20"/>
  <c r="O270" i="20"/>
  <c r="O271" i="20"/>
  <c r="O272" i="20"/>
  <c r="O273" i="20"/>
  <c r="O274" i="20"/>
  <c r="O2" i="18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158" i="18"/>
  <c r="O159" i="18"/>
  <c r="O160" i="18"/>
  <c r="O161" i="18"/>
  <c r="O162" i="18"/>
  <c r="O163" i="18"/>
  <c r="O164" i="18"/>
  <c r="O165" i="18"/>
  <c r="O166" i="18"/>
  <c r="O167" i="18"/>
  <c r="O168" i="18"/>
  <c r="O169" i="18"/>
  <c r="O170" i="18"/>
  <c r="O171" i="18"/>
  <c r="O172" i="18"/>
  <c r="O173" i="18"/>
  <c r="O174" i="18"/>
  <c r="O175" i="18"/>
  <c r="O176" i="18"/>
  <c r="O177" i="18"/>
  <c r="O178" i="18"/>
  <c r="O179" i="18"/>
  <c r="O180" i="18"/>
  <c r="O181" i="18"/>
  <c r="O182" i="18"/>
  <c r="O183" i="18"/>
  <c r="O184" i="18"/>
  <c r="O185" i="18"/>
  <c r="O186" i="18"/>
  <c r="O187" i="18"/>
  <c r="O188" i="18"/>
  <c r="O189" i="18"/>
  <c r="O190" i="18"/>
  <c r="O191" i="18"/>
  <c r="O192" i="18"/>
  <c r="O193" i="18"/>
  <c r="O194" i="18"/>
  <c r="O195" i="18"/>
  <c r="O196" i="18"/>
  <c r="O197" i="18"/>
  <c r="O198" i="18"/>
  <c r="O199" i="18"/>
  <c r="O200" i="18"/>
  <c r="O201" i="18"/>
  <c r="O202" i="18"/>
  <c r="O203" i="18"/>
  <c r="O204" i="18"/>
  <c r="O205" i="18"/>
  <c r="O206" i="18"/>
  <c r="O207" i="18"/>
  <c r="O208" i="18"/>
  <c r="O209" i="18"/>
  <c r="O210" i="18"/>
  <c r="O211" i="18"/>
  <c r="O212" i="18"/>
  <c r="O213" i="18"/>
  <c r="O214" i="18"/>
  <c r="O215" i="18"/>
  <c r="O216" i="18"/>
  <c r="O217" i="18"/>
  <c r="O218" i="18"/>
  <c r="O219" i="18"/>
  <c r="O220" i="18"/>
  <c r="O221" i="18"/>
  <c r="O222" i="18"/>
  <c r="O223" i="18"/>
  <c r="O224" i="18"/>
  <c r="O225" i="18"/>
  <c r="O226" i="18"/>
  <c r="O227" i="18"/>
  <c r="O228" i="18"/>
  <c r="O229" i="18"/>
  <c r="O230" i="18"/>
  <c r="O231" i="18"/>
  <c r="O232" i="18"/>
  <c r="O233" i="18"/>
  <c r="O234" i="18"/>
  <c r="O235" i="18"/>
  <c r="O236" i="18"/>
  <c r="O237" i="18"/>
  <c r="O238" i="18"/>
  <c r="O239" i="18"/>
  <c r="O240" i="18"/>
  <c r="O241" i="18"/>
  <c r="O242" i="18"/>
  <c r="O243" i="18"/>
  <c r="O244" i="18"/>
  <c r="O245" i="18"/>
  <c r="O246" i="18"/>
  <c r="O247" i="18"/>
  <c r="O248" i="18"/>
  <c r="O249" i="18"/>
  <c r="O250" i="18"/>
  <c r="O251" i="18"/>
  <c r="O252" i="18"/>
  <c r="O253" i="18"/>
  <c r="O254" i="18"/>
  <c r="O255" i="18"/>
  <c r="O256" i="18"/>
  <c r="O257" i="18"/>
  <c r="O258" i="18"/>
  <c r="O259" i="18"/>
  <c r="O260" i="18"/>
  <c r="O261" i="18"/>
  <c r="O262" i="18"/>
  <c r="O263" i="18"/>
  <c r="O264" i="18"/>
  <c r="O265" i="18"/>
  <c r="O266" i="18"/>
  <c r="O267" i="18"/>
  <c r="O268" i="18"/>
</calcChain>
</file>

<file path=xl/sharedStrings.xml><?xml version="1.0" encoding="utf-8"?>
<sst xmlns="http://schemas.openxmlformats.org/spreadsheetml/2006/main" count="74993" uniqueCount="213">
  <si>
    <t>Run</t>
  </si>
  <si>
    <t>Preset</t>
  </si>
  <si>
    <t>Body</t>
  </si>
  <si>
    <t>SuspF</t>
  </si>
  <si>
    <t>Tire</t>
  </si>
  <si>
    <t>TirDyn</t>
  </si>
  <si>
    <t>Drv</t>
  </si>
  <si>
    <t>Trail</t>
  </si>
  <si>
    <t>Mane</t>
  </si>
  <si>
    <t>Solv</t>
  </si>
  <si>
    <t># Steps</t>
  </si>
  <si>
    <t>Time</t>
  </si>
  <si>
    <t>xFinal</t>
  </si>
  <si>
    <t>yFinal</t>
  </si>
  <si>
    <t>Figure</t>
  </si>
  <si>
    <t>Pass</t>
  </si>
  <si>
    <t>HambaLG</t>
  </si>
  <si>
    <t>dwb</t>
  </si>
  <si>
    <t>MFEval</t>
  </si>
  <si>
    <t>steady</t>
  </si>
  <si>
    <t>f1Dr1D</t>
  </si>
  <si>
    <t>None</t>
  </si>
  <si>
    <t>WOT Braking</t>
  </si>
  <si>
    <t>ode23t</t>
  </si>
  <si>
    <t>Low Speed Steer</t>
  </si>
  <si>
    <t>f1D3Dr1D</t>
  </si>
  <si>
    <t>fCVpCVr1D</t>
  </si>
  <si>
    <t>fCVpCVflexr1D</t>
  </si>
  <si>
    <t>lintra</t>
  </si>
  <si>
    <t>dwa</t>
  </si>
  <si>
    <t>S2LAF</t>
  </si>
  <si>
    <t>S2LAR</t>
  </si>
  <si>
    <t>5S2LAF</t>
  </si>
  <si>
    <t>5S2LAR</t>
  </si>
  <si>
    <t>5CS2LAF</t>
  </si>
  <si>
    <t>15DOF</t>
  </si>
  <si>
    <t>oneShaft</t>
  </si>
  <si>
    <t>fCVrCV</t>
  </si>
  <si>
    <t>1D3DABS</t>
  </si>
  <si>
    <t>sprFnl</t>
  </si>
  <si>
    <t>sprconRnl</t>
  </si>
  <si>
    <t>sprLin</t>
  </si>
  <si>
    <t>daminRnl</t>
  </si>
  <si>
    <t>damconFnl</t>
  </si>
  <si>
    <t>CVCVp1D</t>
  </si>
  <si>
    <t>Hamba</t>
  </si>
  <si>
    <t>Makhulu</t>
  </si>
  <si>
    <t>MFEval2x</t>
  </si>
  <si>
    <t>CFL</t>
  </si>
  <si>
    <t>MFSwift</t>
  </si>
  <si>
    <t>MFSwift2x</t>
  </si>
  <si>
    <t>E2sha</t>
  </si>
  <si>
    <t>E3sha</t>
  </si>
  <si>
    <t>Double Lane Change</t>
  </si>
  <si>
    <t>Ice Patch</t>
  </si>
  <si>
    <t>Mallory Park</t>
  </si>
  <si>
    <t>Mallory Park CCW</t>
  </si>
  <si>
    <t>15DOF2MotC</t>
  </si>
  <si>
    <t>15DOF3MotC</t>
  </si>
  <si>
    <t>Rack</t>
  </si>
  <si>
    <t>RackWheel</t>
  </si>
  <si>
    <t>RackStaticShafts</t>
  </si>
  <si>
    <t>WheelDrivenRack</t>
  </si>
  <si>
    <t>ode3</t>
  </si>
  <si>
    <t>Turn</t>
  </si>
  <si>
    <t>Elula</t>
  </si>
  <si>
    <t>Thwala</t>
  </si>
  <si>
    <t>Trailer Disturbance</t>
  </si>
  <si>
    <t>TestrigPost</t>
  </si>
  <si>
    <t>Testrig 4 Post</t>
  </si>
  <si>
    <t>Skidpad</t>
  </si>
  <si>
    <t>Constant Radius Closed-Loop</t>
  </si>
  <si>
    <t>Delft</t>
  </si>
  <si>
    <t>RDF Plateau</t>
  </si>
  <si>
    <t>Plateau Z Only</t>
  </si>
  <si>
    <t>CRG Plateau</t>
  </si>
  <si>
    <t>RDF Rough Road</t>
  </si>
  <si>
    <t>Rough Road Z Only</t>
  </si>
  <si>
    <t>CRG Mallory Park</t>
  </si>
  <si>
    <t>CRG Mallory Park F</t>
  </si>
  <si>
    <t>Mallory Park Obstacle</t>
  </si>
  <si>
    <t>MCity</t>
  </si>
  <si>
    <t>CRG Kyalami</t>
  </si>
  <si>
    <t>CRG Kyalami F</t>
  </si>
  <si>
    <t>CRG Nurburgring N</t>
  </si>
  <si>
    <t>CRG Nurburgring N F</t>
  </si>
  <si>
    <t>CRG Suzuka</t>
  </si>
  <si>
    <t>CRG Suzuka F</t>
  </si>
  <si>
    <t>CRG Pikes Peak</t>
  </si>
  <si>
    <t>CRG Pikes Peak Down</t>
  </si>
  <si>
    <t>fwd3D</t>
  </si>
  <si>
    <t>Drive Cycle FTP75</t>
  </si>
  <si>
    <t>daessc</t>
  </si>
  <si>
    <t>Drive Cycle UrbanCycle1</t>
  </si>
  <si>
    <t>Axle3_000</t>
  </si>
  <si>
    <t>Makhulu3Axle</t>
  </si>
  <si>
    <t>6x2</t>
  </si>
  <si>
    <t>Axle3_003</t>
  </si>
  <si>
    <t>6x4</t>
  </si>
  <si>
    <t>Axle3_008</t>
  </si>
  <si>
    <t>Amandla3Axle</t>
  </si>
  <si>
    <t>Axle3_010</t>
  </si>
  <si>
    <t>Kumanzi</t>
  </si>
  <si>
    <t>Axle3_012</t>
  </si>
  <si>
    <t>6x2Gen</t>
  </si>
  <si>
    <t>Achilles</t>
  </si>
  <si>
    <t>dwdec</t>
  </si>
  <si>
    <t>MFMbody</t>
  </si>
  <si>
    <t>RackDrivenShafts</t>
  </si>
  <si>
    <t>MFMbody2x</t>
  </si>
  <si>
    <t>CRG Hockenheim</t>
  </si>
  <si>
    <t>CRG Hockenheim F</t>
  </si>
  <si>
    <t>CRG Rough Road</t>
  </si>
  <si>
    <t>15DOF2Mot</t>
  </si>
  <si>
    <t>Axle3_017</t>
  </si>
  <si>
    <t>Axle3_019</t>
  </si>
  <si>
    <t>MATHWORKS-OL1OH</t>
  </si>
  <si>
    <t>9.12.0.2529717 (R2022a) Update 8</t>
  </si>
  <si>
    <t>MF-Swift Version: 2306</t>
  </si>
  <si>
    <t>bushings</t>
  </si>
  <si>
    <t>dwpull</t>
  </si>
  <si>
    <t>06-Feb-2025 20:10:21</t>
  </si>
  <si>
    <t>v3p8 R22asrc driverPTBSVDBS</t>
  </si>
  <si>
    <t>dwpush</t>
  </si>
  <si>
    <t>dwbAU</t>
  </si>
  <si>
    <t>08-Apr-2025 01:47:05</t>
  </si>
  <si>
    <t>R22asrc v4p0 knc bushings pushrod</t>
  </si>
  <si>
    <t>4MotorCool</t>
  </si>
  <si>
    <t>MacPh</t>
  </si>
  <si>
    <t>TwistBeam</t>
  </si>
  <si>
    <t>14-Apr-2025 02:44:19</t>
  </si>
  <si>
    <t>R22asrc v4p0 Excel Presets</t>
  </si>
  <si>
    <t>Fishhook</t>
  </si>
  <si>
    <t>Sine With Dwell</t>
  </si>
  <si>
    <t>Ramp Steer</t>
  </si>
  <si>
    <t>Slalom</t>
  </si>
  <si>
    <t>18-Apr-2025 17:07:34</t>
  </si>
  <si>
    <t>R22asrc, 4p0 Add SWD, RST, SLA, FSH</t>
  </si>
  <si>
    <t>Axle3_023</t>
  </si>
  <si>
    <t>Rhuqa3Axle</t>
  </si>
  <si>
    <t>03-May-2025 19:15:08</t>
  </si>
  <si>
    <t>R22asrc v4p0 NewGeo Rhuqa</t>
  </si>
  <si>
    <t>01-Jun-2025 01:03:58</t>
  </si>
  <si>
    <t>R22asrc v4p1 NewStanley</t>
  </si>
  <si>
    <t>01-Jun-2025 08:02:27</t>
  </si>
  <si>
    <t>R22asrc v4p1 OrigStanley</t>
  </si>
  <si>
    <t>01-Jun-2025 16:04:01</t>
  </si>
  <si>
    <t>R22asrc v4p1 PurePursuit</t>
  </si>
  <si>
    <t>Stanley</t>
  </si>
  <si>
    <t>Pure_Pursuit</t>
  </si>
  <si>
    <t>02-Jun-2025 13:44:32</t>
  </si>
  <si>
    <t>R22asrc StanPurs SHORT TEST</t>
  </si>
  <si>
    <t>21-Jun-2025 09:09:08</t>
  </si>
  <si>
    <t>R22asrc 4p2 Reverse</t>
  </si>
  <si>
    <t xml:space="preserve"> </t>
  </si>
  <si>
    <t>Fail</t>
  </si>
  <si>
    <t>02-Jul-2025 07:55:10</t>
  </si>
  <si>
    <t>R22asrc NewLongDriver</t>
  </si>
  <si>
    <t>R22asrc newDriver newInitSpds</t>
  </si>
  <si>
    <t>02-Jul-2025 14:58:10</t>
  </si>
  <si>
    <t>Landy</t>
  </si>
  <si>
    <t>Ax2APanTrail</t>
  </si>
  <si>
    <t>MFMBody</t>
  </si>
  <si>
    <t>06-Aug-2025 01:49:33</t>
  </si>
  <si>
    <t>MF-Swift Version: 2506</t>
  </si>
  <si>
    <t>v4p3 Landy FandR 4wStr</t>
  </si>
  <si>
    <t>18-Aug-2025 01:24:46</t>
  </si>
  <si>
    <t>R22asrc ARBRod UprightLib</t>
  </si>
  <si>
    <t>19-Aug-2025 03:15:37</t>
  </si>
  <si>
    <t>R22asrc NewDiffPts ArmComponents</t>
  </si>
  <si>
    <t>19-Aug-2025 22:51:47</t>
  </si>
  <si>
    <t>R22asrc all linkage comps lib</t>
  </si>
  <si>
    <t>Ax4Watts</t>
  </si>
  <si>
    <t>25-Aug-2025 02:11:41</t>
  </si>
  <si>
    <t>R22asrc TA4Watt</t>
  </si>
  <si>
    <t>26-Aug-2025 02:47:55</t>
  </si>
  <si>
    <t>R22asrc v4p5 AbsTolScaleOff Stiff AchillesDW</t>
  </si>
  <si>
    <t>Testrig 4 Post Cycle 1</t>
  </si>
  <si>
    <t>Testrig 4 Post Data</t>
  </si>
  <si>
    <t>vDamperF</t>
  </si>
  <si>
    <t>15-Sep-2025 03:25:34</t>
  </si>
  <si>
    <t>R22asrc v4p6 new 4Post event</t>
  </si>
  <si>
    <t>RackWheelVarRatio</t>
  </si>
  <si>
    <t>RackWheelByWire</t>
  </si>
  <si>
    <t>26-Oct-2025 12:11:43</t>
  </si>
  <si>
    <t>R22asrc v4p7 StrByWire SuspPromotePar</t>
  </si>
  <si>
    <t>27-Oct-2025 01:42:44</t>
  </si>
  <si>
    <t>v4p7 StrByWire StrCtrlRename StrCtrlParam</t>
  </si>
  <si>
    <t>A2</t>
  </si>
  <si>
    <t>17-Nov-2025 01:58:20</t>
  </si>
  <si>
    <t>v4p8 powertrain cfgs, bushings</t>
  </si>
  <si>
    <t>S2LAFarbD</t>
  </si>
  <si>
    <t>S2LARarbD</t>
  </si>
  <si>
    <t>16-Jan-2026 23:41:08</t>
  </si>
  <si>
    <t>R22asrc v4p9 bushings jointTargets</t>
  </si>
  <si>
    <t>Coastdown</t>
  </si>
  <si>
    <t>LUTf</t>
  </si>
  <si>
    <t>Ax2APanTrailHydroA1A2</t>
  </si>
  <si>
    <t>Steering</t>
  </si>
  <si>
    <t>GS Uneven Road</t>
  </si>
  <si>
    <t>21-Feb-2026 06:23:38</t>
  </si>
  <si>
    <t>24.2.0.2923080 (R2024b) Update 6</t>
  </si>
  <si>
    <t>MF-Swift Version: 2512</t>
  </si>
  <si>
    <t>R24b v4p10 LUT PanAsy Hydro SprDamNone</t>
  </si>
  <si>
    <t>v4p12 R24b GS Bush Steer</t>
  </si>
  <si>
    <t>12-Jun-2026 07:34:17</t>
  </si>
  <si>
    <t>13-Jun-2026 04:05:18</t>
  </si>
  <si>
    <t>v4p12 R24b GS Bush Scale</t>
  </si>
  <si>
    <t>13-Jun-2026 08:53:27</t>
  </si>
  <si>
    <t>05-Jul-2026 07:55:40</t>
  </si>
  <si>
    <t>MW-PF4C7E2R</t>
  </si>
  <si>
    <t>24.2.0.3212159 (R2024b) Update 9</t>
  </si>
  <si>
    <t>v4p12 R24b Elk 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</si>
</sst>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4" x14ac:knownFonts="1"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0" fillId="0" borderId="0" xfId="0" quotePrefix="1"/>
    <xf numFmtId="0" fontId="2" fillId="0" borderId="0" xfId="0" applyFont="1"/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164" fontId="0" fillId="2" borderId="0" xfId="0" applyNumberFormat="1" applyFill="1"/>
    <xf numFmtId="0" fontId="1" fillId="2" borderId="0" xfId="1" applyFill="1"/>
    <xf numFmtId="0" fontId="1" fillId="0" borderId="0" xfId="1" applyFill="1"/>
    <xf numFmtId="2" fontId="0" fillId="0" borderId="0" xfId="0" applyNumberFormat="1"/>
    <xf numFmtId="10" fontId="0" fillId="0" borderId="0" xfId="2" applyNumberFormat="1" applyFont="1"/>
    <xf numFmtId="9" fontId="0" fillId="0" borderId="0" xfId="2" applyFont="1"/>
    <xf numFmtId="0" fontId="2" fillId="0" borderId="0" xfId="0" quotePrefix="1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D8A1-4460-4D93-8948-15DCC6AC1BB5}">
  <dimension ref="A1:R268"/>
  <sheetViews>
    <sheetView workbookViewId="0">
      <selection activeCell="V11" sqref="V11"/>
    </sheetView>
  </sheetViews>
  <sheetFormatPr defaultRowHeight="15" x14ac:dyDescent="0.25"/>
  <cols>
    <col min="1" max="1" width="4.42578125" bestFit="1" customWidth="1"/>
    <col min="2" max="2" width="10" bestFit="1" customWidth="1"/>
    <col min="3" max="3" width="14" bestFit="1" customWidth="1"/>
    <col min="4" max="4" width="12.42578125" bestFit="1" customWidth="1"/>
    <col min="5" max="5" width="11.85546875" bestFit="1" customWidth="1"/>
    <col min="6" max="6" width="8.85546875" bestFit="1" customWidth="1"/>
    <col min="7" max="7" width="16.85546875" bestFit="1" customWidth="1"/>
    <col min="8" max="8" width="8.5703125" bestFit="1" customWidth="1"/>
    <col min="9" max="9" width="27.140625" bestFit="1" customWidth="1"/>
    <col min="10" max="10" width="7.140625" bestFit="1" customWidth="1"/>
    <col min="11" max="11" width="7.28515625" bestFit="1" customWidth="1"/>
    <col min="12" max="12" width="7.5703125" bestFit="1" customWidth="1"/>
    <col min="13" max="13" width="8.5703125" bestFit="1" customWidth="1"/>
    <col min="14" max="14" width="9.28515625" bestFit="1" customWidth="1"/>
    <col min="15" max="15" width="6.5703125" bestFit="1" customWidth="1"/>
    <col min="16" max="16" width="4.85546875" bestFit="1" customWidth="1"/>
    <col min="18" max="18" width="30.7109375" bestFit="1" customWidth="1"/>
  </cols>
  <sheetData>
    <row r="1" spans="1: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R1" s="2" t="s">
        <v>121</v>
      </c>
    </row>
    <row r="2" spans="1:18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405</v>
      </c>
      <c r="L2" s="4">
        <v>7.1740468000000002</v>
      </c>
      <c r="M2" s="4">
        <v>233.8566590133986</v>
      </c>
      <c r="N2" s="4">
        <v>1.4698669741894207E-2</v>
      </c>
      <c r="O2" s="1" t="str">
        <f>HYPERLINK(".\sm_car_250206_1736\sm_car_250206_1736_001_Ca000TrN_MaWOT_ode23t.png","figure")</f>
        <v>figure</v>
      </c>
      <c r="P2" t="s">
        <v>15</v>
      </c>
      <c r="R2" s="2" t="s">
        <v>116</v>
      </c>
    </row>
    <row r="3" spans="1:18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24</v>
      </c>
      <c r="J3" t="s">
        <v>23</v>
      </c>
      <c r="K3">
        <v>530</v>
      </c>
      <c r="L3" s="4">
        <v>7.5204423</v>
      </c>
      <c r="M3" s="4">
        <v>71.998676105449746</v>
      </c>
      <c r="N3" s="4">
        <v>-0.55228018634544407</v>
      </c>
      <c r="O3" s="1" t="str">
        <f>HYPERLINK(".\sm_car_250206_1736\sm_car_250206_1736_002_Ca000TrN_MaLSS_ode23t.png","figure")</f>
        <v>figure</v>
      </c>
      <c r="P3" t="s">
        <v>15</v>
      </c>
      <c r="R3" s="2" t="s">
        <v>117</v>
      </c>
    </row>
    <row r="4" spans="1:18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21</v>
      </c>
      <c r="I4" t="s">
        <v>22</v>
      </c>
      <c r="J4" t="s">
        <v>23</v>
      </c>
      <c r="K4">
        <v>408</v>
      </c>
      <c r="L4" s="4">
        <v>7.8751305</v>
      </c>
      <c r="M4" s="4">
        <v>232.87016571515375</v>
      </c>
      <c r="N4" s="4">
        <v>-1.6387417701726247E-3</v>
      </c>
      <c r="O4" s="1" t="str">
        <f>HYPERLINK(".\sm_car_250206_1736\sm_car_250206_1736_003_Ca001TrN_MaWOT_ode23t.png","figure")</f>
        <v>figure</v>
      </c>
      <c r="P4" t="s">
        <v>15</v>
      </c>
      <c r="R4" s="2" t="s">
        <v>118</v>
      </c>
    </row>
    <row r="5" spans="1:18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25</v>
      </c>
      <c r="H5" t="s">
        <v>21</v>
      </c>
      <c r="I5" t="s">
        <v>24</v>
      </c>
      <c r="J5" t="s">
        <v>23</v>
      </c>
      <c r="K5">
        <v>522</v>
      </c>
      <c r="L5" s="4">
        <v>8.0684342000000004</v>
      </c>
      <c r="M5" s="4">
        <v>71.688580924488448</v>
      </c>
      <c r="N5" s="4">
        <v>-0.54782941135018626</v>
      </c>
      <c r="O5" s="1" t="str">
        <f>HYPERLINK(".\sm_car_250206_1736\sm_car_250206_1736_004_Ca001TrN_MaLSS_ode23t.png","figure")</f>
        <v>figure</v>
      </c>
      <c r="P5" t="s">
        <v>15</v>
      </c>
      <c r="R5" t="s">
        <v>122</v>
      </c>
    </row>
    <row r="6" spans="1:18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26</v>
      </c>
      <c r="H6" t="s">
        <v>21</v>
      </c>
      <c r="I6" t="s">
        <v>22</v>
      </c>
      <c r="J6" t="s">
        <v>23</v>
      </c>
      <c r="K6">
        <v>428</v>
      </c>
      <c r="L6" s="4">
        <v>11.5658808</v>
      </c>
      <c r="M6" s="4">
        <v>232.97357788780917</v>
      </c>
      <c r="N6" s="4">
        <v>8.55689249384321E-2</v>
      </c>
      <c r="O6" s="1" t="str">
        <f>HYPERLINK(".\sm_car_250206_1736\sm_car_250206_1736_005_Ca002TrN_MaWOT_ode23t.png","figure")</f>
        <v>figure</v>
      </c>
      <c r="P6" t="s">
        <v>15</v>
      </c>
    </row>
    <row r="7" spans="1:18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26</v>
      </c>
      <c r="H7" t="s">
        <v>21</v>
      </c>
      <c r="I7" t="s">
        <v>24</v>
      </c>
      <c r="J7" t="s">
        <v>23</v>
      </c>
      <c r="K7">
        <v>528</v>
      </c>
      <c r="L7" s="4">
        <v>11.2360337</v>
      </c>
      <c r="M7" s="4">
        <v>71.71208249692819</v>
      </c>
      <c r="N7" s="4">
        <v>-0.54151327441338537</v>
      </c>
      <c r="O7" s="1" t="str">
        <f>HYPERLINK(".\sm_car_250206_1736\sm_car_250206_1736_006_Ca002TrN_MaLSS_ode23t.png","figure")</f>
        <v>figure</v>
      </c>
      <c r="P7" t="s">
        <v>15</v>
      </c>
    </row>
    <row r="8" spans="1:18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27</v>
      </c>
      <c r="H8" t="s">
        <v>21</v>
      </c>
      <c r="I8" t="s">
        <v>22</v>
      </c>
      <c r="J8" t="s">
        <v>23</v>
      </c>
      <c r="K8">
        <v>489</v>
      </c>
      <c r="L8" s="4">
        <v>13.1639613</v>
      </c>
      <c r="M8" s="4">
        <v>232.34106217087762</v>
      </c>
      <c r="N8" s="4">
        <v>-4.8462792646724782E-2</v>
      </c>
      <c r="O8" s="1" t="str">
        <f>HYPERLINK(".\sm_car_250206_1736\sm_car_250206_1736_007_Ca003TrN_MaWOT_ode23t.png","figure")</f>
        <v>figure</v>
      </c>
      <c r="P8" t="s">
        <v>15</v>
      </c>
    </row>
    <row r="9" spans="1:18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27</v>
      </c>
      <c r="H9" t="s">
        <v>21</v>
      </c>
      <c r="I9" t="s">
        <v>24</v>
      </c>
      <c r="J9" t="s">
        <v>23</v>
      </c>
      <c r="K9">
        <v>548</v>
      </c>
      <c r="L9" s="4">
        <v>10.803800000000001</v>
      </c>
      <c r="M9" s="4">
        <v>71.579389922706369</v>
      </c>
      <c r="N9" s="4">
        <v>-0.54118187782960003</v>
      </c>
      <c r="O9" s="1" t="str">
        <f>HYPERLINK(".\sm_car_250206_1736\sm_car_250206_1736_008_Ca003TrN_MaLSS_ode23t.png","figure")</f>
        <v>figure</v>
      </c>
      <c r="P9" t="s">
        <v>15</v>
      </c>
    </row>
    <row r="10" spans="1:18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20</v>
      </c>
      <c r="H10" t="s">
        <v>21</v>
      </c>
      <c r="I10" t="s">
        <v>22</v>
      </c>
      <c r="J10" t="s">
        <v>23</v>
      </c>
      <c r="K10">
        <v>1115</v>
      </c>
      <c r="L10" s="4">
        <v>12.8637149</v>
      </c>
      <c r="M10" s="4">
        <v>233.57455282230043</v>
      </c>
      <c r="N10" s="4">
        <v>6.4420198145996406E-3</v>
      </c>
      <c r="O10" s="1" t="str">
        <f>HYPERLINK(".\sm_car_250206_1736\sm_car_250206_1736_009_Ca004TrN_MaWOT_ode23t.png","figure")</f>
        <v>figure</v>
      </c>
      <c r="P10" t="s">
        <v>15</v>
      </c>
    </row>
    <row r="11" spans="1:18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20</v>
      </c>
      <c r="H11" t="s">
        <v>21</v>
      </c>
      <c r="I11" t="s">
        <v>24</v>
      </c>
      <c r="J11" t="s">
        <v>23</v>
      </c>
      <c r="K11">
        <v>1235</v>
      </c>
      <c r="L11" s="4">
        <v>13.2462838</v>
      </c>
      <c r="M11" s="4">
        <v>71.991678979350837</v>
      </c>
      <c r="N11" s="4">
        <v>-0.55302257738068183</v>
      </c>
      <c r="O11" s="1" t="str">
        <f>HYPERLINK(".\sm_car_250206_1736\sm_car_250206_1736_010_Ca004TrN_MaLSS_ode23t.png","figure")</f>
        <v>figure</v>
      </c>
      <c r="P11" t="s">
        <v>15</v>
      </c>
    </row>
    <row r="12" spans="1:18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25</v>
      </c>
      <c r="H12" t="s">
        <v>21</v>
      </c>
      <c r="I12" t="s">
        <v>22</v>
      </c>
      <c r="J12" t="s">
        <v>23</v>
      </c>
      <c r="K12">
        <v>1124</v>
      </c>
      <c r="L12" s="4">
        <v>14.029447599999999</v>
      </c>
      <c r="M12" s="4">
        <v>232.87550454213704</v>
      </c>
      <c r="N12" s="4">
        <v>2.8395140433256526E-4</v>
      </c>
      <c r="O12" s="1" t="str">
        <f>HYPERLINK(".\sm_car_250206_1736\sm_car_250206_1736_011_Ca005TrN_MaWOT_ode23t.png","figure")</f>
        <v>figure</v>
      </c>
      <c r="P12" t="s">
        <v>15</v>
      </c>
    </row>
    <row r="13" spans="1:18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25</v>
      </c>
      <c r="H13" t="s">
        <v>21</v>
      </c>
      <c r="I13" t="s">
        <v>24</v>
      </c>
      <c r="J13" t="s">
        <v>23</v>
      </c>
      <c r="K13">
        <v>1228</v>
      </c>
      <c r="L13" s="4">
        <v>15.3301917</v>
      </c>
      <c r="M13" s="4">
        <v>71.695992309551087</v>
      </c>
      <c r="N13" s="4">
        <v>-0.54397582173033332</v>
      </c>
      <c r="O13" s="1" t="str">
        <f>HYPERLINK(".\sm_car_250206_1736\sm_car_250206_1736_012_Ca005TrN_MaLSS_ode23t.png","figure")</f>
        <v>figure</v>
      </c>
      <c r="P13" t="s">
        <v>15</v>
      </c>
    </row>
    <row r="14" spans="1:18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26</v>
      </c>
      <c r="H14" t="s">
        <v>21</v>
      </c>
      <c r="I14" t="s">
        <v>22</v>
      </c>
      <c r="J14" t="s">
        <v>23</v>
      </c>
      <c r="K14">
        <v>1265</v>
      </c>
      <c r="L14" s="4">
        <v>18.071550999999999</v>
      </c>
      <c r="M14" s="4">
        <v>232.86941205174696</v>
      </c>
      <c r="N14" s="4">
        <v>6.8816190091572083E-2</v>
      </c>
      <c r="O14" s="1" t="str">
        <f>HYPERLINK(".\sm_car_250206_1736\sm_car_250206_1736_013_Ca006TrN_MaWOT_ode23t.png","figure")</f>
        <v>figure</v>
      </c>
      <c r="P14" t="s">
        <v>15</v>
      </c>
    </row>
    <row r="15" spans="1:18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26</v>
      </c>
      <c r="H15" t="s">
        <v>21</v>
      </c>
      <c r="I15" t="s">
        <v>24</v>
      </c>
      <c r="J15" t="s">
        <v>23</v>
      </c>
      <c r="K15">
        <v>1275</v>
      </c>
      <c r="L15" s="4">
        <v>16.764358300000001</v>
      </c>
      <c r="M15" s="4">
        <v>71.688617717149612</v>
      </c>
      <c r="N15" s="4">
        <v>-0.54460680649991844</v>
      </c>
      <c r="O15" s="1" t="str">
        <f>HYPERLINK(".\sm_car_250206_1736\sm_car_250206_1736_014_Ca006TrN_MaLSS_ode23t.png","figure")</f>
        <v>figure</v>
      </c>
      <c r="P15" t="s">
        <v>15</v>
      </c>
    </row>
    <row r="16" spans="1:18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27</v>
      </c>
      <c r="H16" t="s">
        <v>21</v>
      </c>
      <c r="I16" t="s">
        <v>22</v>
      </c>
      <c r="J16" t="s">
        <v>23</v>
      </c>
      <c r="K16">
        <v>1226</v>
      </c>
      <c r="L16" s="4">
        <v>18.025030699999999</v>
      </c>
      <c r="M16" s="4">
        <v>232.37116249489827</v>
      </c>
      <c r="N16" s="4">
        <v>5.7937015630791892E-2</v>
      </c>
      <c r="O16" s="1" t="str">
        <f>HYPERLINK(".\sm_car_250206_1736\sm_car_250206_1736_015_Ca007TrN_MaWOT_ode23t.png","figure")</f>
        <v>figure</v>
      </c>
      <c r="P16" t="s">
        <v>15</v>
      </c>
    </row>
    <row r="17" spans="1:16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27</v>
      </c>
      <c r="H17" t="s">
        <v>21</v>
      </c>
      <c r="I17" t="s">
        <v>24</v>
      </c>
      <c r="J17" t="s">
        <v>23</v>
      </c>
      <c r="K17">
        <v>1273</v>
      </c>
      <c r="L17" s="4">
        <v>16.0648768</v>
      </c>
      <c r="M17" s="4">
        <v>71.56671004542774</v>
      </c>
      <c r="N17" s="4">
        <v>-0.54087591444726779</v>
      </c>
      <c r="O17" s="1" t="str">
        <f>HYPERLINK(".\sm_car_250206_1736\sm_car_250206_1736_016_Ca007TrN_MaLSS_ode23t.png","figure")</f>
        <v>figure</v>
      </c>
      <c r="P17" t="s">
        <v>15</v>
      </c>
    </row>
    <row r="18" spans="1:16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>
        <v>408</v>
      </c>
      <c r="L18" s="4">
        <v>6.0051068000000001</v>
      </c>
      <c r="M18" s="4">
        <v>234.5088820555346</v>
      </c>
      <c r="N18" s="4">
        <v>-7.0979456607315236E-2</v>
      </c>
      <c r="O18" s="1" t="str">
        <f>HYPERLINK(".\sm_car_250206_1736\sm_car_250206_1736_017_Ca016TrN_MaWOT_ode23t.png","figure")</f>
        <v>figure</v>
      </c>
      <c r="P18" t="s">
        <v>15</v>
      </c>
    </row>
    <row r="19" spans="1:16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20</v>
      </c>
      <c r="H19" t="s">
        <v>21</v>
      </c>
      <c r="I19" t="s">
        <v>24</v>
      </c>
      <c r="J19" t="s">
        <v>23</v>
      </c>
      <c r="K19">
        <v>488</v>
      </c>
      <c r="L19" s="4">
        <v>5.8274708000000004</v>
      </c>
      <c r="M19" s="4">
        <v>72.26564902767538</v>
      </c>
      <c r="N19" s="4">
        <v>-2.1675994213004968E-2</v>
      </c>
      <c r="O19" s="1" t="str">
        <f>HYPERLINK(".\sm_car_250206_1736\sm_car_250206_1736_018_Ca016TrN_MaLSS_ode23t.png","figure")</f>
        <v>figure</v>
      </c>
      <c r="P19" t="s">
        <v>15</v>
      </c>
    </row>
    <row r="20" spans="1:16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>
        <v>405</v>
      </c>
      <c r="L20" s="4">
        <v>8.2639657999999994</v>
      </c>
      <c r="M20" s="4">
        <v>233.64089399782057</v>
      </c>
      <c r="N20" s="4">
        <v>2.1192627327922035E-2</v>
      </c>
      <c r="O20" s="1" t="str">
        <f>HYPERLINK(".\sm_car_250206_1736\sm_car_250206_1736_019_Ca032TrN_MaWOT_ode23t.png","figure")</f>
        <v>figure</v>
      </c>
      <c r="P20" t="s">
        <v>15</v>
      </c>
    </row>
    <row r="21" spans="1:16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20</v>
      </c>
      <c r="H21" t="s">
        <v>21</v>
      </c>
      <c r="I21" t="s">
        <v>24</v>
      </c>
      <c r="J21" t="s">
        <v>23</v>
      </c>
      <c r="K21">
        <v>519</v>
      </c>
      <c r="L21" s="4">
        <v>8.3274761999999996</v>
      </c>
      <c r="M21" s="4">
        <v>71.98872450019357</v>
      </c>
      <c r="N21" s="4">
        <v>-0.53279597217308405</v>
      </c>
      <c r="O21" s="1" t="str">
        <f>HYPERLINK(".\sm_car_250206_1736\sm_car_250206_1736_020_Ca032TrN_MaLSS_ode23t.png","figure")</f>
        <v>figure</v>
      </c>
      <c r="P21" t="s">
        <v>15</v>
      </c>
    </row>
    <row r="22" spans="1:16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>
        <v>392</v>
      </c>
      <c r="L22" s="4">
        <v>7.3176522999999998</v>
      </c>
      <c r="M22" s="4">
        <v>233.761853292837</v>
      </c>
      <c r="N22" s="4">
        <v>-4.3853866377245232E-3</v>
      </c>
      <c r="O22" s="1" t="str">
        <f>HYPERLINK(".\sm_car_250206_1736\sm_car_250206_1736_021_Ca048TrN_MaWOT_ode23t.png","figure")</f>
        <v>figure</v>
      </c>
      <c r="P22" t="s">
        <v>15</v>
      </c>
    </row>
    <row r="23" spans="1:16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20</v>
      </c>
      <c r="H23" t="s">
        <v>21</v>
      </c>
      <c r="I23" t="s">
        <v>24</v>
      </c>
      <c r="J23" t="s">
        <v>23</v>
      </c>
      <c r="K23">
        <v>520</v>
      </c>
      <c r="L23" s="4">
        <v>9.2079310999999997</v>
      </c>
      <c r="M23" s="4">
        <v>71.987547459828505</v>
      </c>
      <c r="N23" s="4">
        <v>-0.53897105788704847</v>
      </c>
      <c r="O23" s="1" t="str">
        <f>HYPERLINK(".\sm_car_250206_1736\sm_car_250206_1736_022_Ca048TrN_MaLSS_ode23t.png","figure")</f>
        <v>figure</v>
      </c>
      <c r="P23" t="s">
        <v>15</v>
      </c>
    </row>
    <row r="24" spans="1:16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 t="s">
        <v>23</v>
      </c>
      <c r="K24">
        <v>398</v>
      </c>
      <c r="L24" s="4">
        <v>8.4117452999999998</v>
      </c>
      <c r="M24" s="4">
        <v>233.73833562245289</v>
      </c>
      <c r="N24" s="4">
        <v>2.1688879147444686E-2</v>
      </c>
      <c r="O24" s="1" t="str">
        <f>HYPERLINK(".\sm_car_250206_1736\sm_car_250206_1736_023_Ca064TrN_MaWOT_ode23t.png","figure")</f>
        <v>figure</v>
      </c>
      <c r="P24" t="s">
        <v>15</v>
      </c>
    </row>
    <row r="25" spans="1:16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20</v>
      </c>
      <c r="H25" t="s">
        <v>21</v>
      </c>
      <c r="I25" t="s">
        <v>24</v>
      </c>
      <c r="J25" t="s">
        <v>23</v>
      </c>
      <c r="K25">
        <v>527</v>
      </c>
      <c r="L25" s="4">
        <v>9.0292499999999993</v>
      </c>
      <c r="M25" s="4">
        <v>72.00575483986546</v>
      </c>
      <c r="N25" s="4">
        <v>-0.52789154778144043</v>
      </c>
      <c r="O25" s="1" t="str">
        <f>HYPERLINK(".\sm_car_250206_1736\sm_car_250206_1736_024_Ca064TrN_MaLSS_ode23t.png","figure")</f>
        <v>figure</v>
      </c>
      <c r="P25" t="s">
        <v>15</v>
      </c>
    </row>
    <row r="26" spans="1:16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23</v>
      </c>
      <c r="K26">
        <v>405</v>
      </c>
      <c r="L26" s="4">
        <v>9.8118067999999994</v>
      </c>
      <c r="M26" s="4">
        <v>233.76988899434795</v>
      </c>
      <c r="N26" s="4">
        <v>-5.7554176573620186E-3</v>
      </c>
      <c r="O26" s="1" t="str">
        <f>HYPERLINK(".\sm_car_250206_1736\sm_car_250206_1736_025_Ca080TrN_MaWOT_ode23t.png","figure")</f>
        <v>figure</v>
      </c>
      <c r="P26" t="s">
        <v>15</v>
      </c>
    </row>
    <row r="27" spans="1:16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20</v>
      </c>
      <c r="H27" t="s">
        <v>21</v>
      </c>
      <c r="I27" t="s">
        <v>24</v>
      </c>
      <c r="J27" t="s">
        <v>23</v>
      </c>
      <c r="K27">
        <v>518</v>
      </c>
      <c r="L27" s="4">
        <v>8.9876971000000001</v>
      </c>
      <c r="M27" s="4">
        <v>71.98706163427002</v>
      </c>
      <c r="N27" s="4">
        <v>-0.53765599076569559</v>
      </c>
      <c r="O27" s="1" t="str">
        <f>HYPERLINK(".\sm_car_250206_1736\sm_car_250206_1736_026_Ca080TrN_MaLSS_ode23t.png","figure")</f>
        <v>figure</v>
      </c>
      <c r="P27" t="s">
        <v>15</v>
      </c>
    </row>
    <row r="28" spans="1:16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23</v>
      </c>
      <c r="K28">
        <v>415</v>
      </c>
      <c r="L28" s="4">
        <v>6.7505610000000003</v>
      </c>
      <c r="M28" s="4">
        <v>235.6110001370952</v>
      </c>
      <c r="N28" s="4">
        <v>3.0590079171595157E-2</v>
      </c>
      <c r="O28" s="1" t="str">
        <f>HYPERLINK(".\sm_car_250206_1736\sm_car_250206_1736_027_Ca096TrN_MaWOT_ode23t.png","figure")</f>
        <v>figure</v>
      </c>
      <c r="P28" t="s">
        <v>15</v>
      </c>
    </row>
    <row r="29" spans="1:16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20</v>
      </c>
      <c r="H29" t="s">
        <v>21</v>
      </c>
      <c r="I29" t="s">
        <v>24</v>
      </c>
      <c r="J29" t="s">
        <v>23</v>
      </c>
      <c r="K29">
        <v>519</v>
      </c>
      <c r="L29" s="4">
        <v>6.6101514999999997</v>
      </c>
      <c r="M29" s="4">
        <v>72.511817417997449</v>
      </c>
      <c r="N29" s="4">
        <v>-0.53964080554388771</v>
      </c>
      <c r="O29" s="1" t="str">
        <f>HYPERLINK(".\sm_car_250206_1736\sm_car_250206_1736_028_Ca096TrN_MaLSS_ode23t.png","figure")</f>
        <v>figure</v>
      </c>
      <c r="P29" t="s">
        <v>15</v>
      </c>
    </row>
    <row r="30" spans="1:16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 t="s">
        <v>23</v>
      </c>
      <c r="K30">
        <v>371</v>
      </c>
      <c r="L30" s="4">
        <v>2.4924347</v>
      </c>
      <c r="M30" s="4">
        <v>242.67152292699501</v>
      </c>
      <c r="N30" s="4">
        <v>0.2345591293344764</v>
      </c>
      <c r="O30" s="1" t="str">
        <f>HYPERLINK(".\sm_car_250206_1736\sm_car_250206_1736_029_Ca112TrN_MaWOT_ode23t.png","figure")</f>
        <v>figure</v>
      </c>
      <c r="P30" t="s">
        <v>15</v>
      </c>
    </row>
    <row r="31" spans="1:16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20</v>
      </c>
      <c r="H31" t="s">
        <v>21</v>
      </c>
      <c r="I31" t="s">
        <v>24</v>
      </c>
      <c r="J31" t="s">
        <v>23</v>
      </c>
      <c r="K31">
        <v>480</v>
      </c>
      <c r="L31" s="4">
        <v>2.7779492000000001</v>
      </c>
      <c r="M31" s="4">
        <v>74.659633852677175</v>
      </c>
      <c r="N31" s="4">
        <v>-0.33798931083008427</v>
      </c>
      <c r="O31" s="1" t="str">
        <f>HYPERLINK(".\sm_car_250206_1736\sm_car_250206_1736_030_Ca112TrN_MaLSS_ode23t.png","figure")</f>
        <v>figure</v>
      </c>
      <c r="P31" t="s">
        <v>15</v>
      </c>
    </row>
    <row r="32" spans="1:16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25</v>
      </c>
      <c r="H32" t="s">
        <v>21</v>
      </c>
      <c r="I32" t="s">
        <v>22</v>
      </c>
      <c r="J32" t="s">
        <v>23</v>
      </c>
      <c r="K32">
        <v>366</v>
      </c>
      <c r="L32" s="4">
        <v>2.9230038999999999</v>
      </c>
      <c r="M32" s="4">
        <v>241.49880149911601</v>
      </c>
      <c r="N32" s="4">
        <v>0.22933555890724622</v>
      </c>
      <c r="O32" s="1" t="str">
        <f>HYPERLINK(".\sm_car_250206_1736\sm_car_250206_1736_031_Ca113TrN_MaWOT_ode23t.png","figure")</f>
        <v>figure</v>
      </c>
      <c r="P32" t="s">
        <v>15</v>
      </c>
    </row>
    <row r="33" spans="1:16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25</v>
      </c>
      <c r="H33" t="s">
        <v>21</v>
      </c>
      <c r="I33" t="s">
        <v>24</v>
      </c>
      <c r="J33" t="s">
        <v>23</v>
      </c>
      <c r="K33">
        <v>487</v>
      </c>
      <c r="L33" s="4">
        <v>3.2996582999999999</v>
      </c>
      <c r="M33" s="4">
        <v>74.346228062681817</v>
      </c>
      <c r="N33" s="4">
        <v>-0.33396938399784559</v>
      </c>
      <c r="O33" s="1" t="str">
        <f>HYPERLINK(".\sm_car_250206_1736\sm_car_250206_1736_032_Ca113TrN_MaLSS_ode23t.png","figure")</f>
        <v>figure</v>
      </c>
      <c r="P33" t="s">
        <v>15</v>
      </c>
    </row>
    <row r="34" spans="1:16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26</v>
      </c>
      <c r="H34" t="s">
        <v>21</v>
      </c>
      <c r="I34" t="s">
        <v>22</v>
      </c>
      <c r="J34" t="s">
        <v>23</v>
      </c>
      <c r="K34">
        <v>382</v>
      </c>
      <c r="L34" s="4">
        <v>3.1467154000000002</v>
      </c>
      <c r="M34" s="4">
        <v>241.61378277209207</v>
      </c>
      <c r="N34" s="4">
        <v>0.23021245244501903</v>
      </c>
      <c r="O34" s="1" t="str">
        <f>HYPERLINK(".\sm_car_250206_1736\sm_car_250206_1736_033_Ca114TrN_MaWOT_ode23t.png","figure")</f>
        <v>figure</v>
      </c>
      <c r="P34" t="s">
        <v>15</v>
      </c>
    </row>
    <row r="35" spans="1:16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26</v>
      </c>
      <c r="H35" t="s">
        <v>21</v>
      </c>
      <c r="I35" t="s">
        <v>24</v>
      </c>
      <c r="J35" t="s">
        <v>23</v>
      </c>
      <c r="K35">
        <v>482</v>
      </c>
      <c r="L35" s="4">
        <v>3.2255832</v>
      </c>
      <c r="M35" s="4">
        <v>74.351409358906011</v>
      </c>
      <c r="N35" s="4">
        <v>-0.33420060419010328</v>
      </c>
      <c r="O35" s="1" t="str">
        <f>HYPERLINK(".\sm_car_250206_1736\sm_car_250206_1736_034_Ca114TrN_MaLSS_ode23t.png","figure")</f>
        <v>figure</v>
      </c>
      <c r="P35" t="s">
        <v>15</v>
      </c>
    </row>
    <row r="36" spans="1:16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27</v>
      </c>
      <c r="H36" t="s">
        <v>21</v>
      </c>
      <c r="I36" t="s">
        <v>22</v>
      </c>
      <c r="J36" t="s">
        <v>23</v>
      </c>
      <c r="K36">
        <v>394</v>
      </c>
      <c r="L36" s="4">
        <v>3.1625977000000001</v>
      </c>
      <c r="M36" s="4">
        <v>241.17294486789336</v>
      </c>
      <c r="N36" s="4">
        <v>0.22843004969485575</v>
      </c>
      <c r="O36" s="1" t="str">
        <f>HYPERLINK(".\sm_car_250206_1736\sm_car_250206_1736_035_Ca115TrN_MaWOT_ode23t.png","figure")</f>
        <v>figure</v>
      </c>
      <c r="P36" t="s">
        <v>15</v>
      </c>
    </row>
    <row r="37" spans="1:16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27</v>
      </c>
      <c r="H37" t="s">
        <v>21</v>
      </c>
      <c r="I37" t="s">
        <v>24</v>
      </c>
      <c r="J37" t="s">
        <v>23</v>
      </c>
      <c r="K37">
        <v>505</v>
      </c>
      <c r="L37" s="4">
        <v>3.4018562000000001</v>
      </c>
      <c r="M37" s="4">
        <v>74.209226032839169</v>
      </c>
      <c r="N37" s="4">
        <v>-0.3316804496625117</v>
      </c>
      <c r="O37" s="1" t="str">
        <f>HYPERLINK(".\sm_car_250206_1736\sm_car_250206_1736_036_Ca115TrN_MaLSS_ode23t.png","figure")</f>
        <v>figure</v>
      </c>
      <c r="P37" t="s">
        <v>15</v>
      </c>
    </row>
    <row r="38" spans="1:16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20</v>
      </c>
      <c r="H38" t="s">
        <v>21</v>
      </c>
      <c r="I38" t="s">
        <v>22</v>
      </c>
      <c r="J38" t="s">
        <v>23</v>
      </c>
      <c r="K38">
        <v>943</v>
      </c>
      <c r="L38" s="4">
        <v>4.5672407000000002</v>
      </c>
      <c r="M38" s="4">
        <v>242.63118630005806</v>
      </c>
      <c r="N38" s="4">
        <v>0.2327919371692862</v>
      </c>
      <c r="O38" s="1" t="str">
        <f>HYPERLINK(".\sm_car_250206_1736\sm_car_250206_1736_037_Ca116TrN_MaWOT_ode23t.png","figure")</f>
        <v>figure</v>
      </c>
      <c r="P38" t="s">
        <v>15</v>
      </c>
    </row>
    <row r="39" spans="1:16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20</v>
      </c>
      <c r="H39" t="s">
        <v>21</v>
      </c>
      <c r="I39" t="s">
        <v>24</v>
      </c>
      <c r="J39" t="s">
        <v>23</v>
      </c>
      <c r="K39">
        <v>1060</v>
      </c>
      <c r="L39" s="4">
        <v>5.0453644000000004</v>
      </c>
      <c r="M39" s="4">
        <v>74.660234080632137</v>
      </c>
      <c r="N39" s="4">
        <v>-0.34043153147504285</v>
      </c>
      <c r="O39" s="1" t="str">
        <f>HYPERLINK(".\sm_car_250206_1736\sm_car_250206_1736_038_Ca116TrN_MaLSS_ode23t.png","figure")</f>
        <v>figure</v>
      </c>
      <c r="P39" t="s">
        <v>15</v>
      </c>
    </row>
    <row r="40" spans="1:16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25</v>
      </c>
      <c r="H40" t="s">
        <v>21</v>
      </c>
      <c r="I40" t="s">
        <v>22</v>
      </c>
      <c r="J40" t="s">
        <v>23</v>
      </c>
      <c r="K40">
        <v>951</v>
      </c>
      <c r="L40" s="4">
        <v>5.1886307</v>
      </c>
      <c r="M40" s="4">
        <v>241.56097975248917</v>
      </c>
      <c r="N40" s="4">
        <v>0.22971380339965491</v>
      </c>
      <c r="O40" s="1" t="str">
        <f>HYPERLINK(".\sm_car_250206_1736\sm_car_250206_1736_039_Ca117TrN_MaWOT_ode23t.png","figure")</f>
        <v>figure</v>
      </c>
      <c r="P40" t="s">
        <v>15</v>
      </c>
    </row>
    <row r="41" spans="1:16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25</v>
      </c>
      <c r="H41" t="s">
        <v>21</v>
      </c>
      <c r="I41" t="s">
        <v>24</v>
      </c>
      <c r="J41" t="s">
        <v>23</v>
      </c>
      <c r="K41">
        <v>1068</v>
      </c>
      <c r="L41" s="4">
        <v>5.2299347000000003</v>
      </c>
      <c r="M41" s="4">
        <v>74.350658147491714</v>
      </c>
      <c r="N41" s="4">
        <v>-0.33660139121906185</v>
      </c>
      <c r="O41" s="1" t="str">
        <f>HYPERLINK(".\sm_car_250206_1736\sm_car_250206_1736_040_Ca117TrN_MaLSS_ode23t.png","figure")</f>
        <v>figure</v>
      </c>
      <c r="P41" t="s">
        <v>15</v>
      </c>
    </row>
    <row r="42" spans="1:16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26</v>
      </c>
      <c r="H42" t="s">
        <v>21</v>
      </c>
      <c r="I42" t="s">
        <v>22</v>
      </c>
      <c r="J42" t="s">
        <v>23</v>
      </c>
      <c r="K42">
        <v>941</v>
      </c>
      <c r="L42" s="4">
        <v>5.2657965000000004</v>
      </c>
      <c r="M42" s="4">
        <v>241.36830230630156</v>
      </c>
      <c r="N42" s="4">
        <v>0.23049915345602534</v>
      </c>
      <c r="O42" s="1" t="str">
        <f>HYPERLINK(".\sm_car_250206_1736\sm_car_250206_1736_041_Ca118TrN_MaWOT_ode23t.png","figure")</f>
        <v>figure</v>
      </c>
      <c r="P42" t="s">
        <v>15</v>
      </c>
    </row>
    <row r="43" spans="1:16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26</v>
      </c>
      <c r="H43" t="s">
        <v>21</v>
      </c>
      <c r="I43" t="s">
        <v>24</v>
      </c>
      <c r="J43" t="s">
        <v>23</v>
      </c>
      <c r="K43">
        <v>1055</v>
      </c>
      <c r="L43" s="4">
        <v>5.9461522999999996</v>
      </c>
      <c r="M43" s="4">
        <v>74.35119559538083</v>
      </c>
      <c r="N43" s="4">
        <v>-0.33387549857144455</v>
      </c>
      <c r="O43" s="1" t="str">
        <f>HYPERLINK(".\sm_car_250206_1736\sm_car_250206_1736_042_Ca118TrN_MaLSS_ode23t.png","figure")</f>
        <v>figure</v>
      </c>
      <c r="P43" t="s">
        <v>15</v>
      </c>
    </row>
    <row r="44" spans="1:16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27</v>
      </c>
      <c r="H44" t="s">
        <v>21</v>
      </c>
      <c r="I44" t="s">
        <v>22</v>
      </c>
      <c r="J44" t="s">
        <v>23</v>
      </c>
      <c r="K44">
        <v>964</v>
      </c>
      <c r="L44" s="4">
        <v>5.3245180000000003</v>
      </c>
      <c r="M44" s="4">
        <v>241.11272735822928</v>
      </c>
      <c r="N44" s="4">
        <v>0.22980107093966623</v>
      </c>
      <c r="O44" s="1" t="str">
        <f>HYPERLINK(".\sm_car_250206_1736\sm_car_250206_1736_043_Ca119TrN_MaWOT_ode23t.png","figure")</f>
        <v>figure</v>
      </c>
      <c r="P44" t="s">
        <v>15</v>
      </c>
    </row>
    <row r="45" spans="1:16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27</v>
      </c>
      <c r="H45" t="s">
        <v>21</v>
      </c>
      <c r="I45" t="s">
        <v>24</v>
      </c>
      <c r="J45" t="s">
        <v>23</v>
      </c>
      <c r="K45">
        <v>1081</v>
      </c>
      <c r="L45" s="4">
        <v>6.0213158</v>
      </c>
      <c r="M45" s="4">
        <v>74.200880604598112</v>
      </c>
      <c r="N45" s="4">
        <v>-0.33242007804874413</v>
      </c>
      <c r="O45" s="1" t="str">
        <f>HYPERLINK(".\sm_car_250206_1736\sm_car_250206_1736_044_Ca119TrN_MaLSS_ode23t.png","figure")</f>
        <v>figure</v>
      </c>
      <c r="P45" t="s">
        <v>15</v>
      </c>
    </row>
    <row r="46" spans="1:16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23</v>
      </c>
      <c r="K46">
        <v>321</v>
      </c>
      <c r="L46" s="4">
        <v>5.5113244999999997</v>
      </c>
      <c r="M46" s="4">
        <v>100.60172108278186</v>
      </c>
      <c r="N46" s="4">
        <v>-1.5666624705500468E-2</v>
      </c>
      <c r="O46" s="1" t="str">
        <f>HYPERLINK(".\sm_car_250206_1736\sm_car_250206_1736_045_Ca128TrN_MaWOT_ode23t.png","figure")</f>
        <v>figure</v>
      </c>
      <c r="P46" t="s">
        <v>15</v>
      </c>
    </row>
    <row r="47" spans="1:16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23</v>
      </c>
      <c r="K47">
        <v>438</v>
      </c>
      <c r="L47" s="4">
        <v>6.9525043999999996</v>
      </c>
      <c r="M47" s="4">
        <v>37.245348647746006</v>
      </c>
      <c r="N47" s="4">
        <v>-0.13379365754119832</v>
      </c>
      <c r="O47" s="1" t="str">
        <f>HYPERLINK(".\sm_car_250206_1736\sm_car_250206_1736_046_Ca128TrN_MaLSS_ode23t.png","figure")</f>
        <v>figure</v>
      </c>
      <c r="P47" t="s">
        <v>15</v>
      </c>
    </row>
    <row r="48" spans="1:16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23</v>
      </c>
      <c r="K48">
        <v>343</v>
      </c>
      <c r="L48" s="4">
        <v>6.7620718000000002</v>
      </c>
      <c r="M48" s="4">
        <v>232.73294179854724</v>
      </c>
      <c r="N48" s="4">
        <v>7.5347641390758155E-2</v>
      </c>
      <c r="O48" s="1" t="str">
        <f>HYPERLINK(".\sm_car_250206_1736\sm_car_250206_1736_047_Ca129TrN_MaWOT_ode23t.png","figure")</f>
        <v>figure</v>
      </c>
      <c r="P48" t="s">
        <v>15</v>
      </c>
    </row>
    <row r="49" spans="1:16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23</v>
      </c>
      <c r="K49">
        <v>488</v>
      </c>
      <c r="L49" s="4">
        <v>8.1863782</v>
      </c>
      <c r="M49" s="4">
        <v>71.61318666582099</v>
      </c>
      <c r="N49" s="4">
        <v>-0.54131634774965598</v>
      </c>
      <c r="O49" s="1" t="str">
        <f>HYPERLINK(".\sm_car_250206_1736\sm_car_250206_1736_048_Ca129TrN_MaLSS_ode23t.png","figure")</f>
        <v>figure</v>
      </c>
      <c r="P49" t="s">
        <v>15</v>
      </c>
    </row>
    <row r="50" spans="1:16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23</v>
      </c>
      <c r="K50">
        <v>798</v>
      </c>
      <c r="L50" s="4">
        <v>23.9884281</v>
      </c>
      <c r="M50" s="4">
        <v>219.86726913937025</v>
      </c>
      <c r="N50" s="4">
        <v>-1.470558816535013</v>
      </c>
      <c r="O50" s="1" t="str">
        <f>HYPERLINK(".\sm_car_250206_1736\sm_car_250206_1736_049_Ca130TrN_MaWOT_ode23t.png","figure")</f>
        <v>figure</v>
      </c>
      <c r="P50" t="s">
        <v>15</v>
      </c>
    </row>
    <row r="51" spans="1:16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23</v>
      </c>
      <c r="K51">
        <v>792</v>
      </c>
      <c r="L51" s="4">
        <v>21.833518999999999</v>
      </c>
      <c r="M51" s="4">
        <v>69.506977201390427</v>
      </c>
      <c r="N51" s="4">
        <v>-0.55238150286503174</v>
      </c>
      <c r="O51" s="1" t="str">
        <f>HYPERLINK(".\sm_car_250206_1736\sm_car_250206_1736_050_Ca130TrN_MaLSS_ode23t.png","figure")</f>
        <v>figure</v>
      </c>
      <c r="P51" t="s">
        <v>15</v>
      </c>
    </row>
    <row r="52" spans="1:16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23</v>
      </c>
      <c r="K52">
        <v>347</v>
      </c>
      <c r="L52" s="4">
        <v>4.6849524000000002</v>
      </c>
      <c r="M52" s="4">
        <v>232.88866109819875</v>
      </c>
      <c r="N52" s="4">
        <v>-3.3358757753545264E-2</v>
      </c>
      <c r="O52" s="1" t="str">
        <f>HYPERLINK(".\sm_car_250206_1736\sm_car_250206_1736_051_Ca131TrN_MaWOT_ode23t.png","figure")</f>
        <v>figure</v>
      </c>
      <c r="P52" t="s">
        <v>15</v>
      </c>
    </row>
    <row r="53" spans="1:16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23</v>
      </c>
      <c r="K53">
        <v>487</v>
      </c>
      <c r="L53" s="4">
        <v>5.7755435000000004</v>
      </c>
      <c r="M53" s="4">
        <v>71.701161671275344</v>
      </c>
      <c r="N53" s="4">
        <v>-0.55302263906375537</v>
      </c>
      <c r="O53" s="1" t="str">
        <f>HYPERLINK(".\sm_car_250206_1736\sm_car_250206_1736_052_Ca131TrN_MaLSS_ode23t.png","figure")</f>
        <v>figure</v>
      </c>
      <c r="P53" t="s">
        <v>15</v>
      </c>
    </row>
    <row r="54" spans="1:16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23</v>
      </c>
      <c r="K54">
        <v>342</v>
      </c>
      <c r="L54" s="4">
        <v>4.6596609999999998</v>
      </c>
      <c r="M54" s="4">
        <v>232.76653729929905</v>
      </c>
      <c r="N54" s="4">
        <v>1.0474923594885948E-3</v>
      </c>
      <c r="O54" s="1" t="str">
        <f>HYPERLINK(".\sm_car_250206_1736\sm_car_250206_1736_053_Ca132TrN_MaWOT_ode23t.png","figure")</f>
        <v>figure</v>
      </c>
      <c r="P54" t="s">
        <v>15</v>
      </c>
    </row>
    <row r="55" spans="1:16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23</v>
      </c>
      <c r="K55">
        <v>473</v>
      </c>
      <c r="L55" s="4">
        <v>5.4501879999999998</v>
      </c>
      <c r="M55" s="4">
        <v>71.717363127184967</v>
      </c>
      <c r="N55" s="4">
        <v>-0.54732220127490472</v>
      </c>
      <c r="O55" s="1" t="str">
        <f>HYPERLINK(".\sm_car_250206_1736\sm_car_250206_1736_054_Ca132TrN_MaLSS_ode23t.png","figure")</f>
        <v>figure</v>
      </c>
      <c r="P55" t="s">
        <v>15</v>
      </c>
    </row>
    <row r="56" spans="1:16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23</v>
      </c>
      <c r="K56">
        <v>346</v>
      </c>
      <c r="L56" s="4">
        <v>4.3172278000000004</v>
      </c>
      <c r="M56" s="4">
        <v>232.81747083179565</v>
      </c>
      <c r="N56" s="4">
        <v>2.2385808408694065E-4</v>
      </c>
      <c r="O56" s="1" t="str">
        <f>HYPERLINK(".\sm_car_250206_1736\sm_car_250206_1736_055_Ca133TrN_MaWOT_ode23t.png","figure")</f>
        <v>figure</v>
      </c>
      <c r="P56" t="s">
        <v>15</v>
      </c>
    </row>
    <row r="57" spans="1:16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23</v>
      </c>
      <c r="K57">
        <v>489</v>
      </c>
      <c r="L57" s="4">
        <v>5.5452057999999997</v>
      </c>
      <c r="M57" s="4">
        <v>71.712446273551834</v>
      </c>
      <c r="N57" s="4">
        <v>-0.54440045087572253</v>
      </c>
      <c r="O57" s="1" t="str">
        <f>HYPERLINK(".\sm_car_250206_1736\sm_car_250206_1736_056_Ca133TrN_MaLSS_ode23t.png","figure")</f>
        <v>figure</v>
      </c>
      <c r="P57" t="s">
        <v>15</v>
      </c>
    </row>
    <row r="58" spans="1:16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23</v>
      </c>
      <c r="K58">
        <v>352</v>
      </c>
      <c r="L58" s="4">
        <v>4.5165318000000001</v>
      </c>
      <c r="M58" s="4">
        <v>232.83166081347392</v>
      </c>
      <c r="N58" s="4">
        <v>1.4680194530123519E-3</v>
      </c>
      <c r="O58" s="1" t="str">
        <f>HYPERLINK(".\sm_car_250206_1736\sm_car_250206_1736_057_Ca134TrN_MaWOT_ode23t.png","figure")</f>
        <v>figure</v>
      </c>
      <c r="P58" t="s">
        <v>15</v>
      </c>
    </row>
    <row r="59" spans="1:16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23</v>
      </c>
      <c r="K59">
        <v>490</v>
      </c>
      <c r="L59" s="4">
        <v>5.5563225000000003</v>
      </c>
      <c r="M59" s="4">
        <v>71.714687651132067</v>
      </c>
      <c r="N59" s="4">
        <v>-0.54464578822107068</v>
      </c>
      <c r="O59" s="1" t="str">
        <f>HYPERLINK(".\sm_car_250206_1736\sm_car_250206_1736_058_Ca134TrN_MaLSS_ode23t.png","figure")</f>
        <v>figure</v>
      </c>
      <c r="P59" t="s">
        <v>15</v>
      </c>
    </row>
    <row r="60" spans="1:16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23</v>
      </c>
      <c r="K60">
        <v>358</v>
      </c>
      <c r="L60" s="4">
        <v>5.0109966999999997</v>
      </c>
      <c r="M60" s="4">
        <v>232.7681148681466</v>
      </c>
      <c r="N60" s="4">
        <v>1.2437344537358098E-3</v>
      </c>
      <c r="O60" s="1" t="str">
        <f>HYPERLINK(".\sm_car_250206_1736\sm_car_250206_1736_059_Ca135TrN_MaWOT_ode23t.png","figure")</f>
        <v>figure</v>
      </c>
      <c r="P60" t="s">
        <v>15</v>
      </c>
    </row>
    <row r="61" spans="1:16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23</v>
      </c>
      <c r="K61">
        <v>497</v>
      </c>
      <c r="L61" s="4">
        <v>5.2960038999999997</v>
      </c>
      <c r="M61" s="4">
        <v>71.705947302956289</v>
      </c>
      <c r="N61" s="4">
        <v>-0.53909708799127087</v>
      </c>
      <c r="O61" s="1" t="str">
        <f>HYPERLINK(".\sm_car_250206_1736\sm_car_250206_1736_060_Ca135TrN_MaLSS_ode23t.png","figure")</f>
        <v>figure</v>
      </c>
      <c r="P61" t="s">
        <v>15</v>
      </c>
    </row>
    <row r="62" spans="1:16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23</v>
      </c>
      <c r="K62">
        <v>376</v>
      </c>
      <c r="L62" s="4">
        <v>5.4932806999999997</v>
      </c>
      <c r="M62" s="4">
        <v>232.85099262645983</v>
      </c>
      <c r="N62" s="4">
        <v>6.6161349774340475E-2</v>
      </c>
      <c r="O62" s="1" t="str">
        <f>HYPERLINK(".\sm_car_250206_1736\sm_car_250206_1736_061_Ca136TrN_MaWOT_ode23t.png","figure")</f>
        <v>figure</v>
      </c>
      <c r="P62" t="s">
        <v>15</v>
      </c>
    </row>
    <row r="63" spans="1:16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23</v>
      </c>
      <c r="K63">
        <v>502</v>
      </c>
      <c r="L63" s="4">
        <v>6.6078863999999999</v>
      </c>
      <c r="M63" s="4">
        <v>71.70226006948441</v>
      </c>
      <c r="N63" s="4">
        <v>-0.54191937498423515</v>
      </c>
      <c r="O63" s="1" t="str">
        <f>HYPERLINK(".\sm_car_250206_1736\sm_car_250206_1736_062_Ca136TrN_MaLSS_ode23t.png","figure")</f>
        <v>figure</v>
      </c>
      <c r="P63" t="s">
        <v>15</v>
      </c>
    </row>
    <row r="64" spans="1:16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23</v>
      </c>
      <c r="K64">
        <v>329</v>
      </c>
      <c r="L64" s="4">
        <v>4.0906992999999998</v>
      </c>
      <c r="M64" s="4">
        <v>233.78252806098371</v>
      </c>
      <c r="N64" s="4">
        <v>0.14919135804138126</v>
      </c>
      <c r="O64" s="1" t="str">
        <f>HYPERLINK(".\sm_car_250206_1736\sm_car_250206_1736_063_Ca137TrN_MaWOT_ode23t.png","figure")</f>
        <v>figure</v>
      </c>
      <c r="P64" t="s">
        <v>15</v>
      </c>
    </row>
    <row r="65" spans="1:16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23</v>
      </c>
      <c r="K65">
        <v>479</v>
      </c>
      <c r="L65" s="4">
        <v>4.6998509000000004</v>
      </c>
      <c r="M65" s="4">
        <v>71.983656526723067</v>
      </c>
      <c r="N65" s="4">
        <v>-0.52612193134042107</v>
      </c>
      <c r="O65" s="1" t="str">
        <f>HYPERLINK(".\sm_car_250206_1736\sm_car_250206_1736_064_Ca137TrN_MaLSS_ode23t.png","figure")</f>
        <v>figure</v>
      </c>
      <c r="P65" t="s">
        <v>15</v>
      </c>
    </row>
    <row r="66" spans="1:16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23</v>
      </c>
      <c r="K66">
        <v>328</v>
      </c>
      <c r="L66" s="4">
        <v>5.8675136999999999</v>
      </c>
      <c r="M66" s="4">
        <v>233.67389977633528</v>
      </c>
      <c r="N66" s="4">
        <v>0.15092554809593073</v>
      </c>
      <c r="O66" s="1" t="str">
        <f>HYPERLINK(".\sm_car_250206_1736\sm_car_250206_1736_065_Ca138TrN_MaWOT_ode23t.png","figure")</f>
        <v>figure</v>
      </c>
      <c r="P66" t="s">
        <v>15</v>
      </c>
    </row>
    <row r="67" spans="1:16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23</v>
      </c>
      <c r="K67">
        <v>498</v>
      </c>
      <c r="L67" s="4">
        <v>6.6072877999999999</v>
      </c>
      <c r="M67" s="4">
        <v>71.872564780275951</v>
      </c>
      <c r="N67" s="4">
        <v>-0.84526636453768156</v>
      </c>
      <c r="O67" s="1" t="str">
        <f>HYPERLINK(".\sm_car_250206_1736\sm_car_250206_1736_066_Ca138TrN_MaLSS_ode23t.png","figure")</f>
        <v>figure</v>
      </c>
      <c r="P67" t="s">
        <v>15</v>
      </c>
    </row>
    <row r="68" spans="1:16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23</v>
      </c>
      <c r="K68">
        <v>662</v>
      </c>
      <c r="L68" s="4">
        <v>25.3126517</v>
      </c>
      <c r="M68" s="4">
        <v>411.15192846297958</v>
      </c>
      <c r="N68" s="4">
        <v>1.5358056922720364</v>
      </c>
      <c r="O68" s="1" t="str">
        <f>HYPERLINK(".\sm_car_250206_1736\sm_car_250206_1736_067_Ca139TrN_MaWOT_ode23t.png","figure")</f>
        <v>figure</v>
      </c>
      <c r="P68" t="s">
        <v>15</v>
      </c>
    </row>
    <row r="69" spans="1:16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23</v>
      </c>
      <c r="K69">
        <v>610</v>
      </c>
      <c r="L69" s="4">
        <v>14.571884300000001</v>
      </c>
      <c r="M69" s="4">
        <v>156.99652695610177</v>
      </c>
      <c r="N69" s="4">
        <v>-0.55906958550648445</v>
      </c>
      <c r="O69" s="1" t="str">
        <f>HYPERLINK(".\sm_car_250206_1736\sm_car_250206_1736_068_Ca139TrN_MaLSS_ode23t.png","figure")</f>
        <v>figure</v>
      </c>
      <c r="P69" t="s">
        <v>15</v>
      </c>
    </row>
    <row r="70" spans="1:16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23</v>
      </c>
      <c r="K70">
        <v>1945</v>
      </c>
      <c r="L70" s="4">
        <v>36.274642900000003</v>
      </c>
      <c r="M70" s="4">
        <v>411.26471538392354</v>
      </c>
      <c r="N70" s="4">
        <v>1.5595104337345631</v>
      </c>
      <c r="O70" s="1" t="str">
        <f>HYPERLINK(".\sm_car_250206_1736\sm_car_250206_1736_069_Ca141TrN_MaWOT_ode23t.png","figure")</f>
        <v>figure</v>
      </c>
      <c r="P70" t="s">
        <v>15</v>
      </c>
    </row>
    <row r="71" spans="1:16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23</v>
      </c>
      <c r="K71">
        <v>1803</v>
      </c>
      <c r="L71" s="4">
        <v>23.264882100000001</v>
      </c>
      <c r="M71" s="4">
        <v>157.08224358407671</v>
      </c>
      <c r="N71" s="4">
        <v>-0.56382074239849878</v>
      </c>
      <c r="O71" s="1" t="str">
        <f>HYPERLINK(".\sm_car_250206_1736\sm_car_250206_1736_070_Ca141TrN_MaLSS_ode23t.png","figure")</f>
        <v>figure</v>
      </c>
      <c r="P71" t="s">
        <v>15</v>
      </c>
    </row>
    <row r="72" spans="1:16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23</v>
      </c>
      <c r="K72">
        <v>363</v>
      </c>
      <c r="L72" s="4">
        <v>22.0923886</v>
      </c>
      <c r="M72" s="4">
        <v>96.636882030231945</v>
      </c>
      <c r="N72" s="4">
        <v>-3.9902025272618165E-2</v>
      </c>
      <c r="O72" s="1" t="str">
        <f>HYPERLINK(".\sm_car_250206_1736\sm_car_250206_1736_071_Ca143TrN_MaWOT_ode23t.png","figure")</f>
        <v>figure</v>
      </c>
      <c r="P72" t="s">
        <v>15</v>
      </c>
    </row>
    <row r="73" spans="1:16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23</v>
      </c>
      <c r="K73">
        <v>475</v>
      </c>
      <c r="L73" s="4">
        <v>24.694139499999999</v>
      </c>
      <c r="M73" s="4">
        <v>25.157057932152011</v>
      </c>
      <c r="N73" s="4">
        <v>-5.4695336071389378E-2</v>
      </c>
      <c r="O73" s="1" t="str">
        <f>HYPERLINK(".\sm_car_250206_1736\sm_car_250206_1736_072_Ca143TrN_MaLSS_ode23t.png","figure")</f>
        <v>figure</v>
      </c>
      <c r="P73" t="s">
        <v>15</v>
      </c>
    </row>
    <row r="74" spans="1:16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23</v>
      </c>
      <c r="K74">
        <v>362</v>
      </c>
      <c r="L74" s="4">
        <v>15.9385119</v>
      </c>
      <c r="M74" s="4">
        <v>115.00221230171505</v>
      </c>
      <c r="N74" s="4">
        <v>0.5319914136409708</v>
      </c>
      <c r="O74" s="1" t="str">
        <f>HYPERLINK(".\sm_car_250206_1736\sm_car_250206_1736_073_Ca144TrN_MaWOT_ode23t.png","figure")</f>
        <v>figure</v>
      </c>
      <c r="P74" t="s">
        <v>15</v>
      </c>
    </row>
    <row r="75" spans="1:16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23</v>
      </c>
      <c r="K75">
        <v>485</v>
      </c>
      <c r="L75" s="4">
        <v>17.313237900000001</v>
      </c>
      <c r="M75" s="4">
        <v>35.846760068018867</v>
      </c>
      <c r="N75" s="4">
        <v>-3.5136524543721001E-2</v>
      </c>
      <c r="O75" s="1" t="str">
        <f>HYPERLINK(".\sm_car_250206_1736\sm_car_250206_1736_074_Ca144TrN_MaLSS_ode23t.png","figure")</f>
        <v>figure</v>
      </c>
      <c r="P75" t="s">
        <v>15</v>
      </c>
    </row>
    <row r="76" spans="1:16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23</v>
      </c>
      <c r="K76">
        <v>2641</v>
      </c>
      <c r="L76" s="4">
        <v>28.193275100000001</v>
      </c>
      <c r="M76" s="4">
        <v>401.35543578653414</v>
      </c>
      <c r="N76" s="4">
        <v>-62.324077905216726</v>
      </c>
      <c r="O76" s="1" t="str">
        <f>HYPERLINK(".\sm_car_250206_1736\sm_car_250206_1736_075_Ca147TrN_MaWOT_ode23t.png","figure")</f>
        <v>figure</v>
      </c>
      <c r="P76" t="s">
        <v>15</v>
      </c>
    </row>
    <row r="77" spans="1:16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23</v>
      </c>
      <c r="K77">
        <v>1322</v>
      </c>
      <c r="L77" s="4">
        <v>17.1615872</v>
      </c>
      <c r="M77" s="4">
        <v>155.22519083797965</v>
      </c>
      <c r="N77" s="4">
        <v>-2.6847949614129121</v>
      </c>
      <c r="O77" s="1" t="str">
        <f>HYPERLINK(".\sm_car_250206_1736\sm_car_250206_1736_076_Ca147TrN_MaLSS_ode23t.png","figure")</f>
        <v>figure</v>
      </c>
      <c r="P77" t="s">
        <v>15</v>
      </c>
    </row>
    <row r="78" spans="1:16" x14ac:dyDescent="0.25">
      <c r="A78">
        <v>77</v>
      </c>
      <c r="B78">
        <v>183</v>
      </c>
      <c r="C78" t="s">
        <v>105</v>
      </c>
      <c r="D78" t="s">
        <v>120</v>
      </c>
      <c r="E78" t="s">
        <v>18</v>
      </c>
      <c r="F78" t="s">
        <v>19</v>
      </c>
      <c r="G78" t="s">
        <v>20</v>
      </c>
      <c r="H78" t="s">
        <v>21</v>
      </c>
      <c r="I78" t="s">
        <v>22</v>
      </c>
      <c r="J78" t="s">
        <v>23</v>
      </c>
      <c r="K78">
        <v>1114</v>
      </c>
      <c r="L78" s="4">
        <v>30.565070800000001</v>
      </c>
      <c r="M78" s="4">
        <v>184.7603653750534</v>
      </c>
      <c r="N78" s="4">
        <v>-0.10353680274243335</v>
      </c>
      <c r="O78" s="1" t="str">
        <f>HYPERLINK(".\sm_car_250206_1736\sm_car_250206_1736_077_Ca183TrN_MaWOT_ode23t.png","figure")</f>
        <v>figure</v>
      </c>
      <c r="P78" t="s">
        <v>15</v>
      </c>
    </row>
    <row r="79" spans="1:16" x14ac:dyDescent="0.25">
      <c r="A79">
        <v>78</v>
      </c>
      <c r="B79">
        <v>183</v>
      </c>
      <c r="C79" t="s">
        <v>105</v>
      </c>
      <c r="D79" t="s">
        <v>120</v>
      </c>
      <c r="E79" t="s">
        <v>18</v>
      </c>
      <c r="F79" t="s">
        <v>19</v>
      </c>
      <c r="G79" t="s">
        <v>20</v>
      </c>
      <c r="H79" t="s">
        <v>21</v>
      </c>
      <c r="I79" t="s">
        <v>24</v>
      </c>
      <c r="J79" t="s">
        <v>23</v>
      </c>
      <c r="K79">
        <v>1368</v>
      </c>
      <c r="L79" s="4">
        <v>35.0085221</v>
      </c>
      <c r="M79" s="4">
        <v>57.828129331858662</v>
      </c>
      <c r="N79" s="4">
        <v>6.2787780354160744E-2</v>
      </c>
      <c r="O79" s="1" t="str">
        <f>HYPERLINK(".\sm_car_250206_1736\sm_car_250206_1736_078_Ca183TrN_MaLSS_ode23t.png","figure")</f>
        <v>figure</v>
      </c>
      <c r="P79" t="s">
        <v>15</v>
      </c>
    </row>
    <row r="80" spans="1:16" x14ac:dyDescent="0.25">
      <c r="A80">
        <v>79</v>
      </c>
      <c r="B80">
        <v>8</v>
      </c>
      <c r="C80" t="s">
        <v>16</v>
      </c>
      <c r="D80" t="s">
        <v>17</v>
      </c>
      <c r="E80" t="s">
        <v>49</v>
      </c>
      <c r="F80" t="s">
        <v>19</v>
      </c>
      <c r="G80" t="s">
        <v>20</v>
      </c>
      <c r="H80" t="s">
        <v>21</v>
      </c>
      <c r="I80" t="s">
        <v>22</v>
      </c>
      <c r="J80" t="s">
        <v>23</v>
      </c>
      <c r="K80">
        <v>375</v>
      </c>
      <c r="L80" s="4">
        <v>9.8453298999999994</v>
      </c>
      <c r="M80" s="4">
        <v>233.86976971828531</v>
      </c>
      <c r="N80" s="4">
        <v>8.9658051486492148E-3</v>
      </c>
      <c r="O80" s="1" t="str">
        <f>HYPERLINK(".\sm_car_250206_1736\sm_car_250206_1736_079_Ca008TrN_MaWOT_ode23t_1.png","figure")</f>
        <v>figure</v>
      </c>
      <c r="P80" t="s">
        <v>15</v>
      </c>
    </row>
    <row r="81" spans="1:16" x14ac:dyDescent="0.25">
      <c r="A81">
        <v>80</v>
      </c>
      <c r="B81">
        <v>8</v>
      </c>
      <c r="C81" t="s">
        <v>16</v>
      </c>
      <c r="D81" t="s">
        <v>17</v>
      </c>
      <c r="E81" t="s">
        <v>49</v>
      </c>
      <c r="F81" t="s">
        <v>19</v>
      </c>
      <c r="G81" t="s">
        <v>20</v>
      </c>
      <c r="H81" t="s">
        <v>21</v>
      </c>
      <c r="I81" t="s">
        <v>24</v>
      </c>
      <c r="J81" t="s">
        <v>23</v>
      </c>
      <c r="K81">
        <v>547</v>
      </c>
      <c r="L81" s="4">
        <v>12.5324676</v>
      </c>
      <c r="M81" s="4">
        <v>71.998179171420958</v>
      </c>
      <c r="N81" s="4">
        <v>-0.55189350295400863</v>
      </c>
      <c r="O81" s="1" t="str">
        <f>HYPERLINK(".\sm_car_250206_1736\sm_car_250206_1736_080_Ca008TrN_MaLSS_ode23t_1.png","figure")</f>
        <v>figure</v>
      </c>
      <c r="P81" t="s">
        <v>15</v>
      </c>
    </row>
    <row r="82" spans="1:16" x14ac:dyDescent="0.25">
      <c r="A82">
        <v>81</v>
      </c>
      <c r="B82">
        <v>9</v>
      </c>
      <c r="C82" t="s">
        <v>16</v>
      </c>
      <c r="D82" t="s">
        <v>17</v>
      </c>
      <c r="E82" t="s">
        <v>49</v>
      </c>
      <c r="F82" t="s">
        <v>19</v>
      </c>
      <c r="G82" t="s">
        <v>25</v>
      </c>
      <c r="H82" t="s">
        <v>21</v>
      </c>
      <c r="I82" t="s">
        <v>22</v>
      </c>
      <c r="J82" t="s">
        <v>23</v>
      </c>
      <c r="K82">
        <v>392</v>
      </c>
      <c r="L82" s="4">
        <v>11.820874399999999</v>
      </c>
      <c r="M82" s="4">
        <v>232.8405320962178</v>
      </c>
      <c r="N82" s="4">
        <v>1.1434307811361538E-3</v>
      </c>
      <c r="O82" s="1" t="str">
        <f>HYPERLINK(".\sm_car_250206_1736\sm_car_250206_1736_081_Ca009TrN_MaWOT_ode23t_1.png","figure")</f>
        <v>figure</v>
      </c>
      <c r="P82" t="s">
        <v>15</v>
      </c>
    </row>
    <row r="83" spans="1:16" x14ac:dyDescent="0.25">
      <c r="A83">
        <v>82</v>
      </c>
      <c r="B83">
        <v>9</v>
      </c>
      <c r="C83" t="s">
        <v>16</v>
      </c>
      <c r="D83" t="s">
        <v>17</v>
      </c>
      <c r="E83" t="s">
        <v>49</v>
      </c>
      <c r="F83" t="s">
        <v>19</v>
      </c>
      <c r="G83" t="s">
        <v>25</v>
      </c>
      <c r="H83" t="s">
        <v>21</v>
      </c>
      <c r="I83" t="s">
        <v>24</v>
      </c>
      <c r="J83" t="s">
        <v>23</v>
      </c>
      <c r="K83">
        <v>562</v>
      </c>
      <c r="L83" s="4">
        <v>14.7779738</v>
      </c>
      <c r="M83" s="4">
        <v>71.70550551276213</v>
      </c>
      <c r="N83" s="4">
        <v>-0.54164714500238653</v>
      </c>
      <c r="O83" s="1" t="str">
        <f>HYPERLINK(".\sm_car_250206_1736\sm_car_250206_1736_082_Ca009TrN_MaLSS_ode23t_1.png","figure")</f>
        <v>figure</v>
      </c>
      <c r="P83" t="s">
        <v>15</v>
      </c>
    </row>
    <row r="84" spans="1:16" x14ac:dyDescent="0.25">
      <c r="A84">
        <v>83</v>
      </c>
      <c r="B84">
        <v>10</v>
      </c>
      <c r="C84" t="s">
        <v>16</v>
      </c>
      <c r="D84" t="s">
        <v>17</v>
      </c>
      <c r="E84" t="s">
        <v>49</v>
      </c>
      <c r="F84" t="s">
        <v>19</v>
      </c>
      <c r="G84" t="s">
        <v>26</v>
      </c>
      <c r="H84" t="s">
        <v>21</v>
      </c>
      <c r="I84" t="s">
        <v>22</v>
      </c>
      <c r="J84" t="s">
        <v>23</v>
      </c>
      <c r="K84">
        <v>392</v>
      </c>
      <c r="L84" s="4">
        <v>12.769845999999999</v>
      </c>
      <c r="M84" s="4">
        <v>232.54827384083688</v>
      </c>
      <c r="N84" s="4">
        <v>6.7378893198745321E-2</v>
      </c>
      <c r="O84" s="1" t="str">
        <f>HYPERLINK(".\sm_car_250206_1736\sm_car_250206_1736_083_Ca010TrN_MaWOT_ode23t_1.png","figure")</f>
        <v>figure</v>
      </c>
      <c r="P84" t="s">
        <v>15</v>
      </c>
    </row>
    <row r="85" spans="1:16" x14ac:dyDescent="0.25">
      <c r="A85">
        <v>84</v>
      </c>
      <c r="B85">
        <v>10</v>
      </c>
      <c r="C85" t="s">
        <v>16</v>
      </c>
      <c r="D85" t="s">
        <v>17</v>
      </c>
      <c r="E85" t="s">
        <v>49</v>
      </c>
      <c r="F85" t="s">
        <v>19</v>
      </c>
      <c r="G85" t="s">
        <v>26</v>
      </c>
      <c r="H85" t="s">
        <v>21</v>
      </c>
      <c r="I85" t="s">
        <v>24</v>
      </c>
      <c r="J85" t="s">
        <v>23</v>
      </c>
      <c r="K85">
        <v>546</v>
      </c>
      <c r="L85" s="4">
        <v>16.125028199999999</v>
      </c>
      <c r="M85" s="4">
        <v>71.701962311182143</v>
      </c>
      <c r="N85" s="4">
        <v>-0.54297903486003773</v>
      </c>
      <c r="O85" s="1" t="str">
        <f>HYPERLINK(".\sm_car_250206_1736\sm_car_250206_1736_084_Ca010TrN_MaLSS_ode23t_1.png","figure")</f>
        <v>figure</v>
      </c>
      <c r="P85" t="s">
        <v>15</v>
      </c>
    </row>
    <row r="86" spans="1:16" x14ac:dyDescent="0.25">
      <c r="A86">
        <v>85</v>
      </c>
      <c r="B86">
        <v>11</v>
      </c>
      <c r="C86" t="s">
        <v>16</v>
      </c>
      <c r="D86" t="s">
        <v>17</v>
      </c>
      <c r="E86" t="s">
        <v>49</v>
      </c>
      <c r="F86" t="s">
        <v>19</v>
      </c>
      <c r="G86" t="s">
        <v>27</v>
      </c>
      <c r="H86" t="s">
        <v>21</v>
      </c>
      <c r="I86" t="s">
        <v>22</v>
      </c>
      <c r="J86" t="s">
        <v>23</v>
      </c>
      <c r="K86">
        <v>423</v>
      </c>
      <c r="L86" s="4">
        <v>14.8945487</v>
      </c>
      <c r="M86" s="4">
        <v>232.15540254121032</v>
      </c>
      <c r="N86" s="4">
        <v>6.732745054782048E-2</v>
      </c>
      <c r="O86" s="1" t="str">
        <f>HYPERLINK(".\sm_car_250206_1736\sm_car_250206_1736_085_Ca011TrN_MaWOT_ode23t_1.png","figure")</f>
        <v>figure</v>
      </c>
      <c r="P86" t="s">
        <v>15</v>
      </c>
    </row>
    <row r="87" spans="1:16" x14ac:dyDescent="0.25">
      <c r="A87">
        <v>86</v>
      </c>
      <c r="B87">
        <v>11</v>
      </c>
      <c r="C87" t="s">
        <v>16</v>
      </c>
      <c r="D87" t="s">
        <v>17</v>
      </c>
      <c r="E87" t="s">
        <v>49</v>
      </c>
      <c r="F87" t="s">
        <v>19</v>
      </c>
      <c r="G87" t="s">
        <v>27</v>
      </c>
      <c r="H87" t="s">
        <v>21</v>
      </c>
      <c r="I87" t="s">
        <v>24</v>
      </c>
      <c r="J87" t="s">
        <v>23</v>
      </c>
      <c r="K87">
        <v>560</v>
      </c>
      <c r="L87" s="4">
        <v>17.488535800000001</v>
      </c>
      <c r="M87" s="4">
        <v>71.57246084500504</v>
      </c>
      <c r="N87" s="4">
        <v>-0.53613017112196693</v>
      </c>
      <c r="O87" s="1" t="str">
        <f>HYPERLINK(".\sm_car_250206_1736\sm_car_250206_1736_086_Ca011TrN_MaLSS_ode23t_1.png","figure")</f>
        <v>figure</v>
      </c>
      <c r="P87" t="s">
        <v>15</v>
      </c>
    </row>
    <row r="88" spans="1:16" x14ac:dyDescent="0.25">
      <c r="A88">
        <v>87</v>
      </c>
      <c r="B88">
        <v>12</v>
      </c>
      <c r="C88" t="s">
        <v>16</v>
      </c>
      <c r="D88" t="s">
        <v>17</v>
      </c>
      <c r="E88" t="s">
        <v>49</v>
      </c>
      <c r="F88" t="s">
        <v>28</v>
      </c>
      <c r="G88" t="s">
        <v>20</v>
      </c>
      <c r="H88" t="s">
        <v>21</v>
      </c>
      <c r="I88" t="s">
        <v>22</v>
      </c>
      <c r="J88" t="s">
        <v>23</v>
      </c>
      <c r="K88">
        <v>833</v>
      </c>
      <c r="L88" s="4">
        <v>11.191827200000001</v>
      </c>
      <c r="M88" s="4">
        <v>233.73966058191388</v>
      </c>
      <c r="N88" s="4">
        <v>9.5372185352680088E-3</v>
      </c>
      <c r="O88" s="1" t="str">
        <f>HYPERLINK(".\sm_car_250206_1736\sm_car_250206_1736_087_Ca012TrN_MaWOT_ode23t_1.png","figure")</f>
        <v>figure</v>
      </c>
      <c r="P88" t="s">
        <v>15</v>
      </c>
    </row>
    <row r="89" spans="1:16" x14ac:dyDescent="0.25">
      <c r="A89">
        <v>88</v>
      </c>
      <c r="B89">
        <v>12</v>
      </c>
      <c r="C89" t="s">
        <v>16</v>
      </c>
      <c r="D89" t="s">
        <v>17</v>
      </c>
      <c r="E89" t="s">
        <v>49</v>
      </c>
      <c r="F89" t="s">
        <v>28</v>
      </c>
      <c r="G89" t="s">
        <v>20</v>
      </c>
      <c r="H89" t="s">
        <v>21</v>
      </c>
      <c r="I89" t="s">
        <v>24</v>
      </c>
      <c r="J89" t="s">
        <v>23</v>
      </c>
      <c r="K89">
        <v>989</v>
      </c>
      <c r="L89" s="4">
        <v>13.430505</v>
      </c>
      <c r="M89" s="4">
        <v>71.986000618196485</v>
      </c>
      <c r="N89" s="4">
        <v>-0.55627547156065649</v>
      </c>
      <c r="O89" s="1" t="str">
        <f>HYPERLINK(".\sm_car_250206_1736\sm_car_250206_1736_088_Ca012TrN_MaLSS_ode23t_1.png","figure")</f>
        <v>figure</v>
      </c>
      <c r="P89" t="s">
        <v>15</v>
      </c>
    </row>
    <row r="90" spans="1:16" x14ac:dyDescent="0.25">
      <c r="A90">
        <v>89</v>
      </c>
      <c r="B90">
        <v>13</v>
      </c>
      <c r="C90" t="s">
        <v>16</v>
      </c>
      <c r="D90" t="s">
        <v>17</v>
      </c>
      <c r="E90" t="s">
        <v>49</v>
      </c>
      <c r="F90" t="s">
        <v>28</v>
      </c>
      <c r="G90" t="s">
        <v>25</v>
      </c>
      <c r="H90" t="s">
        <v>21</v>
      </c>
      <c r="I90" t="s">
        <v>22</v>
      </c>
      <c r="J90" t="s">
        <v>23</v>
      </c>
      <c r="K90">
        <v>848</v>
      </c>
      <c r="L90" s="4">
        <v>12.757754200000001</v>
      </c>
      <c r="M90" s="4">
        <v>232.78018270042108</v>
      </c>
      <c r="N90" s="4">
        <v>9.6523549765884116E-4</v>
      </c>
      <c r="O90" s="1" t="str">
        <f>HYPERLINK(".\sm_car_250206_1736\sm_car_250206_1736_089_Ca013TrN_MaWOT_ode23t_1.png","figure")</f>
        <v>figure</v>
      </c>
      <c r="P90" t="s">
        <v>15</v>
      </c>
    </row>
    <row r="91" spans="1:16" x14ac:dyDescent="0.25">
      <c r="A91">
        <v>90</v>
      </c>
      <c r="B91">
        <v>13</v>
      </c>
      <c r="C91" t="s">
        <v>16</v>
      </c>
      <c r="D91" t="s">
        <v>17</v>
      </c>
      <c r="E91" t="s">
        <v>49</v>
      </c>
      <c r="F91" t="s">
        <v>28</v>
      </c>
      <c r="G91" t="s">
        <v>25</v>
      </c>
      <c r="H91" t="s">
        <v>21</v>
      </c>
      <c r="I91" t="s">
        <v>24</v>
      </c>
      <c r="J91" t="s">
        <v>23</v>
      </c>
      <c r="K91">
        <v>1009</v>
      </c>
      <c r="L91" s="4">
        <v>16.693169000000001</v>
      </c>
      <c r="M91" s="4">
        <v>71.698601085418645</v>
      </c>
      <c r="N91" s="4">
        <v>-0.54999606070799167</v>
      </c>
      <c r="O91" s="1" t="str">
        <f>HYPERLINK(".\sm_car_250206_1736\sm_car_250206_1736_090_Ca013TrN_MaLSS_ode23t_1.png","figure")</f>
        <v>figure</v>
      </c>
      <c r="P91" t="s">
        <v>15</v>
      </c>
    </row>
    <row r="92" spans="1:16" x14ac:dyDescent="0.25">
      <c r="A92">
        <v>91</v>
      </c>
      <c r="B92">
        <v>14</v>
      </c>
      <c r="C92" t="s">
        <v>16</v>
      </c>
      <c r="D92" t="s">
        <v>17</v>
      </c>
      <c r="E92" t="s">
        <v>49</v>
      </c>
      <c r="F92" t="s">
        <v>28</v>
      </c>
      <c r="G92" t="s">
        <v>26</v>
      </c>
      <c r="H92" t="s">
        <v>21</v>
      </c>
      <c r="I92" t="s">
        <v>22</v>
      </c>
      <c r="J92" t="s">
        <v>23</v>
      </c>
      <c r="K92">
        <v>899</v>
      </c>
      <c r="L92" s="4">
        <v>13.7485424</v>
      </c>
      <c r="M92" s="4">
        <v>232.712920230577</v>
      </c>
      <c r="N92" s="4">
        <v>6.5944698154461329E-2</v>
      </c>
      <c r="O92" s="1" t="str">
        <f>HYPERLINK(".\sm_car_250206_1736\sm_car_250206_1736_091_Ca014TrN_MaWOT_ode23t_1.png","figure")</f>
        <v>figure</v>
      </c>
      <c r="P92" t="s">
        <v>15</v>
      </c>
    </row>
    <row r="93" spans="1:16" x14ac:dyDescent="0.25">
      <c r="A93">
        <v>92</v>
      </c>
      <c r="B93">
        <v>14</v>
      </c>
      <c r="C93" t="s">
        <v>16</v>
      </c>
      <c r="D93" t="s">
        <v>17</v>
      </c>
      <c r="E93" t="s">
        <v>49</v>
      </c>
      <c r="F93" t="s">
        <v>28</v>
      </c>
      <c r="G93" t="s">
        <v>26</v>
      </c>
      <c r="H93" t="s">
        <v>21</v>
      </c>
      <c r="I93" t="s">
        <v>24</v>
      </c>
      <c r="J93" t="s">
        <v>23</v>
      </c>
      <c r="K93">
        <v>1011</v>
      </c>
      <c r="L93" s="4">
        <v>15.5384001</v>
      </c>
      <c r="M93" s="4">
        <v>71.693111604454742</v>
      </c>
      <c r="N93" s="4">
        <v>-0.54587262638768619</v>
      </c>
      <c r="O93" s="1" t="str">
        <f>HYPERLINK(".\sm_car_250206_1736\sm_car_250206_1736_092_Ca014TrN_MaLSS_ode23t_1.png","figure")</f>
        <v>figure</v>
      </c>
      <c r="P93" t="s">
        <v>15</v>
      </c>
    </row>
    <row r="94" spans="1:16" x14ac:dyDescent="0.25">
      <c r="A94">
        <v>93</v>
      </c>
      <c r="B94">
        <v>15</v>
      </c>
      <c r="C94" t="s">
        <v>16</v>
      </c>
      <c r="D94" t="s">
        <v>17</v>
      </c>
      <c r="E94" t="s">
        <v>49</v>
      </c>
      <c r="F94" t="s">
        <v>28</v>
      </c>
      <c r="G94" t="s">
        <v>27</v>
      </c>
      <c r="H94" t="s">
        <v>21</v>
      </c>
      <c r="I94" t="s">
        <v>22</v>
      </c>
      <c r="J94" t="s">
        <v>23</v>
      </c>
      <c r="K94">
        <v>881</v>
      </c>
      <c r="L94" s="4">
        <v>13.7915346</v>
      </c>
      <c r="M94" s="4">
        <v>232.19282578822552</v>
      </c>
      <c r="N94" s="4">
        <v>6.4214517462832688E-2</v>
      </c>
      <c r="O94" s="1" t="str">
        <f>HYPERLINK(".\sm_car_250206_1736\sm_car_250206_1736_093_Ca015TrN_MaWOT_ode23t_1.png","figure")</f>
        <v>figure</v>
      </c>
      <c r="P94" t="s">
        <v>15</v>
      </c>
    </row>
    <row r="95" spans="1:16" x14ac:dyDescent="0.25">
      <c r="A95">
        <v>94</v>
      </c>
      <c r="B95">
        <v>15</v>
      </c>
      <c r="C95" t="s">
        <v>16</v>
      </c>
      <c r="D95" t="s">
        <v>17</v>
      </c>
      <c r="E95" t="s">
        <v>49</v>
      </c>
      <c r="F95" t="s">
        <v>28</v>
      </c>
      <c r="G95" t="s">
        <v>27</v>
      </c>
      <c r="H95" t="s">
        <v>21</v>
      </c>
      <c r="I95" t="s">
        <v>24</v>
      </c>
      <c r="J95" t="s">
        <v>23</v>
      </c>
      <c r="K95">
        <v>1056</v>
      </c>
      <c r="L95" s="4">
        <v>17.331022900000001</v>
      </c>
      <c r="M95" s="4">
        <v>71.56727599297281</v>
      </c>
      <c r="N95" s="4">
        <v>-0.54067174672355955</v>
      </c>
      <c r="O95" s="1" t="str">
        <f>HYPERLINK(".\sm_car_250206_1736\sm_car_250206_1736_094_Ca015TrN_MaLSS_ode23t_1.png","figure")</f>
        <v>figure</v>
      </c>
      <c r="P95" t="s">
        <v>15</v>
      </c>
    </row>
    <row r="96" spans="1:16" x14ac:dyDescent="0.25">
      <c r="A96">
        <v>95</v>
      </c>
      <c r="B96">
        <v>120</v>
      </c>
      <c r="C96" t="s">
        <v>16</v>
      </c>
      <c r="D96" t="s">
        <v>35</v>
      </c>
      <c r="E96" t="s">
        <v>49</v>
      </c>
      <c r="F96" t="s">
        <v>19</v>
      </c>
      <c r="G96" t="s">
        <v>20</v>
      </c>
      <c r="H96" t="s">
        <v>21</v>
      </c>
      <c r="I96" t="s">
        <v>22</v>
      </c>
      <c r="J96" t="s">
        <v>23</v>
      </c>
      <c r="K96">
        <v>397</v>
      </c>
      <c r="L96" s="4">
        <v>3.4027237000000001</v>
      </c>
      <c r="M96" s="4">
        <v>242.58916330408013</v>
      </c>
      <c r="N96" s="4">
        <v>0.23206014586347745</v>
      </c>
      <c r="O96" s="1" t="str">
        <f>HYPERLINK(".\sm_car_250206_1736\sm_car_250206_1736_095_Ca120TrN_MaWOT_ode23t_1.png","figure")</f>
        <v>figure</v>
      </c>
      <c r="P96" t="s">
        <v>15</v>
      </c>
    </row>
    <row r="97" spans="1:16" x14ac:dyDescent="0.25">
      <c r="A97">
        <v>96</v>
      </c>
      <c r="B97">
        <v>120</v>
      </c>
      <c r="C97" t="s">
        <v>16</v>
      </c>
      <c r="D97" t="s">
        <v>35</v>
      </c>
      <c r="E97" t="s">
        <v>49</v>
      </c>
      <c r="F97" t="s">
        <v>19</v>
      </c>
      <c r="G97" t="s">
        <v>20</v>
      </c>
      <c r="H97" t="s">
        <v>21</v>
      </c>
      <c r="I97" t="s">
        <v>24</v>
      </c>
      <c r="J97" t="s">
        <v>23</v>
      </c>
      <c r="K97">
        <v>529</v>
      </c>
      <c r="L97" s="4">
        <v>3.7847305000000002</v>
      </c>
      <c r="M97" s="4">
        <v>74.667522578058751</v>
      </c>
      <c r="N97" s="4">
        <v>-0.33829686602551789</v>
      </c>
      <c r="O97" s="1" t="str">
        <f>HYPERLINK(".\sm_car_250206_1736\sm_car_250206_1736_096_Ca120TrN_MaLSS_ode23t_1.png","figure")</f>
        <v>figure</v>
      </c>
      <c r="P97" t="s">
        <v>15</v>
      </c>
    </row>
    <row r="98" spans="1:16" x14ac:dyDescent="0.25">
      <c r="A98">
        <v>97</v>
      </c>
      <c r="B98">
        <v>121</v>
      </c>
      <c r="C98" t="s">
        <v>16</v>
      </c>
      <c r="D98" t="s">
        <v>35</v>
      </c>
      <c r="E98" t="s">
        <v>49</v>
      </c>
      <c r="F98" t="s">
        <v>19</v>
      </c>
      <c r="G98" t="s">
        <v>25</v>
      </c>
      <c r="H98" t="s">
        <v>21</v>
      </c>
      <c r="I98" t="s">
        <v>22</v>
      </c>
      <c r="J98" t="s">
        <v>23</v>
      </c>
      <c r="K98">
        <v>387</v>
      </c>
      <c r="L98" s="4">
        <v>3.7792610999999998</v>
      </c>
      <c r="M98" s="4">
        <v>241.53722643581142</v>
      </c>
      <c r="N98" s="4">
        <v>0.22866020255073893</v>
      </c>
      <c r="O98" s="1" t="str">
        <f>HYPERLINK(".\sm_car_250206_1736\sm_car_250206_1736_097_Ca121TrN_MaWOT_ode23t_1.png","figure")</f>
        <v>figure</v>
      </c>
      <c r="P98" t="s">
        <v>15</v>
      </c>
    </row>
    <row r="99" spans="1:16" x14ac:dyDescent="0.25">
      <c r="A99">
        <v>98</v>
      </c>
      <c r="B99">
        <v>121</v>
      </c>
      <c r="C99" t="s">
        <v>16</v>
      </c>
      <c r="D99" t="s">
        <v>35</v>
      </c>
      <c r="E99" t="s">
        <v>49</v>
      </c>
      <c r="F99" t="s">
        <v>19</v>
      </c>
      <c r="G99" t="s">
        <v>25</v>
      </c>
      <c r="H99" t="s">
        <v>21</v>
      </c>
      <c r="I99" t="s">
        <v>24</v>
      </c>
      <c r="J99" t="s">
        <v>23</v>
      </c>
      <c r="K99">
        <v>532</v>
      </c>
      <c r="L99" s="4">
        <v>4.3842933999999998</v>
      </c>
      <c r="M99" s="4">
        <v>74.355769905943291</v>
      </c>
      <c r="N99" s="4">
        <v>-0.33469939118367853</v>
      </c>
      <c r="O99" s="1" t="str">
        <f>HYPERLINK(".\sm_car_250206_1736\sm_car_250206_1736_098_Ca121TrN_MaLSS_ode23t_1.png","figure")</f>
        <v>figure</v>
      </c>
      <c r="P99" t="s">
        <v>15</v>
      </c>
    </row>
    <row r="100" spans="1:16" x14ac:dyDescent="0.25">
      <c r="A100">
        <v>99</v>
      </c>
      <c r="B100">
        <v>122</v>
      </c>
      <c r="C100" t="s">
        <v>16</v>
      </c>
      <c r="D100" t="s">
        <v>35</v>
      </c>
      <c r="E100" t="s">
        <v>49</v>
      </c>
      <c r="F100" t="s">
        <v>19</v>
      </c>
      <c r="G100" t="s">
        <v>26</v>
      </c>
      <c r="H100" t="s">
        <v>21</v>
      </c>
      <c r="I100" t="s">
        <v>22</v>
      </c>
      <c r="J100" t="s">
        <v>23</v>
      </c>
      <c r="K100">
        <v>405</v>
      </c>
      <c r="L100" s="4">
        <v>4.2743675000000003</v>
      </c>
      <c r="M100" s="4">
        <v>241.76376885622159</v>
      </c>
      <c r="N100" s="4">
        <v>0.22876873955799948</v>
      </c>
      <c r="O100" s="1" t="str">
        <f>HYPERLINK(".\sm_car_250206_1736\sm_car_250206_1736_099_Ca122TrN_MaWOT_ode23t_1.png","figure")</f>
        <v>figure</v>
      </c>
      <c r="P100" t="s">
        <v>15</v>
      </c>
    </row>
    <row r="101" spans="1:16" x14ac:dyDescent="0.25">
      <c r="A101">
        <v>100</v>
      </c>
      <c r="B101">
        <v>122</v>
      </c>
      <c r="C101" t="s">
        <v>16</v>
      </c>
      <c r="D101" t="s">
        <v>35</v>
      </c>
      <c r="E101" t="s">
        <v>49</v>
      </c>
      <c r="F101" t="s">
        <v>19</v>
      </c>
      <c r="G101" t="s">
        <v>26</v>
      </c>
      <c r="H101" t="s">
        <v>21</v>
      </c>
      <c r="I101" t="s">
        <v>24</v>
      </c>
      <c r="J101" t="s">
        <v>23</v>
      </c>
      <c r="K101">
        <v>530</v>
      </c>
      <c r="L101" s="4">
        <v>4.7844211999999997</v>
      </c>
      <c r="M101" s="4">
        <v>74.378736888615563</v>
      </c>
      <c r="N101" s="4">
        <v>-0.33216359084440894</v>
      </c>
      <c r="O101" s="1" t="str">
        <f>HYPERLINK(".\sm_car_250206_1736\sm_car_250206_1736_100_Ca122TrN_MaLSS_ode23t_1.png","figure")</f>
        <v>figure</v>
      </c>
      <c r="P101" t="s">
        <v>15</v>
      </c>
    </row>
    <row r="102" spans="1:16" x14ac:dyDescent="0.25">
      <c r="A102">
        <v>101</v>
      </c>
      <c r="B102">
        <v>123</v>
      </c>
      <c r="C102" t="s">
        <v>16</v>
      </c>
      <c r="D102" t="s">
        <v>35</v>
      </c>
      <c r="E102" t="s">
        <v>49</v>
      </c>
      <c r="F102" t="s">
        <v>19</v>
      </c>
      <c r="G102" t="s">
        <v>27</v>
      </c>
      <c r="H102" t="s">
        <v>21</v>
      </c>
      <c r="I102" t="s">
        <v>22</v>
      </c>
      <c r="J102" t="s">
        <v>23</v>
      </c>
      <c r="K102">
        <v>431</v>
      </c>
      <c r="L102" s="4">
        <v>4.3671715000000004</v>
      </c>
      <c r="M102" s="4">
        <v>241.04405694458345</v>
      </c>
      <c r="N102" s="4">
        <v>0.22465404738422975</v>
      </c>
      <c r="O102" s="1" t="str">
        <f>HYPERLINK(".\sm_car_250206_1736\sm_car_250206_1736_101_Ca123TrN_MaWOT_ode23t_1.png","figure")</f>
        <v>figure</v>
      </c>
      <c r="P102" t="s">
        <v>15</v>
      </c>
    </row>
    <row r="103" spans="1:16" x14ac:dyDescent="0.25">
      <c r="A103">
        <v>102</v>
      </c>
      <c r="B103">
        <v>123</v>
      </c>
      <c r="C103" t="s">
        <v>16</v>
      </c>
      <c r="D103" t="s">
        <v>35</v>
      </c>
      <c r="E103" t="s">
        <v>49</v>
      </c>
      <c r="F103" t="s">
        <v>19</v>
      </c>
      <c r="G103" t="s">
        <v>27</v>
      </c>
      <c r="H103" t="s">
        <v>21</v>
      </c>
      <c r="I103" t="s">
        <v>24</v>
      </c>
      <c r="J103" t="s">
        <v>23</v>
      </c>
      <c r="K103">
        <v>534</v>
      </c>
      <c r="L103" s="4">
        <v>4.9333662</v>
      </c>
      <c r="M103" s="4">
        <v>74.214808064949352</v>
      </c>
      <c r="N103" s="4">
        <v>-0.33051331142590662</v>
      </c>
      <c r="O103" s="1" t="str">
        <f>HYPERLINK(".\sm_car_250206_1736\sm_car_250206_1736_102_Ca123TrN_MaLSS_ode23t_1.png","figure")</f>
        <v>figure</v>
      </c>
      <c r="P103" t="s">
        <v>15</v>
      </c>
    </row>
    <row r="104" spans="1:16" x14ac:dyDescent="0.25">
      <c r="A104">
        <v>103</v>
      </c>
      <c r="B104">
        <v>124</v>
      </c>
      <c r="C104" t="s">
        <v>16</v>
      </c>
      <c r="D104" t="s">
        <v>35</v>
      </c>
      <c r="E104" t="s">
        <v>49</v>
      </c>
      <c r="F104" t="s">
        <v>28</v>
      </c>
      <c r="G104" t="s">
        <v>20</v>
      </c>
      <c r="H104" t="s">
        <v>21</v>
      </c>
      <c r="I104" t="s">
        <v>22</v>
      </c>
      <c r="J104" t="s">
        <v>23</v>
      </c>
      <c r="K104">
        <v>1019</v>
      </c>
      <c r="L104" s="4">
        <v>4.4453731999999997</v>
      </c>
      <c r="M104" s="4">
        <v>242.55761770957645</v>
      </c>
      <c r="N104" s="4">
        <v>0.23285190190480581</v>
      </c>
      <c r="O104" s="1" t="str">
        <f>HYPERLINK(".\sm_car_250206_1736\sm_car_250206_1736_103_Ca124TrN_MaWOT_ode23t_1.png","figure")</f>
        <v>figure</v>
      </c>
      <c r="P104" t="s">
        <v>15</v>
      </c>
    </row>
    <row r="105" spans="1:16" x14ac:dyDescent="0.25">
      <c r="A105">
        <v>104</v>
      </c>
      <c r="B105">
        <v>124</v>
      </c>
      <c r="C105" t="s">
        <v>16</v>
      </c>
      <c r="D105" t="s">
        <v>35</v>
      </c>
      <c r="E105" t="s">
        <v>49</v>
      </c>
      <c r="F105" t="s">
        <v>28</v>
      </c>
      <c r="G105" t="s">
        <v>20</v>
      </c>
      <c r="H105" t="s">
        <v>21</v>
      </c>
      <c r="I105" t="s">
        <v>24</v>
      </c>
      <c r="J105" t="s">
        <v>23</v>
      </c>
      <c r="K105">
        <v>1116</v>
      </c>
      <c r="L105" s="4">
        <v>4.9761629000000003</v>
      </c>
      <c r="M105" s="4">
        <v>74.661122266702876</v>
      </c>
      <c r="N105" s="4">
        <v>-0.3413753623276084</v>
      </c>
      <c r="O105" s="1" t="str">
        <f>HYPERLINK(".\sm_car_250206_1736\sm_car_250206_1736_104_Ca124TrN_MaLSS_ode23t_1.png","figure")</f>
        <v>figure</v>
      </c>
      <c r="P105" t="s">
        <v>15</v>
      </c>
    </row>
    <row r="106" spans="1:16" x14ac:dyDescent="0.25">
      <c r="A106">
        <v>105</v>
      </c>
      <c r="B106">
        <v>125</v>
      </c>
      <c r="C106" t="s">
        <v>16</v>
      </c>
      <c r="D106" t="s">
        <v>35</v>
      </c>
      <c r="E106" t="s">
        <v>49</v>
      </c>
      <c r="F106" t="s">
        <v>28</v>
      </c>
      <c r="G106" t="s">
        <v>25</v>
      </c>
      <c r="H106" t="s">
        <v>21</v>
      </c>
      <c r="I106" t="s">
        <v>22</v>
      </c>
      <c r="J106" t="s">
        <v>23</v>
      </c>
      <c r="K106">
        <v>1027</v>
      </c>
      <c r="L106" s="4">
        <v>5.2321277999999998</v>
      </c>
      <c r="M106" s="4">
        <v>241.53786644176284</v>
      </c>
      <c r="N106" s="4">
        <v>0.22947290276390778</v>
      </c>
      <c r="O106" s="1" t="str">
        <f>HYPERLINK(".\sm_car_250206_1736\sm_car_250206_1736_105_Ca125TrN_MaWOT_ode23t_1.png","figure")</f>
        <v>figure</v>
      </c>
      <c r="P106" t="s">
        <v>15</v>
      </c>
    </row>
    <row r="107" spans="1:16" x14ac:dyDescent="0.25">
      <c r="A107">
        <v>106</v>
      </c>
      <c r="B107">
        <v>125</v>
      </c>
      <c r="C107" t="s">
        <v>16</v>
      </c>
      <c r="D107" t="s">
        <v>35</v>
      </c>
      <c r="E107" t="s">
        <v>49</v>
      </c>
      <c r="F107" t="s">
        <v>28</v>
      </c>
      <c r="G107" t="s">
        <v>25</v>
      </c>
      <c r="H107" t="s">
        <v>21</v>
      </c>
      <c r="I107" t="s">
        <v>24</v>
      </c>
      <c r="J107" t="s">
        <v>23</v>
      </c>
      <c r="K107">
        <v>1141</v>
      </c>
      <c r="L107" s="4">
        <v>5.7404440000000001</v>
      </c>
      <c r="M107" s="4">
        <v>74.343355082946488</v>
      </c>
      <c r="N107" s="4">
        <v>-0.33694502066485432</v>
      </c>
      <c r="O107" s="1" t="str">
        <f>HYPERLINK(".\sm_car_250206_1736\sm_car_250206_1736_106_Ca125TrN_MaLSS_ode23t_1.png","figure")</f>
        <v>figure</v>
      </c>
      <c r="P107" t="s">
        <v>15</v>
      </c>
    </row>
    <row r="108" spans="1:16" x14ac:dyDescent="0.25">
      <c r="A108">
        <v>107</v>
      </c>
      <c r="B108">
        <v>126</v>
      </c>
      <c r="C108" t="s">
        <v>16</v>
      </c>
      <c r="D108" t="s">
        <v>35</v>
      </c>
      <c r="E108" t="s">
        <v>49</v>
      </c>
      <c r="F108" t="s">
        <v>28</v>
      </c>
      <c r="G108" t="s">
        <v>26</v>
      </c>
      <c r="H108" t="s">
        <v>21</v>
      </c>
      <c r="I108" t="s">
        <v>22</v>
      </c>
      <c r="J108" t="s">
        <v>23</v>
      </c>
      <c r="K108">
        <v>1018</v>
      </c>
      <c r="L108" s="4">
        <v>5.2522320000000002</v>
      </c>
      <c r="M108" s="4">
        <v>241.64204533132889</v>
      </c>
      <c r="N108" s="4">
        <v>0.22965892686082337</v>
      </c>
      <c r="O108" s="1" t="str">
        <f>HYPERLINK(".\sm_car_250206_1736\sm_car_250206_1736_107_Ca126TrN_MaWOT_ode23t_1.png","figure")</f>
        <v>figure</v>
      </c>
      <c r="P108" t="s">
        <v>15</v>
      </c>
    </row>
    <row r="109" spans="1:16" x14ac:dyDescent="0.25">
      <c r="A109">
        <v>108</v>
      </c>
      <c r="B109">
        <v>126</v>
      </c>
      <c r="C109" t="s">
        <v>16</v>
      </c>
      <c r="D109" t="s">
        <v>35</v>
      </c>
      <c r="E109" t="s">
        <v>49</v>
      </c>
      <c r="F109" t="s">
        <v>28</v>
      </c>
      <c r="G109" t="s">
        <v>26</v>
      </c>
      <c r="H109" t="s">
        <v>21</v>
      </c>
      <c r="I109" t="s">
        <v>24</v>
      </c>
      <c r="J109" t="s">
        <v>23</v>
      </c>
      <c r="K109">
        <v>1151</v>
      </c>
      <c r="L109" s="4">
        <v>6.1417675000000003</v>
      </c>
      <c r="M109" s="4">
        <v>74.347326671342458</v>
      </c>
      <c r="N109" s="4">
        <v>-0.33732578239034305</v>
      </c>
      <c r="O109" s="1" t="str">
        <f>HYPERLINK(".\sm_car_250206_1736\sm_car_250206_1736_108_Ca126TrN_MaLSS_ode23t_1.png","figure")</f>
        <v>figure</v>
      </c>
      <c r="P109" t="s">
        <v>15</v>
      </c>
    </row>
    <row r="110" spans="1:16" x14ac:dyDescent="0.25">
      <c r="A110">
        <v>109</v>
      </c>
      <c r="B110">
        <v>127</v>
      </c>
      <c r="C110" t="s">
        <v>16</v>
      </c>
      <c r="D110" t="s">
        <v>35</v>
      </c>
      <c r="E110" t="s">
        <v>49</v>
      </c>
      <c r="F110" t="s">
        <v>28</v>
      </c>
      <c r="G110" t="s">
        <v>27</v>
      </c>
      <c r="H110" t="s">
        <v>21</v>
      </c>
      <c r="I110" t="s">
        <v>22</v>
      </c>
      <c r="J110" t="s">
        <v>23</v>
      </c>
      <c r="K110">
        <v>1035</v>
      </c>
      <c r="L110" s="4">
        <v>5.6221410000000001</v>
      </c>
      <c r="M110" s="4">
        <v>240.98541858051379</v>
      </c>
      <c r="N110" s="4">
        <v>0.22848460953038752</v>
      </c>
      <c r="O110" s="1" t="str">
        <f>HYPERLINK(".\sm_car_250206_1736\sm_car_250206_1736_109_Ca127TrN_MaWOT_ode23t_1.png","figure")</f>
        <v>figure</v>
      </c>
      <c r="P110" t="s">
        <v>15</v>
      </c>
    </row>
    <row r="111" spans="1:16" x14ac:dyDescent="0.25">
      <c r="A111">
        <v>110</v>
      </c>
      <c r="B111">
        <v>127</v>
      </c>
      <c r="C111" t="s">
        <v>16</v>
      </c>
      <c r="D111" t="s">
        <v>35</v>
      </c>
      <c r="E111" t="s">
        <v>49</v>
      </c>
      <c r="F111" t="s">
        <v>28</v>
      </c>
      <c r="G111" t="s">
        <v>27</v>
      </c>
      <c r="H111" t="s">
        <v>21</v>
      </c>
      <c r="I111" t="s">
        <v>24</v>
      </c>
      <c r="J111" t="s">
        <v>23</v>
      </c>
      <c r="K111">
        <v>1180</v>
      </c>
      <c r="L111" s="4">
        <v>7.0414066999999996</v>
      </c>
      <c r="M111" s="4">
        <v>74.198264424383652</v>
      </c>
      <c r="N111" s="4">
        <v>-0.33249740088861457</v>
      </c>
      <c r="O111" s="1" t="str">
        <f>HYPERLINK(".\sm_car_250206_1736\sm_car_250206_1736_110_Ca127TrN_MaLSS_ode23t_1.png","figure")</f>
        <v>figure</v>
      </c>
      <c r="P111" t="s">
        <v>15</v>
      </c>
    </row>
    <row r="112" spans="1:16" x14ac:dyDescent="0.25">
      <c r="A112">
        <v>111</v>
      </c>
      <c r="B112">
        <v>140</v>
      </c>
      <c r="C112" t="s">
        <v>45</v>
      </c>
      <c r="D112" t="s">
        <v>17</v>
      </c>
      <c r="E112" t="s">
        <v>49</v>
      </c>
      <c r="F112" t="s">
        <v>19</v>
      </c>
      <c r="G112" t="s">
        <v>26</v>
      </c>
      <c r="H112" t="s">
        <v>21</v>
      </c>
      <c r="I112" t="s">
        <v>22</v>
      </c>
      <c r="J112" t="s">
        <v>23</v>
      </c>
      <c r="K112">
        <v>662</v>
      </c>
      <c r="L112" s="4">
        <v>35.736402300000002</v>
      </c>
      <c r="M112" s="4">
        <v>410.93483135990408</v>
      </c>
      <c r="N112" s="4">
        <v>1.7109420269155695</v>
      </c>
      <c r="O112" s="1" t="str">
        <f>HYPERLINK(".\sm_car_250206_1736\sm_car_250206_1736_111_Ca140TrN_MaWOT_ode23t_1.png","figure")</f>
        <v>figure</v>
      </c>
      <c r="P112" t="s">
        <v>15</v>
      </c>
    </row>
    <row r="113" spans="1:16" x14ac:dyDescent="0.25">
      <c r="A113">
        <v>112</v>
      </c>
      <c r="B113">
        <v>140</v>
      </c>
      <c r="C113" t="s">
        <v>45</v>
      </c>
      <c r="D113" t="s">
        <v>17</v>
      </c>
      <c r="E113" t="s">
        <v>49</v>
      </c>
      <c r="F113" t="s">
        <v>19</v>
      </c>
      <c r="G113" t="s">
        <v>26</v>
      </c>
      <c r="H113" t="s">
        <v>21</v>
      </c>
      <c r="I113" t="s">
        <v>24</v>
      </c>
      <c r="J113" t="s">
        <v>23</v>
      </c>
      <c r="K113">
        <v>646</v>
      </c>
      <c r="L113" s="4">
        <v>22.434216200000002</v>
      </c>
      <c r="M113" s="4">
        <v>157.00194538416616</v>
      </c>
      <c r="N113" s="4">
        <v>-0.57236255214365084</v>
      </c>
      <c r="O113" s="1" t="str">
        <f>HYPERLINK(".\sm_car_250206_1736\sm_car_250206_1736_112_Ca140TrN_MaLSS_ode23t_1.png","figure")</f>
        <v>figure</v>
      </c>
      <c r="P113" t="s">
        <v>15</v>
      </c>
    </row>
    <row r="114" spans="1:16" x14ac:dyDescent="0.25">
      <c r="A114">
        <v>113</v>
      </c>
      <c r="B114">
        <v>142</v>
      </c>
      <c r="C114" t="s">
        <v>45</v>
      </c>
      <c r="D114" t="s">
        <v>17</v>
      </c>
      <c r="E114" t="s">
        <v>49</v>
      </c>
      <c r="F114" t="s">
        <v>28</v>
      </c>
      <c r="G114" t="s">
        <v>26</v>
      </c>
      <c r="H114" t="s">
        <v>21</v>
      </c>
      <c r="I114" t="s">
        <v>22</v>
      </c>
      <c r="J114" t="s">
        <v>23</v>
      </c>
      <c r="K114">
        <v>1165</v>
      </c>
      <c r="L114" s="4">
        <v>30.545623800000001</v>
      </c>
      <c r="M114" s="4">
        <v>411.27089671184808</v>
      </c>
      <c r="N114" s="4">
        <v>1.570047108914068</v>
      </c>
      <c r="O114" s="1" t="str">
        <f>HYPERLINK(".\sm_car_250206_1736\sm_car_250206_1736_113_Ca142TrN_MaWOT_ode23t_1.png","figure")</f>
        <v>figure</v>
      </c>
      <c r="P114" t="s">
        <v>15</v>
      </c>
    </row>
    <row r="115" spans="1:16" x14ac:dyDescent="0.25">
      <c r="A115">
        <v>114</v>
      </c>
      <c r="B115">
        <v>142</v>
      </c>
      <c r="C115" t="s">
        <v>45</v>
      </c>
      <c r="D115" t="s">
        <v>17</v>
      </c>
      <c r="E115" t="s">
        <v>49</v>
      </c>
      <c r="F115" t="s">
        <v>28</v>
      </c>
      <c r="G115" t="s">
        <v>26</v>
      </c>
      <c r="H115" t="s">
        <v>21</v>
      </c>
      <c r="I115" t="s">
        <v>24</v>
      </c>
      <c r="J115" t="s">
        <v>23</v>
      </c>
      <c r="K115">
        <v>1186</v>
      </c>
      <c r="L115" s="4">
        <v>22.166906300000001</v>
      </c>
      <c r="M115" s="4">
        <v>157.10142600262159</v>
      </c>
      <c r="N115" s="4">
        <v>-0.5727290220166219</v>
      </c>
      <c r="O115" s="1" t="str">
        <f>HYPERLINK(".\sm_car_250206_1736\sm_car_250206_1736_114_Ca142TrN_MaLSS_ode23t_1.png","figure")</f>
        <v>figure</v>
      </c>
      <c r="P115" t="s">
        <v>15</v>
      </c>
    </row>
    <row r="116" spans="1:16" x14ac:dyDescent="0.25">
      <c r="A116">
        <v>115</v>
      </c>
      <c r="B116">
        <v>145</v>
      </c>
      <c r="C116" t="s">
        <v>46</v>
      </c>
      <c r="D116" t="s">
        <v>17</v>
      </c>
      <c r="E116" t="s">
        <v>50</v>
      </c>
      <c r="F116" t="s">
        <v>19</v>
      </c>
      <c r="G116" t="s">
        <v>26</v>
      </c>
      <c r="H116" t="s">
        <v>21</v>
      </c>
      <c r="I116" t="s">
        <v>22</v>
      </c>
      <c r="J116" t="s">
        <v>23</v>
      </c>
      <c r="K116">
        <v>350</v>
      </c>
      <c r="L116" s="4">
        <v>13.657622</v>
      </c>
      <c r="M116" s="4">
        <v>96.552477952214943</v>
      </c>
      <c r="N116" s="4">
        <v>-4.0206543066479437E-2</v>
      </c>
      <c r="O116" s="1" t="str">
        <f>HYPERLINK(".\sm_car_250206_1736\sm_car_250206_1736_115_Ca145TrN_MaWOT_ode23t_1.png","figure")</f>
        <v>figure</v>
      </c>
      <c r="P116" t="s">
        <v>15</v>
      </c>
    </row>
    <row r="117" spans="1:16" x14ac:dyDescent="0.25">
      <c r="A117">
        <v>116</v>
      </c>
      <c r="B117">
        <v>145</v>
      </c>
      <c r="C117" t="s">
        <v>46</v>
      </c>
      <c r="D117" t="s">
        <v>17</v>
      </c>
      <c r="E117" t="s">
        <v>50</v>
      </c>
      <c r="F117" t="s">
        <v>19</v>
      </c>
      <c r="G117" t="s">
        <v>26</v>
      </c>
      <c r="H117" t="s">
        <v>21</v>
      </c>
      <c r="I117" t="s">
        <v>24</v>
      </c>
      <c r="J117" t="s">
        <v>23</v>
      </c>
      <c r="K117">
        <v>465</v>
      </c>
      <c r="L117" s="4">
        <v>16.135594000000001</v>
      </c>
      <c r="M117" s="4">
        <v>25.154111870493949</v>
      </c>
      <c r="N117" s="4">
        <v>-4.9510602048658467E-2</v>
      </c>
      <c r="O117" s="1" t="str">
        <f>HYPERLINK(".\sm_car_250206_1736\sm_car_250206_1736_116_Ca145TrN_MaLSS_ode23t_1.png","figure")</f>
        <v>figure</v>
      </c>
      <c r="P117" t="s">
        <v>15</v>
      </c>
    </row>
    <row r="118" spans="1:16" x14ac:dyDescent="0.25">
      <c r="A118">
        <v>117</v>
      </c>
      <c r="B118">
        <v>146</v>
      </c>
      <c r="C118" t="s">
        <v>46</v>
      </c>
      <c r="D118" t="s">
        <v>17</v>
      </c>
      <c r="E118" t="s">
        <v>49</v>
      </c>
      <c r="F118" t="s">
        <v>19</v>
      </c>
      <c r="G118" t="s">
        <v>26</v>
      </c>
      <c r="H118" t="s">
        <v>21</v>
      </c>
      <c r="I118" t="s">
        <v>22</v>
      </c>
      <c r="J118" t="s">
        <v>23</v>
      </c>
      <c r="K118">
        <v>346</v>
      </c>
      <c r="L118" s="4">
        <v>11.137339900000001</v>
      </c>
      <c r="M118" s="4">
        <v>114.95265147472317</v>
      </c>
      <c r="N118" s="4">
        <v>0.53532310439773789</v>
      </c>
      <c r="O118" s="1" t="str">
        <f>HYPERLINK(".\sm_car_250206_1736\sm_car_250206_1736_117_Ca146TrN_MaWOT_ode23t_1.png","figure")</f>
        <v>figure</v>
      </c>
      <c r="P118" t="s">
        <v>15</v>
      </c>
    </row>
    <row r="119" spans="1:16" x14ac:dyDescent="0.25">
      <c r="A119">
        <v>118</v>
      </c>
      <c r="B119">
        <v>146</v>
      </c>
      <c r="C119" t="s">
        <v>46</v>
      </c>
      <c r="D119" t="s">
        <v>17</v>
      </c>
      <c r="E119" t="s">
        <v>49</v>
      </c>
      <c r="F119" t="s">
        <v>19</v>
      </c>
      <c r="G119" t="s">
        <v>26</v>
      </c>
      <c r="H119" t="s">
        <v>21</v>
      </c>
      <c r="I119" t="s">
        <v>24</v>
      </c>
      <c r="J119" t="s">
        <v>23</v>
      </c>
      <c r="K119">
        <v>481</v>
      </c>
      <c r="L119" s="4">
        <v>13.2388393</v>
      </c>
      <c r="M119" s="4">
        <v>35.843027837067069</v>
      </c>
      <c r="N119" s="4">
        <v>-3.0477329977473693E-2</v>
      </c>
      <c r="O119" s="1" t="str">
        <f>HYPERLINK(".\sm_car_250206_1736\sm_car_250206_1736_118_Ca146TrN_MaLSS_ode23t_1.png","figure")</f>
        <v>figure</v>
      </c>
      <c r="P119" t="s">
        <v>15</v>
      </c>
    </row>
    <row r="120" spans="1:16" x14ac:dyDescent="0.25">
      <c r="A120">
        <v>119</v>
      </c>
      <c r="B120">
        <v>146</v>
      </c>
      <c r="C120" t="s">
        <v>46</v>
      </c>
      <c r="D120" t="s">
        <v>17</v>
      </c>
      <c r="E120" t="s">
        <v>49</v>
      </c>
      <c r="F120" t="s">
        <v>19</v>
      </c>
      <c r="G120" t="s">
        <v>26</v>
      </c>
      <c r="H120" t="s">
        <v>21</v>
      </c>
      <c r="I120" t="s">
        <v>22</v>
      </c>
      <c r="J120" t="s">
        <v>23</v>
      </c>
      <c r="K120">
        <v>346</v>
      </c>
      <c r="L120" s="4">
        <v>10.778553799999999</v>
      </c>
      <c r="M120" s="4">
        <v>114.95265147472317</v>
      </c>
      <c r="N120" s="4">
        <v>0.53532310439773789</v>
      </c>
      <c r="O120" s="1" t="str">
        <f>HYPERLINK(".\sm_car_250206_1736\sm_car_250206_1736_119_Ca146TrN_MaWOT_ode23t_1.png","figure")</f>
        <v>figure</v>
      </c>
      <c r="P120" t="s">
        <v>15</v>
      </c>
    </row>
    <row r="121" spans="1:16" x14ac:dyDescent="0.25">
      <c r="A121">
        <v>120</v>
      </c>
      <c r="B121">
        <v>146</v>
      </c>
      <c r="C121" t="s">
        <v>46</v>
      </c>
      <c r="D121" t="s">
        <v>17</v>
      </c>
      <c r="E121" t="s">
        <v>49</v>
      </c>
      <c r="F121" t="s">
        <v>19</v>
      </c>
      <c r="G121" t="s">
        <v>26</v>
      </c>
      <c r="H121" t="s">
        <v>21</v>
      </c>
      <c r="I121" t="s">
        <v>24</v>
      </c>
      <c r="J121" t="s">
        <v>23</v>
      </c>
      <c r="K121">
        <v>481</v>
      </c>
      <c r="L121" s="4">
        <v>13.6467987</v>
      </c>
      <c r="M121" s="4">
        <v>35.843027837067069</v>
      </c>
      <c r="N121" s="4">
        <v>-3.0477329977473693E-2</v>
      </c>
      <c r="O121" s="1" t="str">
        <f>HYPERLINK(".\sm_car_250206_1736\sm_car_250206_1736_120_Ca146TrN_MaLSS_ode23t_1.png","figure")</f>
        <v>figure</v>
      </c>
      <c r="P121" t="s">
        <v>15</v>
      </c>
    </row>
    <row r="122" spans="1:16" x14ac:dyDescent="0.25">
      <c r="A122">
        <v>121</v>
      </c>
      <c r="B122">
        <v>161</v>
      </c>
      <c r="C122" t="s">
        <v>45</v>
      </c>
      <c r="D122" t="s">
        <v>51</v>
      </c>
      <c r="E122" t="s">
        <v>49</v>
      </c>
      <c r="F122" t="s">
        <v>19</v>
      </c>
      <c r="G122" t="s">
        <v>26</v>
      </c>
      <c r="H122" t="s">
        <v>21</v>
      </c>
      <c r="I122" t="s">
        <v>22</v>
      </c>
      <c r="J122" t="s">
        <v>23</v>
      </c>
      <c r="K122">
        <v>541</v>
      </c>
      <c r="L122" s="4">
        <v>25.783042200000001</v>
      </c>
      <c r="M122" s="4">
        <v>182.85425636276986</v>
      </c>
      <c r="N122" s="4">
        <v>0.28483230272558668</v>
      </c>
      <c r="O122" s="1" t="str">
        <f>HYPERLINK(".\sm_car_250206_1736\sm_car_250206_1736_121_Ca161TrN_MaWOT_ode23t_1.png","figure")</f>
        <v>figure</v>
      </c>
      <c r="P122" t="s">
        <v>15</v>
      </c>
    </row>
    <row r="123" spans="1:16" x14ac:dyDescent="0.25">
      <c r="A123">
        <v>122</v>
      </c>
      <c r="B123">
        <v>161</v>
      </c>
      <c r="C123" t="s">
        <v>45</v>
      </c>
      <c r="D123" t="s">
        <v>51</v>
      </c>
      <c r="E123" t="s">
        <v>49</v>
      </c>
      <c r="F123" t="s">
        <v>19</v>
      </c>
      <c r="G123" t="s">
        <v>26</v>
      </c>
      <c r="H123" t="s">
        <v>21</v>
      </c>
      <c r="I123" t="s">
        <v>24</v>
      </c>
      <c r="J123" t="s">
        <v>23</v>
      </c>
      <c r="K123">
        <v>701</v>
      </c>
      <c r="L123" s="4">
        <v>30.3974978</v>
      </c>
      <c r="M123" s="4">
        <v>156.81825252213667</v>
      </c>
      <c r="N123" s="4">
        <v>-0.5338770987818372</v>
      </c>
      <c r="O123" s="1" t="str">
        <f>HYPERLINK(".\sm_car_250206_1736\sm_car_250206_1736_122_Ca161TrN_MaLSS_ode23t_1.png","figure")</f>
        <v>figure</v>
      </c>
      <c r="P123" t="s">
        <v>15</v>
      </c>
    </row>
    <row r="124" spans="1:16" x14ac:dyDescent="0.25">
      <c r="A124">
        <v>123</v>
      </c>
      <c r="B124">
        <v>163</v>
      </c>
      <c r="C124" t="s">
        <v>45</v>
      </c>
      <c r="D124" t="s">
        <v>52</v>
      </c>
      <c r="E124" t="s">
        <v>49</v>
      </c>
      <c r="F124" t="s">
        <v>19</v>
      </c>
      <c r="G124" t="s">
        <v>26</v>
      </c>
      <c r="H124" t="s">
        <v>21</v>
      </c>
      <c r="I124" t="s">
        <v>22</v>
      </c>
      <c r="J124" t="s">
        <v>23</v>
      </c>
      <c r="K124">
        <v>617</v>
      </c>
      <c r="L124" s="4">
        <v>30.6293273</v>
      </c>
      <c r="M124" s="4">
        <v>281.95836733716334</v>
      </c>
      <c r="N124" s="4">
        <v>0.70898348927413557</v>
      </c>
      <c r="O124" s="1" t="str">
        <f>HYPERLINK(".\sm_car_250206_1736\sm_car_250206_1736_123_Ca163TrN_MaWOT_ode23t_1.png","figure")</f>
        <v>figure</v>
      </c>
      <c r="P124" t="s">
        <v>15</v>
      </c>
    </row>
    <row r="125" spans="1:16" x14ac:dyDescent="0.25">
      <c r="A125">
        <v>124</v>
      </c>
      <c r="B125">
        <v>163</v>
      </c>
      <c r="C125" t="s">
        <v>45</v>
      </c>
      <c r="D125" t="s">
        <v>52</v>
      </c>
      <c r="E125" t="s">
        <v>49</v>
      </c>
      <c r="F125" t="s">
        <v>19</v>
      </c>
      <c r="G125" t="s">
        <v>26</v>
      </c>
      <c r="H125" t="s">
        <v>21</v>
      </c>
      <c r="I125" t="s">
        <v>24</v>
      </c>
      <c r="J125" t="s">
        <v>23</v>
      </c>
      <c r="K125">
        <v>807</v>
      </c>
      <c r="L125" s="4">
        <v>37.371609599999999</v>
      </c>
      <c r="M125" s="4">
        <v>260.48931633252761</v>
      </c>
      <c r="N125" s="4">
        <v>-0.46255389456480395</v>
      </c>
      <c r="O125" s="1" t="str">
        <f>HYPERLINK(".\sm_car_250206_1736\sm_car_250206_1736_124_Ca163TrN_MaLSS_ode23t_1.png","figure")</f>
        <v>figure</v>
      </c>
      <c r="P125" t="s">
        <v>15</v>
      </c>
    </row>
    <row r="126" spans="1:16" x14ac:dyDescent="0.25">
      <c r="A126">
        <v>125</v>
      </c>
      <c r="B126">
        <v>184</v>
      </c>
      <c r="C126" t="s">
        <v>105</v>
      </c>
      <c r="D126" t="s">
        <v>120</v>
      </c>
      <c r="E126" t="s">
        <v>49</v>
      </c>
      <c r="F126" t="s">
        <v>19</v>
      </c>
      <c r="G126" t="s">
        <v>20</v>
      </c>
      <c r="H126" t="s">
        <v>21</v>
      </c>
      <c r="I126" t="s">
        <v>22</v>
      </c>
      <c r="J126" t="s">
        <v>23</v>
      </c>
      <c r="K126">
        <v>312</v>
      </c>
      <c r="L126" s="4">
        <v>13.9106627</v>
      </c>
      <c r="M126" s="4">
        <v>313.20764426401524</v>
      </c>
      <c r="N126" s="4">
        <v>-9.296864979650392E-4</v>
      </c>
      <c r="O126" s="1" t="str">
        <f>HYPERLINK(".\sm_car_250206_1736\sm_car_250206_1736_125_Ca184TrN_MaWOT_ode23t_1.png","figure")</f>
        <v>figure</v>
      </c>
      <c r="P126" t="s">
        <v>15</v>
      </c>
    </row>
    <row r="127" spans="1:16" x14ac:dyDescent="0.25">
      <c r="A127">
        <v>126</v>
      </c>
      <c r="B127">
        <v>184</v>
      </c>
      <c r="C127" t="s">
        <v>105</v>
      </c>
      <c r="D127" t="s">
        <v>120</v>
      </c>
      <c r="E127" t="s">
        <v>49</v>
      </c>
      <c r="F127" t="s">
        <v>19</v>
      </c>
      <c r="G127" t="s">
        <v>20</v>
      </c>
      <c r="H127" t="s">
        <v>21</v>
      </c>
      <c r="I127" t="s">
        <v>24</v>
      </c>
      <c r="J127" t="s">
        <v>23</v>
      </c>
      <c r="K127">
        <v>483</v>
      </c>
      <c r="L127" s="4">
        <v>12.1484401</v>
      </c>
      <c r="M127" s="4">
        <v>112.4352365174236</v>
      </c>
      <c r="N127" s="4">
        <v>-0.20086556593474311</v>
      </c>
      <c r="O127" s="1" t="str">
        <f>HYPERLINK(".\sm_car_250206_1736\sm_car_250206_1736_126_Ca184TrN_MaLSS_ode23t_1.png","figure")</f>
        <v>figure</v>
      </c>
      <c r="P127" t="s">
        <v>15</v>
      </c>
    </row>
    <row r="128" spans="1:16" x14ac:dyDescent="0.25">
      <c r="A128">
        <v>127</v>
      </c>
      <c r="B128">
        <v>217</v>
      </c>
      <c r="C128" t="s">
        <v>45</v>
      </c>
      <c r="D128" t="s">
        <v>17</v>
      </c>
      <c r="E128" t="s">
        <v>107</v>
      </c>
      <c r="F128" t="s">
        <v>119</v>
      </c>
      <c r="G128" t="s">
        <v>26</v>
      </c>
      <c r="H128" t="s">
        <v>21</v>
      </c>
      <c r="I128" t="s">
        <v>22</v>
      </c>
      <c r="J128" t="s">
        <v>23</v>
      </c>
      <c r="K128">
        <v>728</v>
      </c>
      <c r="L128" s="4">
        <v>32.333155300000001</v>
      </c>
      <c r="M128" s="4">
        <v>282.96848596141598</v>
      </c>
      <c r="N128" s="4">
        <v>0.76135146782750796</v>
      </c>
      <c r="O128" s="1" t="str">
        <f>HYPERLINK(".\sm_car_250206_1736\sm_car_250206_1736_127_Ca217TrN_MaWOT_ode23t_1.png","figure")</f>
        <v>figure</v>
      </c>
      <c r="P128" t="s">
        <v>15</v>
      </c>
    </row>
    <row r="129" spans="1:16" x14ac:dyDescent="0.25">
      <c r="A129">
        <v>128</v>
      </c>
      <c r="B129">
        <v>217</v>
      </c>
      <c r="C129" t="s">
        <v>45</v>
      </c>
      <c r="D129" t="s">
        <v>17</v>
      </c>
      <c r="E129" t="s">
        <v>107</v>
      </c>
      <c r="F129" t="s">
        <v>119</v>
      </c>
      <c r="G129" t="s">
        <v>26</v>
      </c>
      <c r="H129" t="s">
        <v>21</v>
      </c>
      <c r="I129" t="s">
        <v>24</v>
      </c>
      <c r="J129" t="s">
        <v>23</v>
      </c>
      <c r="K129">
        <v>854</v>
      </c>
      <c r="L129" s="4">
        <v>33.638060899999999</v>
      </c>
      <c r="M129" s="4">
        <v>111.8943632511794</v>
      </c>
      <c r="N129" s="4">
        <v>-0.37074600655286855</v>
      </c>
      <c r="O129" s="1" t="str">
        <f>HYPERLINK(".\sm_car_250206_1736\sm_car_250206_1736_128_Ca217TrN_MaLSS_ode23t_1.png","figure")</f>
        <v>figure</v>
      </c>
      <c r="P129" t="s">
        <v>15</v>
      </c>
    </row>
    <row r="130" spans="1:16" x14ac:dyDescent="0.25">
      <c r="A130">
        <v>129</v>
      </c>
      <c r="B130">
        <v>12</v>
      </c>
      <c r="C130" t="s">
        <v>16</v>
      </c>
      <c r="D130" t="s">
        <v>17</v>
      </c>
      <c r="E130" t="s">
        <v>49</v>
      </c>
      <c r="F130" t="s">
        <v>28</v>
      </c>
      <c r="G130" t="s">
        <v>20</v>
      </c>
      <c r="H130" t="s">
        <v>21</v>
      </c>
      <c r="I130" t="s">
        <v>53</v>
      </c>
      <c r="J130" t="s">
        <v>23</v>
      </c>
      <c r="K130">
        <v>787</v>
      </c>
      <c r="L130" s="4">
        <v>13.742179</v>
      </c>
      <c r="M130" s="4">
        <v>253.22864505582618</v>
      </c>
      <c r="N130" s="4">
        <v>4.2339270409521568E-3</v>
      </c>
      <c r="O130" s="1" t="str">
        <f>HYPERLINK(".\sm_car_250206_1736\sm_car_250206_1736_129_Ca012TrN_MaDLC_ode23t_1.png","figure")</f>
        <v>figure</v>
      </c>
      <c r="P130" t="s">
        <v>15</v>
      </c>
    </row>
    <row r="131" spans="1:16" x14ac:dyDescent="0.25">
      <c r="A131">
        <v>130</v>
      </c>
      <c r="B131">
        <v>12</v>
      </c>
      <c r="C131" t="s">
        <v>16</v>
      </c>
      <c r="D131" t="s">
        <v>17</v>
      </c>
      <c r="E131" t="s">
        <v>49</v>
      </c>
      <c r="F131" t="s">
        <v>28</v>
      </c>
      <c r="G131" t="s">
        <v>20</v>
      </c>
      <c r="H131" t="s">
        <v>21</v>
      </c>
      <c r="I131" t="s">
        <v>54</v>
      </c>
      <c r="J131" t="s">
        <v>23</v>
      </c>
      <c r="K131">
        <v>901</v>
      </c>
      <c r="L131" s="4">
        <v>12.7298595</v>
      </c>
      <c r="M131" s="4">
        <v>75.61537261309384</v>
      </c>
      <c r="N131" s="4">
        <v>0.76198444902738427</v>
      </c>
      <c r="O131" s="1" t="str">
        <f>HYPERLINK(".\sm_car_250206_1736\sm_car_250206_1736_130_Ca012TrN_MaIPA_ode23t_1.png","figure")</f>
        <v>figure</v>
      </c>
      <c r="P131" t="s">
        <v>15</v>
      </c>
    </row>
    <row r="132" spans="1:16" x14ac:dyDescent="0.25">
      <c r="A132">
        <v>131</v>
      </c>
      <c r="B132">
        <v>142</v>
      </c>
      <c r="C132" t="s">
        <v>45</v>
      </c>
      <c r="D132" t="s">
        <v>17</v>
      </c>
      <c r="E132" t="s">
        <v>49</v>
      </c>
      <c r="F132" t="s">
        <v>28</v>
      </c>
      <c r="G132" t="s">
        <v>26</v>
      </c>
      <c r="H132" t="s">
        <v>21</v>
      </c>
      <c r="I132" t="s">
        <v>53</v>
      </c>
      <c r="J132" t="s">
        <v>23</v>
      </c>
      <c r="K132">
        <v>753</v>
      </c>
      <c r="L132" s="4">
        <v>17.438177199999998</v>
      </c>
      <c r="M132" s="4">
        <v>254.06210040968773</v>
      </c>
      <c r="N132" s="4">
        <v>-5.2174274216945093E-3</v>
      </c>
      <c r="O132" s="1" t="str">
        <f>HYPERLINK(".\sm_car_250206_1736\sm_car_250206_1736_131_Ca142TrN_MaDLC_ode23t_1.png","figure")</f>
        <v>figure</v>
      </c>
      <c r="P132" t="s">
        <v>15</v>
      </c>
    </row>
    <row r="133" spans="1:16" x14ac:dyDescent="0.25">
      <c r="A133">
        <v>132</v>
      </c>
      <c r="B133">
        <v>142</v>
      </c>
      <c r="C133" t="s">
        <v>45</v>
      </c>
      <c r="D133" t="s">
        <v>17</v>
      </c>
      <c r="E133" t="s">
        <v>49</v>
      </c>
      <c r="F133" t="s">
        <v>28</v>
      </c>
      <c r="G133" t="s">
        <v>26</v>
      </c>
      <c r="H133" t="s">
        <v>21</v>
      </c>
      <c r="I133" t="s">
        <v>54</v>
      </c>
      <c r="J133" t="s">
        <v>23</v>
      </c>
      <c r="K133">
        <v>3938</v>
      </c>
      <c r="L133" s="4">
        <v>211.64065600000001</v>
      </c>
      <c r="M133" s="4">
        <v>84.92295597089921</v>
      </c>
      <c r="N133" s="4">
        <v>0.83421923138590381</v>
      </c>
      <c r="O133" s="1" t="str">
        <f>HYPERLINK(".\sm_car_250206_1736\sm_car_250206_1736_132_Ca142TrN_MaIPA_ode23t_1.png","figure")</f>
        <v>figure</v>
      </c>
      <c r="P133" t="s">
        <v>15</v>
      </c>
    </row>
    <row r="134" spans="1:16" x14ac:dyDescent="0.25">
      <c r="A134">
        <v>133</v>
      </c>
      <c r="B134">
        <v>145</v>
      </c>
      <c r="C134" t="s">
        <v>46</v>
      </c>
      <c r="D134" t="s">
        <v>17</v>
      </c>
      <c r="E134" t="s">
        <v>50</v>
      </c>
      <c r="F134" t="s">
        <v>19</v>
      </c>
      <c r="G134" t="s">
        <v>26</v>
      </c>
      <c r="H134" t="s">
        <v>21</v>
      </c>
      <c r="I134" t="s">
        <v>53</v>
      </c>
      <c r="J134" t="s">
        <v>23</v>
      </c>
      <c r="K134">
        <v>485</v>
      </c>
      <c r="L134" s="4">
        <v>20.958348000000001</v>
      </c>
      <c r="M134" s="4">
        <v>254.79768837993777</v>
      </c>
      <c r="N134" s="4">
        <v>4.3307709775834979E-2</v>
      </c>
      <c r="O134" s="1" t="str">
        <f>HYPERLINK(".\sm_car_250206_1736\sm_car_250206_1736_133_Ca145TrN_MaDLC_ode23t_1.png","figure")</f>
        <v>figure</v>
      </c>
      <c r="P134" t="s">
        <v>15</v>
      </c>
    </row>
    <row r="135" spans="1:16" x14ac:dyDescent="0.25">
      <c r="A135">
        <v>134</v>
      </c>
      <c r="B135">
        <v>145</v>
      </c>
      <c r="C135" t="s">
        <v>46</v>
      </c>
      <c r="D135" t="s">
        <v>17</v>
      </c>
      <c r="E135" t="s">
        <v>50</v>
      </c>
      <c r="F135" t="s">
        <v>19</v>
      </c>
      <c r="G135" t="s">
        <v>26</v>
      </c>
      <c r="H135" t="s">
        <v>21</v>
      </c>
      <c r="I135" t="s">
        <v>54</v>
      </c>
      <c r="J135" t="s">
        <v>23</v>
      </c>
      <c r="K135">
        <v>323</v>
      </c>
      <c r="L135" s="4">
        <v>12.042355499999999</v>
      </c>
      <c r="M135" s="4">
        <v>28.257483292522004</v>
      </c>
      <c r="N135" s="4">
        <v>1.5653190165578156E-2</v>
      </c>
      <c r="O135" s="1" t="str">
        <f>HYPERLINK(".\sm_car_250206_1736\sm_car_250206_1736_134_Ca145TrN_MaIPA_ode23t_1.png","figure")</f>
        <v>figure</v>
      </c>
      <c r="P135" t="s">
        <v>15</v>
      </c>
    </row>
    <row r="136" spans="1:16" x14ac:dyDescent="0.25">
      <c r="A136">
        <v>135</v>
      </c>
      <c r="B136">
        <v>184</v>
      </c>
      <c r="C136" t="s">
        <v>105</v>
      </c>
      <c r="D136" t="s">
        <v>120</v>
      </c>
      <c r="E136" t="s">
        <v>49</v>
      </c>
      <c r="F136" t="s">
        <v>19</v>
      </c>
      <c r="G136" t="s">
        <v>20</v>
      </c>
      <c r="H136" t="s">
        <v>21</v>
      </c>
      <c r="I136" t="s">
        <v>53</v>
      </c>
      <c r="J136" t="s">
        <v>23</v>
      </c>
      <c r="K136">
        <v>434</v>
      </c>
      <c r="L136" s="4">
        <v>14.7074967</v>
      </c>
      <c r="M136" s="4">
        <v>253.67148981384298</v>
      </c>
      <c r="N136" s="4">
        <v>1.316918982672588E-2</v>
      </c>
      <c r="O136" s="1" t="str">
        <f>HYPERLINK(".\sm_car_250206_1736\sm_car_250206_1736_135_Ca184TrN_MaDLC_ode23t_1.png","figure")</f>
        <v>figure</v>
      </c>
      <c r="P136" t="s">
        <v>15</v>
      </c>
    </row>
    <row r="137" spans="1:16" x14ac:dyDescent="0.25">
      <c r="A137">
        <v>136</v>
      </c>
      <c r="B137">
        <v>184</v>
      </c>
      <c r="C137" t="s">
        <v>105</v>
      </c>
      <c r="D137" t="s">
        <v>120</v>
      </c>
      <c r="E137" t="s">
        <v>49</v>
      </c>
      <c r="F137" t="s">
        <v>19</v>
      </c>
      <c r="G137" t="s">
        <v>20</v>
      </c>
      <c r="H137" t="s">
        <v>21</v>
      </c>
      <c r="I137" t="s">
        <v>54</v>
      </c>
      <c r="J137" t="s">
        <v>23</v>
      </c>
      <c r="K137">
        <v>390</v>
      </c>
      <c r="L137" s="4">
        <v>14.650449</v>
      </c>
      <c r="M137" s="4">
        <v>61.827748153607786</v>
      </c>
      <c r="N137" s="4">
        <v>0.56508098612398927</v>
      </c>
      <c r="O137" s="1" t="str">
        <f>HYPERLINK(".\sm_car_250206_1736\sm_car_250206_1736_136_Ca184TrN_MaIPA_ode23t_1.png","figure")</f>
        <v>figure</v>
      </c>
      <c r="P137" t="s">
        <v>15</v>
      </c>
    </row>
    <row r="138" spans="1:16" x14ac:dyDescent="0.25">
      <c r="A138">
        <v>137</v>
      </c>
      <c r="B138">
        <v>204</v>
      </c>
      <c r="C138" t="s">
        <v>105</v>
      </c>
      <c r="D138" t="s">
        <v>106</v>
      </c>
      <c r="E138" t="s">
        <v>18</v>
      </c>
      <c r="F138" t="s">
        <v>19</v>
      </c>
      <c r="G138" t="s">
        <v>20</v>
      </c>
      <c r="H138" t="s">
        <v>21</v>
      </c>
      <c r="I138" t="s">
        <v>53</v>
      </c>
      <c r="J138" t="s">
        <v>23</v>
      </c>
      <c r="K138">
        <v>1964</v>
      </c>
      <c r="L138" s="4">
        <v>26.265650900000001</v>
      </c>
      <c r="M138" s="4">
        <v>255.32807609877835</v>
      </c>
      <c r="N138" s="4">
        <v>1.4785366135804612E-2</v>
      </c>
      <c r="O138" s="1" t="str">
        <f>HYPERLINK(".\sm_car_250206_1736\sm_car_250206_1736_137_Ca204TrN_MaDLC_ode23t_1.png","figure")</f>
        <v>figure</v>
      </c>
      <c r="P138" t="s">
        <v>15</v>
      </c>
    </row>
    <row r="139" spans="1:16" x14ac:dyDescent="0.25">
      <c r="A139">
        <v>138</v>
      </c>
      <c r="B139">
        <v>204</v>
      </c>
      <c r="C139" t="s">
        <v>105</v>
      </c>
      <c r="D139" t="s">
        <v>106</v>
      </c>
      <c r="E139" t="s">
        <v>18</v>
      </c>
      <c r="F139" t="s">
        <v>19</v>
      </c>
      <c r="G139" t="s">
        <v>20</v>
      </c>
      <c r="H139" t="s">
        <v>21</v>
      </c>
      <c r="I139" t="s">
        <v>54</v>
      </c>
      <c r="J139" t="s">
        <v>23</v>
      </c>
      <c r="K139">
        <v>701</v>
      </c>
      <c r="L139" s="4">
        <v>11.621778600000001</v>
      </c>
      <c r="M139" s="4">
        <v>26.037822628111101</v>
      </c>
      <c r="N139" s="4">
        <v>9.6507229775579361E-3</v>
      </c>
      <c r="O139" s="1" t="str">
        <f>HYPERLINK(".\sm_car_250206_1736\sm_car_250206_1736_138_Ca204TrN_MaIPA_ode23t_1.png","figure")</f>
        <v>figure</v>
      </c>
      <c r="P139" t="s">
        <v>15</v>
      </c>
    </row>
    <row r="140" spans="1:16" x14ac:dyDescent="0.25">
      <c r="A140">
        <v>139</v>
      </c>
      <c r="B140">
        <v>12</v>
      </c>
      <c r="C140" t="s">
        <v>16</v>
      </c>
      <c r="D140" t="s">
        <v>17</v>
      </c>
      <c r="E140" t="s">
        <v>49</v>
      </c>
      <c r="F140" t="s">
        <v>28</v>
      </c>
      <c r="G140" t="s">
        <v>20</v>
      </c>
      <c r="H140" t="s">
        <v>21</v>
      </c>
      <c r="I140" t="s">
        <v>55</v>
      </c>
      <c r="J140" t="s">
        <v>23</v>
      </c>
      <c r="K140">
        <v>2737</v>
      </c>
      <c r="L140" s="4">
        <v>30.7036376</v>
      </c>
      <c r="M140" s="4">
        <v>-2.1192817789675258E-2</v>
      </c>
      <c r="N140" s="4">
        <v>-0.62242555551979895</v>
      </c>
      <c r="O140" s="1" t="str">
        <f>HYPERLINK(".\sm_car_250206_1736\sm_car_250206_1736_139_Ca012TrN_MaMPK_ode23t_1.png","figure")</f>
        <v>figure</v>
      </c>
      <c r="P140" t="s">
        <v>15</v>
      </c>
    </row>
    <row r="141" spans="1:16" x14ac:dyDescent="0.25">
      <c r="A141">
        <v>140</v>
      </c>
      <c r="B141">
        <v>12</v>
      </c>
      <c r="C141" t="s">
        <v>16</v>
      </c>
      <c r="D141" t="s">
        <v>17</v>
      </c>
      <c r="E141" t="s">
        <v>49</v>
      </c>
      <c r="F141" t="s">
        <v>28</v>
      </c>
      <c r="G141" t="s">
        <v>20</v>
      </c>
      <c r="H141" t="s">
        <v>21</v>
      </c>
      <c r="I141" t="s">
        <v>56</v>
      </c>
      <c r="J141" t="s">
        <v>23</v>
      </c>
      <c r="K141">
        <v>3454</v>
      </c>
      <c r="L141" s="4">
        <v>44.969436100000003</v>
      </c>
      <c r="M141" s="4">
        <v>0.78948309945440265</v>
      </c>
      <c r="N141" s="4">
        <v>-0.32137169545862709</v>
      </c>
      <c r="O141" s="1" t="str">
        <f>HYPERLINK(".\sm_car_250206_1736\sm_car_250206_1736_140_Ca012TrN_MaMPC_ode23t_1.png","figure")</f>
        <v>figure</v>
      </c>
      <c r="P141" t="s">
        <v>15</v>
      </c>
    </row>
    <row r="142" spans="1:16" x14ac:dyDescent="0.25">
      <c r="A142">
        <v>141</v>
      </c>
      <c r="B142">
        <v>142</v>
      </c>
      <c r="C142" t="s">
        <v>45</v>
      </c>
      <c r="D142" t="s">
        <v>17</v>
      </c>
      <c r="E142" t="s">
        <v>49</v>
      </c>
      <c r="F142" t="s">
        <v>28</v>
      </c>
      <c r="G142" t="s">
        <v>26</v>
      </c>
      <c r="H142" t="s">
        <v>21</v>
      </c>
      <c r="I142" t="s">
        <v>55</v>
      </c>
      <c r="J142" t="s">
        <v>23</v>
      </c>
      <c r="K142">
        <v>2649</v>
      </c>
      <c r="L142" s="4">
        <v>58.979521099999999</v>
      </c>
      <c r="M142" s="4">
        <v>-1.9869625964414758E-2</v>
      </c>
      <c r="N142" s="4">
        <v>-0.54743671862395327</v>
      </c>
      <c r="O142" s="1" t="str">
        <f>HYPERLINK(".\sm_car_250206_1736\sm_car_250206_1736_141_Ca142TrN_MaMPK_ode23t_1.png","figure")</f>
        <v>figure</v>
      </c>
      <c r="P142" t="s">
        <v>15</v>
      </c>
    </row>
    <row r="143" spans="1:16" x14ac:dyDescent="0.25">
      <c r="A143">
        <v>142</v>
      </c>
      <c r="B143">
        <v>142</v>
      </c>
      <c r="C143" t="s">
        <v>45</v>
      </c>
      <c r="D143" t="s">
        <v>17</v>
      </c>
      <c r="E143" t="s">
        <v>49</v>
      </c>
      <c r="F143" t="s">
        <v>28</v>
      </c>
      <c r="G143" t="s">
        <v>26</v>
      </c>
      <c r="H143" t="s">
        <v>21</v>
      </c>
      <c r="I143" t="s">
        <v>56</v>
      </c>
      <c r="J143" t="s">
        <v>23</v>
      </c>
      <c r="K143">
        <v>3509</v>
      </c>
      <c r="L143" s="4">
        <v>89.281608500000004</v>
      </c>
      <c r="M143" s="4">
        <v>0.78948309946162887</v>
      </c>
      <c r="N143" s="4">
        <v>-0.36546896079664071</v>
      </c>
      <c r="O143" s="1" t="str">
        <f>HYPERLINK(".\sm_car_250206_1736\sm_car_250206_1736_142_Ca142TrN_MaMPC_ode23t_1.png","figure")</f>
        <v>figure</v>
      </c>
      <c r="P143" t="s">
        <v>15</v>
      </c>
    </row>
    <row r="144" spans="1:16" x14ac:dyDescent="0.25">
      <c r="A144">
        <v>143</v>
      </c>
      <c r="B144">
        <v>116</v>
      </c>
      <c r="C144" t="s">
        <v>16</v>
      </c>
      <c r="D144" t="s">
        <v>35</v>
      </c>
      <c r="E144" t="s">
        <v>18</v>
      </c>
      <c r="F144" t="s">
        <v>28</v>
      </c>
      <c r="G144" t="s">
        <v>20</v>
      </c>
      <c r="H144" t="s">
        <v>21</v>
      </c>
      <c r="I144" t="s">
        <v>55</v>
      </c>
      <c r="J144" t="s">
        <v>23</v>
      </c>
      <c r="K144">
        <v>2900</v>
      </c>
      <c r="L144" s="4">
        <v>17.206553599999999</v>
      </c>
      <c r="M144" s="4">
        <v>-1.9467739776823881E-2</v>
      </c>
      <c r="N144" s="4">
        <v>-0.52466074809159469</v>
      </c>
      <c r="O144" s="1" t="str">
        <f>HYPERLINK(".\sm_car_250206_1736\sm_car_250206_1736_143_Ca116TrN_MaMPK_ode23t_1.png","figure")</f>
        <v>figure</v>
      </c>
      <c r="P144" t="s">
        <v>15</v>
      </c>
    </row>
    <row r="145" spans="1:16" x14ac:dyDescent="0.25">
      <c r="A145">
        <v>144</v>
      </c>
      <c r="B145">
        <v>116</v>
      </c>
      <c r="C145" t="s">
        <v>16</v>
      </c>
      <c r="D145" t="s">
        <v>35</v>
      </c>
      <c r="E145" t="s">
        <v>18</v>
      </c>
      <c r="F145" t="s">
        <v>28</v>
      </c>
      <c r="G145" t="s">
        <v>20</v>
      </c>
      <c r="H145" t="s">
        <v>21</v>
      </c>
      <c r="I145" t="s">
        <v>56</v>
      </c>
      <c r="J145" t="s">
        <v>23</v>
      </c>
      <c r="K145">
        <v>3520</v>
      </c>
      <c r="L145" s="4">
        <v>20.023593600000002</v>
      </c>
      <c r="M145" s="4">
        <v>0.78948309945161022</v>
      </c>
      <c r="N145" s="4">
        <v>-0.35425941192991789</v>
      </c>
      <c r="O145" s="1" t="str">
        <f>HYPERLINK(".\sm_car_250206_1736\sm_car_250206_1736_144_Ca116TrN_MaMPC_ode23t_1.png","figure")</f>
        <v>figure</v>
      </c>
      <c r="P145" t="s">
        <v>15</v>
      </c>
    </row>
    <row r="146" spans="1:16" x14ac:dyDescent="0.25">
      <c r="A146">
        <v>145</v>
      </c>
      <c r="B146">
        <v>143</v>
      </c>
      <c r="C146" t="s">
        <v>46</v>
      </c>
      <c r="D146" t="s">
        <v>17</v>
      </c>
      <c r="E146" t="s">
        <v>47</v>
      </c>
      <c r="F146" t="s">
        <v>19</v>
      </c>
      <c r="G146" t="s">
        <v>26</v>
      </c>
      <c r="H146" t="s">
        <v>21</v>
      </c>
      <c r="I146" t="s">
        <v>55</v>
      </c>
      <c r="J146" t="s">
        <v>23</v>
      </c>
      <c r="K146">
        <v>2761</v>
      </c>
      <c r="L146" s="4">
        <v>61.3993641</v>
      </c>
      <c r="M146" s="4">
        <v>-1.7085808852478457E-2</v>
      </c>
      <c r="N146" s="4">
        <v>-0.38967031945314012</v>
      </c>
      <c r="O146" s="1" t="str">
        <f>HYPERLINK(".\sm_car_250206_1736\sm_car_250206_1736_145_Ca143TrN_MaMPK_ode23t_1.png","figure")</f>
        <v>figure</v>
      </c>
      <c r="P146" t="s">
        <v>15</v>
      </c>
    </row>
    <row r="147" spans="1:16" x14ac:dyDescent="0.25">
      <c r="A147">
        <v>146</v>
      </c>
      <c r="B147">
        <v>143</v>
      </c>
      <c r="C147" t="s">
        <v>46</v>
      </c>
      <c r="D147" t="s">
        <v>17</v>
      </c>
      <c r="E147" t="s">
        <v>47</v>
      </c>
      <c r="F147" t="s">
        <v>19</v>
      </c>
      <c r="G147" t="s">
        <v>26</v>
      </c>
      <c r="H147" t="s">
        <v>21</v>
      </c>
      <c r="I147" t="s">
        <v>56</v>
      </c>
      <c r="J147" t="s">
        <v>23</v>
      </c>
      <c r="K147">
        <v>3127</v>
      </c>
      <c r="L147" s="4">
        <v>87.335927999999996</v>
      </c>
      <c r="M147" s="4">
        <v>0.78948309946049022</v>
      </c>
      <c r="N147" s="4">
        <v>-0.25842248664818301</v>
      </c>
      <c r="O147" s="1" t="str">
        <f>HYPERLINK(".\sm_car_250206_1736\sm_car_250206_1736_146_Ca143TrN_MaMPC_ode23t_1.png","figure")</f>
        <v>figure</v>
      </c>
      <c r="P147" t="s">
        <v>15</v>
      </c>
    </row>
    <row r="148" spans="1:16" x14ac:dyDescent="0.25">
      <c r="A148">
        <v>147</v>
      </c>
      <c r="B148">
        <v>166</v>
      </c>
      <c r="C148" t="s">
        <v>45</v>
      </c>
      <c r="D148" t="s">
        <v>57</v>
      </c>
      <c r="E148" t="s">
        <v>18</v>
      </c>
      <c r="F148" t="s">
        <v>19</v>
      </c>
      <c r="G148" t="s">
        <v>26</v>
      </c>
      <c r="H148" t="s">
        <v>21</v>
      </c>
      <c r="I148" t="s">
        <v>55</v>
      </c>
      <c r="J148" t="s">
        <v>23</v>
      </c>
      <c r="K148">
        <v>3191</v>
      </c>
      <c r="L148" s="4">
        <v>42.536201699999999</v>
      </c>
      <c r="M148" s="4">
        <v>-2.0012749686709255E-2</v>
      </c>
      <c r="N148" s="4">
        <v>-0.55554792356105764</v>
      </c>
      <c r="O148" s="1" t="str">
        <f>HYPERLINK(".\sm_car_250206_1736\sm_car_250206_1736_147_Ca166TrN_MaMPK_ode23t_1.png","figure")</f>
        <v>figure</v>
      </c>
      <c r="P148" t="s">
        <v>15</v>
      </c>
    </row>
    <row r="149" spans="1:16" x14ac:dyDescent="0.25">
      <c r="A149">
        <v>148</v>
      </c>
      <c r="B149">
        <v>166</v>
      </c>
      <c r="C149" t="s">
        <v>45</v>
      </c>
      <c r="D149" t="s">
        <v>57</v>
      </c>
      <c r="E149" t="s">
        <v>18</v>
      </c>
      <c r="F149" t="s">
        <v>19</v>
      </c>
      <c r="G149" t="s">
        <v>26</v>
      </c>
      <c r="H149" t="s">
        <v>21</v>
      </c>
      <c r="I149" t="s">
        <v>56</v>
      </c>
      <c r="J149" t="s">
        <v>23</v>
      </c>
      <c r="K149">
        <v>3700</v>
      </c>
      <c r="L149" s="4">
        <v>52.9677024</v>
      </c>
      <c r="M149" s="4">
        <v>0.7894830994336246</v>
      </c>
      <c r="N149" s="4">
        <v>-0.35627631570127855</v>
      </c>
      <c r="O149" s="1" t="str">
        <f>HYPERLINK(".\sm_car_250206_1736\sm_car_250206_1736_148_Ca166TrN_MaMPC_ode23t_1.png","figure")</f>
        <v>figure</v>
      </c>
      <c r="P149" t="s">
        <v>15</v>
      </c>
    </row>
    <row r="150" spans="1:16" x14ac:dyDescent="0.25">
      <c r="A150">
        <v>149</v>
      </c>
      <c r="B150">
        <v>169</v>
      </c>
      <c r="C150" t="s">
        <v>45</v>
      </c>
      <c r="D150" t="s">
        <v>58</v>
      </c>
      <c r="E150" t="s">
        <v>49</v>
      </c>
      <c r="F150" t="s">
        <v>19</v>
      </c>
      <c r="G150" t="s">
        <v>26</v>
      </c>
      <c r="H150" t="s">
        <v>21</v>
      </c>
      <c r="I150" t="s">
        <v>55</v>
      </c>
      <c r="J150" t="s">
        <v>23</v>
      </c>
      <c r="K150">
        <v>3181</v>
      </c>
      <c r="L150" s="4">
        <v>40.5895437</v>
      </c>
      <c r="M150" s="4">
        <v>-2.0028279181064867E-2</v>
      </c>
      <c r="N150" s="4">
        <v>-0.55642802278567438</v>
      </c>
      <c r="O150" s="1" t="str">
        <f>HYPERLINK(".\sm_car_250206_1736\sm_car_250206_1736_149_Ca169TrN_MaMPK_ode23t_1.png","figure")</f>
        <v>figure</v>
      </c>
      <c r="P150" t="s">
        <v>15</v>
      </c>
    </row>
    <row r="151" spans="1:16" x14ac:dyDescent="0.25">
      <c r="A151">
        <v>150</v>
      </c>
      <c r="B151">
        <v>169</v>
      </c>
      <c r="C151" t="s">
        <v>45</v>
      </c>
      <c r="D151" t="s">
        <v>58</v>
      </c>
      <c r="E151" t="s">
        <v>49</v>
      </c>
      <c r="F151" t="s">
        <v>19</v>
      </c>
      <c r="G151" t="s">
        <v>26</v>
      </c>
      <c r="H151" t="s">
        <v>21</v>
      </c>
      <c r="I151" t="s">
        <v>56</v>
      </c>
      <c r="J151" t="s">
        <v>23</v>
      </c>
      <c r="K151">
        <v>3560</v>
      </c>
      <c r="L151" s="4">
        <v>44.892713000000001</v>
      </c>
      <c r="M151" s="4">
        <v>0.78948309945637263</v>
      </c>
      <c r="N151" s="4">
        <v>-0.35361882662774524</v>
      </c>
      <c r="O151" s="1" t="str">
        <f>HYPERLINK(".\sm_car_250206_1736\sm_car_250206_1736_150_Ca169TrN_MaMPC_ode23t_1.png","figure")</f>
        <v>figure</v>
      </c>
      <c r="P151" t="s">
        <v>15</v>
      </c>
    </row>
    <row r="152" spans="1:16" x14ac:dyDescent="0.25">
      <c r="A152">
        <v>151</v>
      </c>
      <c r="B152">
        <v>184</v>
      </c>
      <c r="C152" t="s">
        <v>105</v>
      </c>
      <c r="D152" t="s">
        <v>120</v>
      </c>
      <c r="E152" t="s">
        <v>49</v>
      </c>
      <c r="F152" t="s">
        <v>19</v>
      </c>
      <c r="G152" t="s">
        <v>20</v>
      </c>
      <c r="H152" t="s">
        <v>21</v>
      </c>
      <c r="I152" t="s">
        <v>55</v>
      </c>
      <c r="J152" t="s">
        <v>23</v>
      </c>
      <c r="K152">
        <v>2167</v>
      </c>
      <c r="L152" s="4">
        <v>56.105781899999997</v>
      </c>
      <c r="M152" s="4">
        <v>-2.2538120985190369E-2</v>
      </c>
      <c r="N152" s="4">
        <v>-0.69866750220500473</v>
      </c>
      <c r="O152" s="1" t="str">
        <f>HYPERLINK(".\sm_car_250206_1736\sm_car_250206_1736_151_Ca184TrN_MaMPK_ode23t_1.png","figure")</f>
        <v>figure</v>
      </c>
      <c r="P152" t="s">
        <v>15</v>
      </c>
    </row>
    <row r="153" spans="1:16" x14ac:dyDescent="0.25">
      <c r="A153">
        <v>152</v>
      </c>
      <c r="B153">
        <v>184</v>
      </c>
      <c r="C153" t="s">
        <v>105</v>
      </c>
      <c r="D153" t="s">
        <v>120</v>
      </c>
      <c r="E153" t="s">
        <v>49</v>
      </c>
      <c r="F153" t="s">
        <v>19</v>
      </c>
      <c r="G153" t="s">
        <v>20</v>
      </c>
      <c r="H153" t="s">
        <v>21</v>
      </c>
      <c r="I153" t="s">
        <v>56</v>
      </c>
      <c r="J153" t="s">
        <v>23</v>
      </c>
      <c r="K153">
        <v>2390</v>
      </c>
      <c r="L153" s="4">
        <v>61.850155999999998</v>
      </c>
      <c r="M153" s="4">
        <v>0.78948309945034367</v>
      </c>
      <c r="N153" s="4">
        <v>-0.32904672404773366</v>
      </c>
      <c r="O153" s="1" t="str">
        <f>HYPERLINK(".\sm_car_250206_1736\sm_car_250206_1736_152_Ca184TrN_MaMPC_ode23t_1.png","figure")</f>
        <v>figure</v>
      </c>
      <c r="P153" t="s">
        <v>15</v>
      </c>
    </row>
    <row r="154" spans="1:16" x14ac:dyDescent="0.25">
      <c r="A154">
        <v>153</v>
      </c>
      <c r="B154">
        <v>195</v>
      </c>
      <c r="C154" t="s">
        <v>45</v>
      </c>
      <c r="D154" t="s">
        <v>58</v>
      </c>
      <c r="E154" t="s">
        <v>107</v>
      </c>
      <c r="F154" t="s">
        <v>19</v>
      </c>
      <c r="G154" t="s">
        <v>26</v>
      </c>
      <c r="H154" t="s">
        <v>21</v>
      </c>
      <c r="I154" t="s">
        <v>55</v>
      </c>
      <c r="J154" t="s">
        <v>23</v>
      </c>
      <c r="K154">
        <v>3192</v>
      </c>
      <c r="L154" s="4">
        <v>35.992853400000001</v>
      </c>
      <c r="M154" s="4">
        <v>-2.0028106906484183E-2</v>
      </c>
      <c r="N154" s="4">
        <v>-0.55641825781837229</v>
      </c>
      <c r="O154" s="1" t="str">
        <f>HYPERLINK(".\sm_car_250206_1736\sm_car_250206_1736_153_Ca195TrN_MaMPK_ode23t_1.png","figure")</f>
        <v>figure</v>
      </c>
      <c r="P154" t="s">
        <v>15</v>
      </c>
    </row>
    <row r="155" spans="1:16" x14ac:dyDescent="0.25">
      <c r="A155">
        <v>154</v>
      </c>
      <c r="B155">
        <v>195</v>
      </c>
      <c r="C155" t="s">
        <v>45</v>
      </c>
      <c r="D155" t="s">
        <v>58</v>
      </c>
      <c r="E155" t="s">
        <v>107</v>
      </c>
      <c r="F155" t="s">
        <v>19</v>
      </c>
      <c r="G155" t="s">
        <v>26</v>
      </c>
      <c r="H155" t="s">
        <v>21</v>
      </c>
      <c r="I155" t="s">
        <v>56</v>
      </c>
      <c r="J155" t="s">
        <v>23</v>
      </c>
      <c r="K155">
        <v>3266</v>
      </c>
      <c r="L155" s="4">
        <v>39.790855800000003</v>
      </c>
      <c r="M155" s="4">
        <v>0.78948309944716755</v>
      </c>
      <c r="N155" s="4">
        <v>-0.35437065171387</v>
      </c>
      <c r="O155" s="1" t="str">
        <f>HYPERLINK(".\sm_car_250206_1736\sm_car_250206_1736_154_Ca195TrN_MaMPC_ode23t_1.png","figure")</f>
        <v>figure</v>
      </c>
      <c r="P155" t="s">
        <v>15</v>
      </c>
    </row>
    <row r="156" spans="1:16" x14ac:dyDescent="0.25">
      <c r="A156">
        <v>155</v>
      </c>
      <c r="B156">
        <v>198</v>
      </c>
      <c r="C156" t="s">
        <v>105</v>
      </c>
      <c r="D156" t="s">
        <v>120</v>
      </c>
      <c r="E156" t="s">
        <v>107</v>
      </c>
      <c r="F156" t="s">
        <v>19</v>
      </c>
      <c r="G156" t="s">
        <v>20</v>
      </c>
      <c r="H156" t="s">
        <v>21</v>
      </c>
      <c r="I156" t="s">
        <v>55</v>
      </c>
      <c r="J156" t="s">
        <v>23</v>
      </c>
      <c r="K156">
        <v>2277</v>
      </c>
      <c r="L156" s="4">
        <v>31.124276299999998</v>
      </c>
      <c r="M156" s="4">
        <v>-2.2539865512949106E-2</v>
      </c>
      <c r="N156" s="4">
        <v>-0.69876636903137646</v>
      </c>
      <c r="O156" s="1" t="str">
        <f>HYPERLINK(".\sm_car_250206_1736\sm_car_250206_1736_155_Ca198TrN_MaMPK_ode23t_1.png","figure")</f>
        <v>figure</v>
      </c>
      <c r="P156" t="s">
        <v>15</v>
      </c>
    </row>
    <row r="157" spans="1:16" x14ac:dyDescent="0.25">
      <c r="A157">
        <v>156</v>
      </c>
      <c r="B157">
        <v>198</v>
      </c>
      <c r="C157" t="s">
        <v>105</v>
      </c>
      <c r="D157" t="s">
        <v>120</v>
      </c>
      <c r="E157" t="s">
        <v>107</v>
      </c>
      <c r="F157" t="s">
        <v>19</v>
      </c>
      <c r="G157" t="s">
        <v>20</v>
      </c>
      <c r="H157" t="s">
        <v>21</v>
      </c>
      <c r="I157" t="s">
        <v>56</v>
      </c>
      <c r="J157" t="s">
        <v>23</v>
      </c>
      <c r="K157">
        <v>2624</v>
      </c>
      <c r="L157" s="4">
        <v>39.344310100000001</v>
      </c>
      <c r="M157" s="4">
        <v>0.78948309945888795</v>
      </c>
      <c r="N157" s="4">
        <v>-0.32889025235404651</v>
      </c>
      <c r="O157" s="1" t="str">
        <f>HYPERLINK(".\sm_car_250206_1736\sm_car_250206_1736_156_Ca198TrN_MaMPC_ode23t_1.png","figure")</f>
        <v>figure</v>
      </c>
      <c r="P157" t="s">
        <v>15</v>
      </c>
    </row>
    <row r="158" spans="1:16" x14ac:dyDescent="0.25">
      <c r="A158">
        <v>157</v>
      </c>
      <c r="B158">
        <v>151</v>
      </c>
      <c r="C158" t="s">
        <v>16</v>
      </c>
      <c r="D158" t="s">
        <v>17</v>
      </c>
      <c r="E158" t="s">
        <v>18</v>
      </c>
      <c r="F158" t="s">
        <v>19</v>
      </c>
      <c r="G158" t="s">
        <v>59</v>
      </c>
      <c r="H158" t="s">
        <v>21</v>
      </c>
      <c r="I158" t="s">
        <v>24</v>
      </c>
      <c r="J158" t="s">
        <v>23</v>
      </c>
      <c r="K158">
        <v>504</v>
      </c>
      <c r="L158" s="4">
        <v>12.7230439</v>
      </c>
      <c r="M158" s="4">
        <v>73.358878756401921</v>
      </c>
      <c r="N158" s="4">
        <v>-0.842551689857996</v>
      </c>
      <c r="O158" s="1" t="str">
        <f>HYPERLINK(".\sm_car_250206_1736\sm_car_250206_1736_157_Ca151TrN_MaLSS_ode23t_1.png","figure")</f>
        <v>figure</v>
      </c>
      <c r="P158" t="s">
        <v>15</v>
      </c>
    </row>
    <row r="159" spans="1:16" x14ac:dyDescent="0.25">
      <c r="A159">
        <v>158</v>
      </c>
      <c r="B159">
        <v>152</v>
      </c>
      <c r="C159" t="s">
        <v>16</v>
      </c>
      <c r="D159" t="s">
        <v>17</v>
      </c>
      <c r="E159" t="s">
        <v>18</v>
      </c>
      <c r="F159" t="s">
        <v>19</v>
      </c>
      <c r="G159" t="s">
        <v>60</v>
      </c>
      <c r="H159" t="s">
        <v>21</v>
      </c>
      <c r="I159" t="s">
        <v>24</v>
      </c>
      <c r="J159" t="s">
        <v>23</v>
      </c>
      <c r="K159">
        <v>531</v>
      </c>
      <c r="L159" s="4">
        <v>13.411544299999999</v>
      </c>
      <c r="M159" s="4">
        <v>71.709939959660218</v>
      </c>
      <c r="N159" s="4">
        <v>-0.53890782966497541</v>
      </c>
      <c r="O159" s="1" t="str">
        <f>HYPERLINK(".\sm_car_250206_1736\sm_car_250206_1736_158_Ca152TrN_MaLSS_ode23t_1.png","figure")</f>
        <v>figure</v>
      </c>
      <c r="P159" t="s">
        <v>15</v>
      </c>
    </row>
    <row r="160" spans="1:16" x14ac:dyDescent="0.25">
      <c r="A160">
        <v>159</v>
      </c>
      <c r="B160">
        <v>153</v>
      </c>
      <c r="C160" t="s">
        <v>16</v>
      </c>
      <c r="D160" t="s">
        <v>17</v>
      </c>
      <c r="E160" t="s">
        <v>18</v>
      </c>
      <c r="F160" t="s">
        <v>19</v>
      </c>
      <c r="G160" t="s">
        <v>61</v>
      </c>
      <c r="H160" t="s">
        <v>21</v>
      </c>
      <c r="I160" t="s">
        <v>24</v>
      </c>
      <c r="J160" t="s">
        <v>23</v>
      </c>
      <c r="K160">
        <v>552</v>
      </c>
      <c r="L160" s="4">
        <v>13.5869787</v>
      </c>
      <c r="M160" s="4">
        <v>71.528958405258493</v>
      </c>
      <c r="N160" s="4">
        <v>-0.88798849616136699</v>
      </c>
      <c r="O160" s="1" t="str">
        <f>HYPERLINK(".\sm_car_250206_1736\sm_car_250206_1736_159_Ca153TrN_MaLSS_ode23t_1.png","figure")</f>
        <v>figure</v>
      </c>
      <c r="P160" t="s">
        <v>15</v>
      </c>
    </row>
    <row r="161" spans="1:16" x14ac:dyDescent="0.25">
      <c r="A161">
        <v>160</v>
      </c>
      <c r="B161">
        <v>154</v>
      </c>
      <c r="C161" t="s">
        <v>16</v>
      </c>
      <c r="D161" t="s">
        <v>17</v>
      </c>
      <c r="E161" t="s">
        <v>18</v>
      </c>
      <c r="F161" t="s">
        <v>19</v>
      </c>
      <c r="G161" t="s">
        <v>108</v>
      </c>
      <c r="H161" t="s">
        <v>21</v>
      </c>
      <c r="I161" t="s">
        <v>24</v>
      </c>
      <c r="J161" t="s">
        <v>23</v>
      </c>
      <c r="K161">
        <v>494</v>
      </c>
      <c r="L161" s="4">
        <v>17.421454700000002</v>
      </c>
      <c r="M161" s="4">
        <v>71.718997096998564</v>
      </c>
      <c r="N161" s="4">
        <v>-0.36762765964666</v>
      </c>
      <c r="O161" s="1" t="str">
        <f>HYPERLINK(".\sm_car_250206_1736\sm_car_250206_1736_160_Ca154TrN_MaLSS_ode23t_1.png","figure")</f>
        <v>figure</v>
      </c>
      <c r="P161" t="s">
        <v>15</v>
      </c>
    </row>
    <row r="162" spans="1:16" x14ac:dyDescent="0.25">
      <c r="A162">
        <v>161</v>
      </c>
      <c r="B162">
        <v>155</v>
      </c>
      <c r="C162" t="s">
        <v>16</v>
      </c>
      <c r="D162" t="s">
        <v>17</v>
      </c>
      <c r="E162" t="s">
        <v>18</v>
      </c>
      <c r="F162" t="s">
        <v>19</v>
      </c>
      <c r="G162" t="s">
        <v>62</v>
      </c>
      <c r="H162" t="s">
        <v>21</v>
      </c>
      <c r="I162" t="s">
        <v>24</v>
      </c>
      <c r="J162" t="s">
        <v>23</v>
      </c>
      <c r="K162">
        <v>555</v>
      </c>
      <c r="L162" s="4">
        <v>18.870609099999999</v>
      </c>
      <c r="M162" s="4">
        <v>71.56824246061494</v>
      </c>
      <c r="N162" s="4">
        <v>-0.86385852943417452</v>
      </c>
      <c r="O162" s="1" t="str">
        <f>HYPERLINK(".\sm_car_250206_1736\sm_car_250206_1736_161_Ca155TrN_MaLSS_ode23t_1.png","figure")</f>
        <v>figure</v>
      </c>
      <c r="P162" t="s">
        <v>15</v>
      </c>
    </row>
    <row r="163" spans="1:16" x14ac:dyDescent="0.25">
      <c r="A163">
        <v>162</v>
      </c>
      <c r="B163">
        <v>4</v>
      </c>
      <c r="C163" t="s">
        <v>16</v>
      </c>
      <c r="D163" t="s">
        <v>17</v>
      </c>
      <c r="E163" t="s">
        <v>18</v>
      </c>
      <c r="F163" t="s">
        <v>28</v>
      </c>
      <c r="G163" t="s">
        <v>20</v>
      </c>
      <c r="H163" t="s">
        <v>21</v>
      </c>
      <c r="I163" t="s">
        <v>22</v>
      </c>
      <c r="J163" t="s">
        <v>63</v>
      </c>
      <c r="K163">
        <v>3246</v>
      </c>
      <c r="L163" s="4">
        <v>9.0879151</v>
      </c>
      <c r="M163" s="4">
        <v>233.86868495957117</v>
      </c>
      <c r="N163" s="4">
        <v>1.5279868512777874E-2</v>
      </c>
      <c r="O163" s="1" t="str">
        <f>HYPERLINK(".\sm_car_250206_1736\sm_car_250206_1736_162_Ca004TrN_MaWOT_ode3_1.png","figure")</f>
        <v>figure</v>
      </c>
      <c r="P163" t="s">
        <v>15</v>
      </c>
    </row>
    <row r="164" spans="1:16" x14ac:dyDescent="0.25">
      <c r="A164">
        <v>163</v>
      </c>
      <c r="B164">
        <v>4</v>
      </c>
      <c r="C164" t="s">
        <v>16</v>
      </c>
      <c r="D164" t="s">
        <v>17</v>
      </c>
      <c r="E164" t="s">
        <v>18</v>
      </c>
      <c r="F164" t="s">
        <v>28</v>
      </c>
      <c r="G164" t="s">
        <v>20</v>
      </c>
      <c r="H164" t="s">
        <v>21</v>
      </c>
      <c r="I164" t="s">
        <v>24</v>
      </c>
      <c r="J164" t="s">
        <v>63</v>
      </c>
      <c r="K164">
        <v>2564</v>
      </c>
      <c r="L164" s="4">
        <v>7.1864369999999997</v>
      </c>
      <c r="M164" s="4">
        <v>71.992416552873522</v>
      </c>
      <c r="N164" s="4">
        <v>-0.55216478985760642</v>
      </c>
      <c r="O164" s="1" t="str">
        <f>HYPERLINK(".\sm_car_250206_1736\sm_car_250206_1736_163_Ca004TrN_MaLSS_ode3_1.png","figure")</f>
        <v>figure</v>
      </c>
      <c r="P164" t="s">
        <v>15</v>
      </c>
    </row>
    <row r="165" spans="1:16" x14ac:dyDescent="0.25">
      <c r="A165">
        <v>164</v>
      </c>
      <c r="B165">
        <v>4</v>
      </c>
      <c r="C165" t="s">
        <v>16</v>
      </c>
      <c r="D165" t="s">
        <v>17</v>
      </c>
      <c r="E165" t="s">
        <v>18</v>
      </c>
      <c r="F165" t="s">
        <v>28</v>
      </c>
      <c r="G165" t="s">
        <v>20</v>
      </c>
      <c r="H165" t="s">
        <v>21</v>
      </c>
      <c r="I165" t="s">
        <v>64</v>
      </c>
      <c r="J165" t="s">
        <v>63</v>
      </c>
      <c r="K165">
        <v>2562</v>
      </c>
      <c r="L165" s="4">
        <v>7.1642874000000001</v>
      </c>
      <c r="M165" s="4">
        <v>64.314286423663845</v>
      </c>
      <c r="N165" s="4">
        <v>-25.500994053949178</v>
      </c>
      <c r="O165" s="1" t="str">
        <f>HYPERLINK(".\sm_car_250206_1736\sm_car_250206_1736_164_Ca004TrN_MaTUR_ode3_1.png","figure")</f>
        <v>figure</v>
      </c>
      <c r="P165" t="s">
        <v>15</v>
      </c>
    </row>
    <row r="166" spans="1:16" x14ac:dyDescent="0.25">
      <c r="A166">
        <v>165</v>
      </c>
      <c r="B166">
        <v>116</v>
      </c>
      <c r="C166" t="s">
        <v>16</v>
      </c>
      <c r="D166" t="s">
        <v>35</v>
      </c>
      <c r="E166" t="s">
        <v>18</v>
      </c>
      <c r="F166" t="s">
        <v>28</v>
      </c>
      <c r="G166" t="s">
        <v>20</v>
      </c>
      <c r="H166" t="s">
        <v>21</v>
      </c>
      <c r="I166" t="s">
        <v>22</v>
      </c>
      <c r="J166" t="s">
        <v>63</v>
      </c>
      <c r="K166">
        <v>3244</v>
      </c>
      <c r="L166" s="4">
        <v>3.7190772000000001</v>
      </c>
      <c r="M166" s="4">
        <v>242.70379428436041</v>
      </c>
      <c r="N166" s="4">
        <v>0.23327324309701689</v>
      </c>
      <c r="O166" s="1" t="str">
        <f>HYPERLINK(".\sm_car_250206_1736\sm_car_250206_1736_165_Ca116TrN_MaWOT_ode3_1.png","figure")</f>
        <v>figure</v>
      </c>
      <c r="P166" t="s">
        <v>15</v>
      </c>
    </row>
    <row r="167" spans="1:16" x14ac:dyDescent="0.25">
      <c r="A167">
        <v>166</v>
      </c>
      <c r="B167">
        <v>116</v>
      </c>
      <c r="C167" t="s">
        <v>16</v>
      </c>
      <c r="D167" t="s">
        <v>35</v>
      </c>
      <c r="E167" t="s">
        <v>18</v>
      </c>
      <c r="F167" t="s">
        <v>28</v>
      </c>
      <c r="G167" t="s">
        <v>20</v>
      </c>
      <c r="H167" t="s">
        <v>21</v>
      </c>
      <c r="I167" t="s">
        <v>24</v>
      </c>
      <c r="J167" t="s">
        <v>63</v>
      </c>
      <c r="K167">
        <v>2564</v>
      </c>
      <c r="L167" s="4">
        <v>3.1238532999999999</v>
      </c>
      <c r="M167" s="4">
        <v>74.659491982450774</v>
      </c>
      <c r="N167" s="4">
        <v>-0.34093758006291858</v>
      </c>
      <c r="O167" s="1" t="str">
        <f>HYPERLINK(".\sm_car_250206_1736\sm_car_250206_1736_166_Ca116TrN_MaLSS_ode3_1.png","figure")</f>
        <v>figure</v>
      </c>
      <c r="P167" t="s">
        <v>15</v>
      </c>
    </row>
    <row r="168" spans="1:16" x14ac:dyDescent="0.25">
      <c r="A168">
        <v>167</v>
      </c>
      <c r="B168">
        <v>116</v>
      </c>
      <c r="C168" t="s">
        <v>16</v>
      </c>
      <c r="D168" t="s">
        <v>35</v>
      </c>
      <c r="E168" t="s">
        <v>18</v>
      </c>
      <c r="F168" t="s">
        <v>28</v>
      </c>
      <c r="G168" t="s">
        <v>20</v>
      </c>
      <c r="H168" t="s">
        <v>21</v>
      </c>
      <c r="I168" t="s">
        <v>64</v>
      </c>
      <c r="J168" t="s">
        <v>63</v>
      </c>
      <c r="K168">
        <v>2563</v>
      </c>
      <c r="L168" s="4">
        <v>3.1151859000000002</v>
      </c>
      <c r="M168" s="4">
        <v>71.32397117118802</v>
      </c>
      <c r="N168" s="4">
        <v>-17.591551103430934</v>
      </c>
      <c r="O168" s="1" t="str">
        <f>HYPERLINK(".\sm_car_250206_1736\sm_car_250206_1736_167_Ca116TrN_MaTUR_ode3_1.png","figure")</f>
        <v>figure</v>
      </c>
      <c r="P168" t="s">
        <v>15</v>
      </c>
    </row>
    <row r="169" spans="1:16" x14ac:dyDescent="0.25">
      <c r="A169">
        <v>168</v>
      </c>
      <c r="B169">
        <v>124</v>
      </c>
      <c r="C169" t="s">
        <v>16</v>
      </c>
      <c r="D169" t="s">
        <v>35</v>
      </c>
      <c r="E169" t="s">
        <v>49</v>
      </c>
      <c r="F169" t="s">
        <v>28</v>
      </c>
      <c r="G169" t="s">
        <v>20</v>
      </c>
      <c r="H169" t="s">
        <v>21</v>
      </c>
      <c r="I169" t="s">
        <v>22</v>
      </c>
      <c r="J169" t="s">
        <v>63</v>
      </c>
      <c r="K169">
        <v>3244</v>
      </c>
      <c r="L169" s="4">
        <v>2.1050092999999999</v>
      </c>
      <c r="M169" s="4">
        <v>242.88013068819623</v>
      </c>
      <c r="N169" s="4">
        <v>0.23307974035338433</v>
      </c>
      <c r="O169" s="1" t="str">
        <f>HYPERLINK(".\sm_car_250206_1736\sm_car_250206_1736_168_Ca124TrN_MaWOT_ode3_1.png","figure")</f>
        <v>figure</v>
      </c>
      <c r="P169" t="s">
        <v>15</v>
      </c>
    </row>
    <row r="170" spans="1:16" x14ac:dyDescent="0.25">
      <c r="A170">
        <v>169</v>
      </c>
      <c r="B170">
        <v>124</v>
      </c>
      <c r="C170" t="s">
        <v>16</v>
      </c>
      <c r="D170" t="s">
        <v>35</v>
      </c>
      <c r="E170" t="s">
        <v>49</v>
      </c>
      <c r="F170" t="s">
        <v>28</v>
      </c>
      <c r="G170" t="s">
        <v>20</v>
      </c>
      <c r="H170" t="s">
        <v>21</v>
      </c>
      <c r="I170" t="s">
        <v>24</v>
      </c>
      <c r="J170" t="s">
        <v>63</v>
      </c>
      <c r="K170">
        <v>2565</v>
      </c>
      <c r="L170" s="4">
        <v>1.6354749</v>
      </c>
      <c r="M170" s="4">
        <v>74.798394612599097</v>
      </c>
      <c r="N170" s="4">
        <v>-0.34251622055333664</v>
      </c>
      <c r="O170" s="1" t="str">
        <f>HYPERLINK(".\sm_car_250206_1736\sm_car_250206_1736_169_Ca124TrN_MaLSS_ode3_1.png","figure")</f>
        <v>figure</v>
      </c>
      <c r="P170" t="s">
        <v>15</v>
      </c>
    </row>
    <row r="171" spans="1:16" x14ac:dyDescent="0.25">
      <c r="A171">
        <v>170</v>
      </c>
      <c r="B171">
        <v>124</v>
      </c>
      <c r="C171" t="s">
        <v>16</v>
      </c>
      <c r="D171" t="s">
        <v>35</v>
      </c>
      <c r="E171" t="s">
        <v>49</v>
      </c>
      <c r="F171" t="s">
        <v>28</v>
      </c>
      <c r="G171" t="s">
        <v>20</v>
      </c>
      <c r="H171" t="s">
        <v>21</v>
      </c>
      <c r="I171" t="s">
        <v>64</v>
      </c>
      <c r="J171" t="s">
        <v>63</v>
      </c>
      <c r="K171">
        <v>2564</v>
      </c>
      <c r="L171" s="4">
        <v>1.6245932000000001</v>
      </c>
      <c r="M171" s="4">
        <v>71.449352968456878</v>
      </c>
      <c r="N171" s="4">
        <v>-17.63759605520924</v>
      </c>
      <c r="O171" s="1" t="str">
        <f>HYPERLINK(".\sm_car_250206_1736\sm_car_250206_1736_170_Ca124TrN_MaTUR_ode3_1.png","figure")</f>
        <v>figure</v>
      </c>
      <c r="P171" t="s">
        <v>15</v>
      </c>
    </row>
    <row r="172" spans="1:16" x14ac:dyDescent="0.25">
      <c r="A172">
        <v>171</v>
      </c>
      <c r="B172">
        <v>141</v>
      </c>
      <c r="C172" t="s">
        <v>45</v>
      </c>
      <c r="D172" t="s">
        <v>17</v>
      </c>
      <c r="E172" t="s">
        <v>18</v>
      </c>
      <c r="F172" t="s">
        <v>28</v>
      </c>
      <c r="G172" t="s">
        <v>26</v>
      </c>
      <c r="H172" t="s">
        <v>21</v>
      </c>
      <c r="I172" t="s">
        <v>22</v>
      </c>
      <c r="J172" t="s">
        <v>63</v>
      </c>
      <c r="K172">
        <v>3834</v>
      </c>
      <c r="L172" s="4">
        <v>12.7276753</v>
      </c>
      <c r="M172" s="4">
        <v>411.22792847602506</v>
      </c>
      <c r="N172" s="4">
        <v>1.5233271513306836</v>
      </c>
      <c r="O172" s="1" t="str">
        <f>HYPERLINK(".\sm_car_250206_1736\sm_car_250206_1736_171_Ca141TrN_MaWOT_ode3_1.png","figure")</f>
        <v>figure</v>
      </c>
      <c r="P172" t="s">
        <v>15</v>
      </c>
    </row>
    <row r="173" spans="1:16" x14ac:dyDescent="0.25">
      <c r="A173">
        <v>172</v>
      </c>
      <c r="B173">
        <v>141</v>
      </c>
      <c r="C173" t="s">
        <v>45</v>
      </c>
      <c r="D173" t="s">
        <v>17</v>
      </c>
      <c r="E173" t="s">
        <v>18</v>
      </c>
      <c r="F173" t="s">
        <v>28</v>
      </c>
      <c r="G173" t="s">
        <v>26</v>
      </c>
      <c r="H173" t="s">
        <v>21</v>
      </c>
      <c r="I173" t="s">
        <v>24</v>
      </c>
      <c r="J173" t="s">
        <v>63</v>
      </c>
      <c r="K173">
        <v>3192</v>
      </c>
      <c r="L173" s="4">
        <v>10.101527900000001</v>
      </c>
      <c r="M173" s="4">
        <v>157.12815752213527</v>
      </c>
      <c r="N173" s="4">
        <v>-0.5645994055756246</v>
      </c>
      <c r="O173" s="1" t="str">
        <f>HYPERLINK(".\sm_car_250206_1736\sm_car_250206_1736_172_Ca141TrN_MaLSS_ode3_1.png","figure")</f>
        <v>figure</v>
      </c>
      <c r="P173" t="s">
        <v>15</v>
      </c>
    </row>
    <row r="174" spans="1:16" x14ac:dyDescent="0.25">
      <c r="A174">
        <v>173</v>
      </c>
      <c r="B174">
        <v>141</v>
      </c>
      <c r="C174" t="s">
        <v>45</v>
      </c>
      <c r="D174" t="s">
        <v>17</v>
      </c>
      <c r="E174" t="s">
        <v>18</v>
      </c>
      <c r="F174" t="s">
        <v>28</v>
      </c>
      <c r="G174" t="s">
        <v>26</v>
      </c>
      <c r="H174" t="s">
        <v>21</v>
      </c>
      <c r="I174" t="s">
        <v>64</v>
      </c>
      <c r="J174" t="s">
        <v>63</v>
      </c>
      <c r="K174">
        <v>3160</v>
      </c>
      <c r="L174" s="4">
        <v>10.0520385</v>
      </c>
      <c r="M174" s="4">
        <v>99.142812471287741</v>
      </c>
      <c r="N174" s="4">
        <v>-89.336781381079831</v>
      </c>
      <c r="O174" s="1" t="str">
        <f>HYPERLINK(".\sm_car_250206_1736\sm_car_250206_1736_173_Ca141TrN_MaTUR_ode3_1.png","figure")</f>
        <v>figure</v>
      </c>
      <c r="P174" t="s">
        <v>15</v>
      </c>
    </row>
    <row r="175" spans="1:16" x14ac:dyDescent="0.25">
      <c r="A175">
        <v>174</v>
      </c>
      <c r="B175">
        <v>145</v>
      </c>
      <c r="C175" t="s">
        <v>46</v>
      </c>
      <c r="D175" t="s">
        <v>17</v>
      </c>
      <c r="E175" t="s">
        <v>50</v>
      </c>
      <c r="F175" t="s">
        <v>19</v>
      </c>
      <c r="G175" t="s">
        <v>26</v>
      </c>
      <c r="H175" t="s">
        <v>21</v>
      </c>
      <c r="I175" t="s">
        <v>22</v>
      </c>
      <c r="J175" t="s">
        <v>63</v>
      </c>
      <c r="K175">
        <v>2852</v>
      </c>
      <c r="L175" s="4">
        <v>7.5144118999999998</v>
      </c>
      <c r="M175" s="4">
        <v>96.916334895944843</v>
      </c>
      <c r="N175" s="4">
        <v>8.561370597194301E-2</v>
      </c>
      <c r="O175" s="1" t="str">
        <f>HYPERLINK(".\sm_car_250206_1736\sm_car_250206_1736_174_Ca145TrN_MaWOT_ode3_1.png","figure")</f>
        <v>figure</v>
      </c>
      <c r="P175" t="s">
        <v>15</v>
      </c>
    </row>
    <row r="176" spans="1:16" x14ac:dyDescent="0.25">
      <c r="A176">
        <v>175</v>
      </c>
      <c r="B176">
        <v>145</v>
      </c>
      <c r="C176" t="s">
        <v>46</v>
      </c>
      <c r="D176" t="s">
        <v>17</v>
      </c>
      <c r="E176" t="s">
        <v>50</v>
      </c>
      <c r="F176" t="s">
        <v>19</v>
      </c>
      <c r="G176" t="s">
        <v>26</v>
      </c>
      <c r="H176" t="s">
        <v>21</v>
      </c>
      <c r="I176" t="s">
        <v>24</v>
      </c>
      <c r="J176" t="s">
        <v>63</v>
      </c>
      <c r="K176">
        <v>2380</v>
      </c>
      <c r="L176" s="4">
        <v>6.1477325</v>
      </c>
      <c r="M176" s="4">
        <v>25.406467285427112</v>
      </c>
      <c r="N176" s="4">
        <v>-4.2611053323550682E-2</v>
      </c>
      <c r="O176" s="1" t="str">
        <f>HYPERLINK(".\sm_car_250206_1736\sm_car_250206_1736_175_Ca145TrN_MaLSS_ode3_1.png","figure")</f>
        <v>figure</v>
      </c>
      <c r="P176" t="s">
        <v>15</v>
      </c>
    </row>
    <row r="177" spans="1:16" x14ac:dyDescent="0.25">
      <c r="A177">
        <v>176</v>
      </c>
      <c r="B177">
        <v>145</v>
      </c>
      <c r="C177" t="s">
        <v>46</v>
      </c>
      <c r="D177" t="s">
        <v>17</v>
      </c>
      <c r="E177" t="s">
        <v>50</v>
      </c>
      <c r="F177" t="s">
        <v>19</v>
      </c>
      <c r="G177" t="s">
        <v>26</v>
      </c>
      <c r="H177" t="s">
        <v>21</v>
      </c>
      <c r="I177" t="s">
        <v>64</v>
      </c>
      <c r="J177" t="s">
        <v>63</v>
      </c>
      <c r="K177">
        <v>2381</v>
      </c>
      <c r="L177" s="4">
        <v>6.3303307000000002</v>
      </c>
      <c r="M177" s="4">
        <v>25.252817023767324</v>
      </c>
      <c r="N177" s="4">
        <v>-2.6278209780660262</v>
      </c>
      <c r="O177" s="1" t="str">
        <f>HYPERLINK(".\sm_car_250206_1736\sm_car_250206_1736_176_Ca145TrN_MaTUR_ode3_1.png","figure")</f>
        <v>figure</v>
      </c>
      <c r="P177" t="s">
        <v>15</v>
      </c>
    </row>
    <row r="178" spans="1:16" x14ac:dyDescent="0.25">
      <c r="A178">
        <v>177</v>
      </c>
      <c r="B178">
        <v>199</v>
      </c>
      <c r="C178" t="s">
        <v>46</v>
      </c>
      <c r="D178" t="s">
        <v>17</v>
      </c>
      <c r="E178" t="s">
        <v>109</v>
      </c>
      <c r="F178" t="s">
        <v>19</v>
      </c>
      <c r="G178" t="s">
        <v>26</v>
      </c>
      <c r="H178" t="s">
        <v>21</v>
      </c>
      <c r="I178" t="s">
        <v>22</v>
      </c>
      <c r="J178" t="s">
        <v>63</v>
      </c>
      <c r="K178">
        <v>2854</v>
      </c>
      <c r="L178" s="4">
        <v>8.1426915999999991</v>
      </c>
      <c r="M178" s="4">
        <v>97.72769805979955</v>
      </c>
      <c r="N178" s="4">
        <v>-5.0716881747819013E-2</v>
      </c>
      <c r="O178" s="1" t="str">
        <f>HYPERLINK(".\sm_car_250206_1736\sm_car_250206_1736_177_Ca199TrN_MaWOT_ode3_1.png","figure")</f>
        <v>figure</v>
      </c>
      <c r="P178" t="s">
        <v>15</v>
      </c>
    </row>
    <row r="179" spans="1:16" x14ac:dyDescent="0.25">
      <c r="A179">
        <v>178</v>
      </c>
      <c r="B179">
        <v>199</v>
      </c>
      <c r="C179" t="s">
        <v>46</v>
      </c>
      <c r="D179" t="s">
        <v>17</v>
      </c>
      <c r="E179" t="s">
        <v>109</v>
      </c>
      <c r="F179" t="s">
        <v>19</v>
      </c>
      <c r="G179" t="s">
        <v>26</v>
      </c>
      <c r="H179" t="s">
        <v>21</v>
      </c>
      <c r="I179" t="s">
        <v>24</v>
      </c>
      <c r="J179" t="s">
        <v>63</v>
      </c>
      <c r="K179">
        <v>2381</v>
      </c>
      <c r="L179" s="4">
        <v>7.2462232000000002</v>
      </c>
      <c r="M179" s="4">
        <v>26.092676274625305</v>
      </c>
      <c r="N179" s="4">
        <v>-5.5248795523061167E-2</v>
      </c>
      <c r="O179" s="1" t="str">
        <f>HYPERLINK(".\sm_car_250206_1736\sm_car_250206_1736_178_Ca199TrN_MaLSS_ode3_1.png","figure")</f>
        <v>figure</v>
      </c>
      <c r="P179" t="s">
        <v>15</v>
      </c>
    </row>
    <row r="180" spans="1:16" x14ac:dyDescent="0.25">
      <c r="A180">
        <v>179</v>
      </c>
      <c r="B180">
        <v>199</v>
      </c>
      <c r="C180" t="s">
        <v>46</v>
      </c>
      <c r="D180" t="s">
        <v>17</v>
      </c>
      <c r="E180" t="s">
        <v>109</v>
      </c>
      <c r="F180" t="s">
        <v>19</v>
      </c>
      <c r="G180" t="s">
        <v>26</v>
      </c>
      <c r="H180" t="s">
        <v>21</v>
      </c>
      <c r="I180" t="s">
        <v>64</v>
      </c>
      <c r="J180" t="s">
        <v>63</v>
      </c>
      <c r="K180">
        <v>2385</v>
      </c>
      <c r="L180" s="4">
        <v>6.9685918999999998</v>
      </c>
      <c r="M180" s="4">
        <v>25.92677454518039</v>
      </c>
      <c r="N180" s="4">
        <v>-2.7324566843135929</v>
      </c>
      <c r="O180" s="1" t="str">
        <f>HYPERLINK(".\sm_car_250206_1736\sm_car_250206_1736_179_Ca199TrN_MaTUR_ode3_1.png","figure")</f>
        <v>figure</v>
      </c>
      <c r="P180" t="s">
        <v>15</v>
      </c>
    </row>
    <row r="181" spans="1:16" x14ac:dyDescent="0.25">
      <c r="A181">
        <v>180</v>
      </c>
      <c r="B181">
        <v>139</v>
      </c>
      <c r="C181" t="s">
        <v>45</v>
      </c>
      <c r="D181" t="s">
        <v>17</v>
      </c>
      <c r="E181" t="s">
        <v>18</v>
      </c>
      <c r="F181" t="s">
        <v>19</v>
      </c>
      <c r="G181" t="s">
        <v>26</v>
      </c>
      <c r="H181" t="s">
        <v>21</v>
      </c>
      <c r="I181" t="s">
        <v>53</v>
      </c>
      <c r="J181" t="s">
        <v>23</v>
      </c>
      <c r="K181">
        <v>566</v>
      </c>
      <c r="L181" s="4">
        <v>12.4133762</v>
      </c>
      <c r="M181" s="4">
        <v>253.36386969403907</v>
      </c>
      <c r="N181" s="4">
        <v>-6.4885562895105053E-3</v>
      </c>
      <c r="O181" s="1" t="str">
        <f>HYPERLINK(".\sm_car_250206_1736\sm_car_250206_1736_180_Ca139TrN_MaDLC_ode23t_1.png","figure")</f>
        <v>figure</v>
      </c>
      <c r="P181" t="s">
        <v>15</v>
      </c>
    </row>
    <row r="182" spans="1:16" x14ac:dyDescent="0.25">
      <c r="A182">
        <v>181</v>
      </c>
      <c r="B182">
        <v>139</v>
      </c>
      <c r="C182" t="s">
        <v>45</v>
      </c>
      <c r="D182" t="s">
        <v>17</v>
      </c>
      <c r="E182" t="s">
        <v>18</v>
      </c>
      <c r="F182" t="s">
        <v>19</v>
      </c>
      <c r="G182" t="s">
        <v>26</v>
      </c>
      <c r="H182" t="s">
        <v>65</v>
      </c>
      <c r="I182" t="s">
        <v>53</v>
      </c>
      <c r="J182" t="s">
        <v>23</v>
      </c>
      <c r="K182">
        <v>908</v>
      </c>
      <c r="L182" s="4">
        <v>31.408348</v>
      </c>
      <c r="M182" s="4">
        <v>253.26022798482461</v>
      </c>
      <c r="N182" s="4">
        <v>0.17893223722357243</v>
      </c>
      <c r="O182" s="1" t="str">
        <f>HYPERLINK(".\sm_car_250206_1736\sm_car_250206_1736_181_Ca139TrE_MaDLC_ode23t_1.png","figure")</f>
        <v>figure</v>
      </c>
      <c r="P182" t="s">
        <v>15</v>
      </c>
    </row>
    <row r="183" spans="1:16" x14ac:dyDescent="0.25">
      <c r="A183">
        <v>182</v>
      </c>
      <c r="B183">
        <v>139</v>
      </c>
      <c r="C183" t="s">
        <v>45</v>
      </c>
      <c r="D183" t="s">
        <v>17</v>
      </c>
      <c r="E183" t="s">
        <v>18</v>
      </c>
      <c r="F183" t="s">
        <v>19</v>
      </c>
      <c r="G183" t="s">
        <v>26</v>
      </c>
      <c r="H183" t="s">
        <v>66</v>
      </c>
      <c r="I183" t="s">
        <v>53</v>
      </c>
      <c r="J183" t="s">
        <v>23</v>
      </c>
      <c r="K183">
        <v>947</v>
      </c>
      <c r="L183" s="4">
        <v>33.2843819</v>
      </c>
      <c r="M183" s="4">
        <v>254.97467019401137</v>
      </c>
      <c r="N183" s="4">
        <v>-5.458390320330242E-3</v>
      </c>
      <c r="O183" s="1" t="str">
        <f>HYPERLINK(".\sm_car_250206_1736\sm_car_250206_1736_182_Ca139TrT_MaDLC_ode23t_1.png","figure")</f>
        <v>figure</v>
      </c>
      <c r="P183" t="s">
        <v>15</v>
      </c>
    </row>
    <row r="184" spans="1:16" x14ac:dyDescent="0.25">
      <c r="A184">
        <v>183</v>
      </c>
      <c r="B184">
        <v>139</v>
      </c>
      <c r="C184" t="s">
        <v>45</v>
      </c>
      <c r="D184" t="s">
        <v>17</v>
      </c>
      <c r="E184" t="s">
        <v>18</v>
      </c>
      <c r="F184" t="s">
        <v>19</v>
      </c>
      <c r="G184" t="s">
        <v>26</v>
      </c>
      <c r="H184" t="s">
        <v>65</v>
      </c>
      <c r="I184" t="s">
        <v>53</v>
      </c>
      <c r="J184" t="s">
        <v>23</v>
      </c>
      <c r="K184">
        <v>764</v>
      </c>
      <c r="L184" s="4">
        <v>22.875605199999999</v>
      </c>
      <c r="M184" s="4">
        <v>253.27028026411114</v>
      </c>
      <c r="N184" s="4">
        <v>1.32285201271376E-2</v>
      </c>
      <c r="O184" s="1" t="str">
        <f>HYPERLINK(".\sm_car_250206_1736\sm_car_250206_1736_183_Ca139TrE_MaDLC_ode23t_1.png","figure")</f>
        <v>figure</v>
      </c>
      <c r="P184" t="s">
        <v>15</v>
      </c>
    </row>
    <row r="185" spans="1:16" x14ac:dyDescent="0.25">
      <c r="A185">
        <v>184</v>
      </c>
      <c r="B185">
        <v>2</v>
      </c>
      <c r="C185" t="s">
        <v>16</v>
      </c>
      <c r="D185" t="s">
        <v>17</v>
      </c>
      <c r="E185" t="s">
        <v>18</v>
      </c>
      <c r="F185" t="s">
        <v>19</v>
      </c>
      <c r="G185" t="s">
        <v>26</v>
      </c>
      <c r="H185" t="s">
        <v>21</v>
      </c>
      <c r="I185" t="s">
        <v>53</v>
      </c>
      <c r="J185" t="s">
        <v>23</v>
      </c>
      <c r="K185">
        <v>628</v>
      </c>
      <c r="L185" s="4">
        <v>10.792235099999999</v>
      </c>
      <c r="M185" s="4">
        <v>254.03796525016344</v>
      </c>
      <c r="N185" s="4">
        <v>3.3104817414173482E-3</v>
      </c>
      <c r="O185" s="1" t="str">
        <f>HYPERLINK(".\sm_car_250206_1736\sm_car_250206_1736_184_Ca002TrN_MaDLC_ode23t_1.png","figure")</f>
        <v>figure</v>
      </c>
      <c r="P185" t="s">
        <v>15</v>
      </c>
    </row>
    <row r="186" spans="1:16" x14ac:dyDescent="0.25">
      <c r="A186">
        <v>185</v>
      </c>
      <c r="B186">
        <v>2</v>
      </c>
      <c r="C186" t="s">
        <v>16</v>
      </c>
      <c r="D186" t="s">
        <v>17</v>
      </c>
      <c r="E186" t="s">
        <v>18</v>
      </c>
      <c r="F186" t="s">
        <v>19</v>
      </c>
      <c r="G186" t="s">
        <v>26</v>
      </c>
      <c r="H186" t="s">
        <v>65</v>
      </c>
      <c r="I186" t="s">
        <v>53</v>
      </c>
      <c r="J186" t="s">
        <v>23</v>
      </c>
      <c r="K186">
        <v>788</v>
      </c>
      <c r="L186" s="4">
        <v>24.246605500000001</v>
      </c>
      <c r="M186" s="4">
        <v>253.80186819622719</v>
      </c>
      <c r="N186" s="4">
        <v>3.4501897448202534E-3</v>
      </c>
      <c r="O186" s="1" t="str">
        <f>HYPERLINK(".\sm_car_250206_1736\sm_car_250206_1736_185_Ca002TrE_MaDLC_ode23t_1.png","figure")</f>
        <v>figure</v>
      </c>
      <c r="P186" t="s">
        <v>15</v>
      </c>
    </row>
    <row r="187" spans="1:16" x14ac:dyDescent="0.25">
      <c r="A187">
        <v>186</v>
      </c>
      <c r="B187">
        <v>2</v>
      </c>
      <c r="C187" t="s">
        <v>16</v>
      </c>
      <c r="D187" t="s">
        <v>17</v>
      </c>
      <c r="E187" t="s">
        <v>18</v>
      </c>
      <c r="F187" t="s">
        <v>19</v>
      </c>
      <c r="G187" t="s">
        <v>26</v>
      </c>
      <c r="H187" t="s">
        <v>66</v>
      </c>
      <c r="I187" t="s">
        <v>53</v>
      </c>
      <c r="J187" t="s">
        <v>23</v>
      </c>
      <c r="K187">
        <v>982</v>
      </c>
      <c r="L187" s="4">
        <v>33.345424000000001</v>
      </c>
      <c r="M187" s="4">
        <v>253.4548512573183</v>
      </c>
      <c r="N187" s="4">
        <v>3.6364134860926711E-3</v>
      </c>
      <c r="O187" s="1" t="str">
        <f>HYPERLINK(".\sm_car_250206_1736\sm_car_250206_1736_186_Ca002TrT_MaDLC_ode23t_1.png","figure")</f>
        <v>figure</v>
      </c>
      <c r="P187" t="s">
        <v>15</v>
      </c>
    </row>
    <row r="188" spans="1:16" x14ac:dyDescent="0.25">
      <c r="A188">
        <v>187</v>
      </c>
      <c r="B188">
        <v>2</v>
      </c>
      <c r="C188" t="s">
        <v>16</v>
      </c>
      <c r="D188" t="s">
        <v>17</v>
      </c>
      <c r="E188" t="s">
        <v>18</v>
      </c>
      <c r="F188" t="s">
        <v>19</v>
      </c>
      <c r="G188" t="s">
        <v>26</v>
      </c>
      <c r="H188" t="s">
        <v>65</v>
      </c>
      <c r="I188" t="s">
        <v>53</v>
      </c>
      <c r="J188" t="s">
        <v>23</v>
      </c>
      <c r="K188">
        <v>783</v>
      </c>
      <c r="L188" s="4">
        <v>18.322567800000002</v>
      </c>
      <c r="M188" s="4">
        <v>253.90956823419413</v>
      </c>
      <c r="N188" s="4">
        <v>3.3937173169791279E-3</v>
      </c>
      <c r="O188" s="1" t="str">
        <f>HYPERLINK(".\sm_car_250206_1736\sm_car_250206_1736_187_Ca002TrE_MaDLC_ode23t_1.png","figure")</f>
        <v>figure</v>
      </c>
      <c r="P188" t="s">
        <v>15</v>
      </c>
    </row>
    <row r="189" spans="1:16" x14ac:dyDescent="0.25">
      <c r="A189">
        <v>188</v>
      </c>
      <c r="B189">
        <v>145</v>
      </c>
      <c r="C189" t="s">
        <v>46</v>
      </c>
      <c r="D189" t="s">
        <v>17</v>
      </c>
      <c r="E189" t="s">
        <v>50</v>
      </c>
      <c r="F189" t="s">
        <v>19</v>
      </c>
      <c r="G189" t="s">
        <v>26</v>
      </c>
      <c r="H189" t="s">
        <v>21</v>
      </c>
      <c r="I189" t="s">
        <v>53</v>
      </c>
      <c r="J189" t="s">
        <v>23</v>
      </c>
      <c r="K189">
        <v>485</v>
      </c>
      <c r="L189" s="4">
        <v>20.995036299999999</v>
      </c>
      <c r="M189" s="4">
        <v>254.79768837993777</v>
      </c>
      <c r="N189" s="4">
        <v>4.3307709775834979E-2</v>
      </c>
      <c r="O189" s="1" t="str">
        <f>HYPERLINK(".\sm_car_250206_1736\sm_car_250206_1736_188_Ca145TrN_MaDLC_ode23t_1.png","figure")</f>
        <v>figure</v>
      </c>
      <c r="P189" t="s">
        <v>15</v>
      </c>
    </row>
    <row r="190" spans="1:16" x14ac:dyDescent="0.25">
      <c r="A190">
        <v>189</v>
      </c>
      <c r="B190">
        <v>145</v>
      </c>
      <c r="C190" t="s">
        <v>46</v>
      </c>
      <c r="D190" t="s">
        <v>17</v>
      </c>
      <c r="E190" t="s">
        <v>50</v>
      </c>
      <c r="F190" t="s">
        <v>19</v>
      </c>
      <c r="G190" t="s">
        <v>26</v>
      </c>
      <c r="H190" t="s">
        <v>65</v>
      </c>
      <c r="I190" t="s">
        <v>53</v>
      </c>
      <c r="J190" t="s">
        <v>23</v>
      </c>
      <c r="K190">
        <v>560</v>
      </c>
      <c r="L190" s="4">
        <v>39.496978599999998</v>
      </c>
      <c r="M190" s="4">
        <v>254.21797011524353</v>
      </c>
      <c r="N190" s="4">
        <v>4.5869186250908189E-2</v>
      </c>
      <c r="O190" s="1" t="str">
        <f>HYPERLINK(".\sm_car_250206_1736\sm_car_250206_1736_189_Ca145TrE_MaDLC_ode23t_1.png","figure")</f>
        <v>figure</v>
      </c>
      <c r="P190" t="s">
        <v>15</v>
      </c>
    </row>
    <row r="191" spans="1:16" x14ac:dyDescent="0.25">
      <c r="A191">
        <v>190</v>
      </c>
      <c r="B191">
        <v>145</v>
      </c>
      <c r="C191" t="s">
        <v>46</v>
      </c>
      <c r="D191" t="s">
        <v>17</v>
      </c>
      <c r="E191" t="s">
        <v>50</v>
      </c>
      <c r="F191" t="s">
        <v>19</v>
      </c>
      <c r="G191" t="s">
        <v>26</v>
      </c>
      <c r="H191" t="s">
        <v>66</v>
      </c>
      <c r="I191" t="s">
        <v>53</v>
      </c>
      <c r="J191" t="s">
        <v>23</v>
      </c>
      <c r="K191">
        <v>639</v>
      </c>
      <c r="L191" s="4">
        <v>41.009606599999998</v>
      </c>
      <c r="M191" s="4">
        <v>253.75097717183195</v>
      </c>
      <c r="N191" s="4">
        <v>4.7312040149775747E-2</v>
      </c>
      <c r="O191" s="1" t="str">
        <f>HYPERLINK(".\sm_car_250206_1736\sm_car_250206_1736_190_Ca145TrT_MaDLC_ode23t_1.png","figure")</f>
        <v>figure</v>
      </c>
      <c r="P191" t="s">
        <v>15</v>
      </c>
    </row>
    <row r="192" spans="1:16" x14ac:dyDescent="0.25">
      <c r="A192">
        <v>191</v>
      </c>
      <c r="B192">
        <v>145</v>
      </c>
      <c r="C192" t="s">
        <v>46</v>
      </c>
      <c r="D192" t="s">
        <v>17</v>
      </c>
      <c r="E192" t="s">
        <v>50</v>
      </c>
      <c r="F192" t="s">
        <v>19</v>
      </c>
      <c r="G192" t="s">
        <v>26</v>
      </c>
      <c r="H192" t="s">
        <v>65</v>
      </c>
      <c r="I192" t="s">
        <v>53</v>
      </c>
      <c r="J192" t="s">
        <v>23</v>
      </c>
      <c r="K192">
        <v>553</v>
      </c>
      <c r="L192" s="4">
        <v>32.768831900000002</v>
      </c>
      <c r="M192" s="4">
        <v>254.21822619339679</v>
      </c>
      <c r="N192" s="4">
        <v>4.5875722484531867E-2</v>
      </c>
      <c r="O192" s="1" t="str">
        <f>HYPERLINK(".\sm_car_250206_1736\sm_car_250206_1736_191_Ca145TrE_MaDLC_ode23t_1.png","figure")</f>
        <v>figure</v>
      </c>
      <c r="P192" t="s">
        <v>15</v>
      </c>
    </row>
    <row r="193" spans="1:16" x14ac:dyDescent="0.25">
      <c r="A193">
        <v>192</v>
      </c>
      <c r="B193">
        <v>199</v>
      </c>
      <c r="C193" t="s">
        <v>46</v>
      </c>
      <c r="D193" t="s">
        <v>17</v>
      </c>
      <c r="E193" t="s">
        <v>109</v>
      </c>
      <c r="F193" t="s">
        <v>19</v>
      </c>
      <c r="G193" t="s">
        <v>26</v>
      </c>
      <c r="H193" t="s">
        <v>21</v>
      </c>
      <c r="I193" t="s">
        <v>53</v>
      </c>
      <c r="J193" t="s">
        <v>23</v>
      </c>
      <c r="K193">
        <v>491</v>
      </c>
      <c r="L193" s="4">
        <v>8.4713493999999994</v>
      </c>
      <c r="M193" s="4">
        <v>255.43462944699672</v>
      </c>
      <c r="N193" s="4">
        <v>4.1214058835152834E-2</v>
      </c>
      <c r="O193" s="1" t="str">
        <f>HYPERLINK(".\sm_car_250206_1736\sm_car_250206_1736_192_Ca199TrN_MaDLC_ode23t_1.png","figure")</f>
        <v>figure</v>
      </c>
      <c r="P193" t="s">
        <v>15</v>
      </c>
    </row>
    <row r="194" spans="1:16" x14ac:dyDescent="0.25">
      <c r="A194">
        <v>193</v>
      </c>
      <c r="B194">
        <v>199</v>
      </c>
      <c r="C194" t="s">
        <v>46</v>
      </c>
      <c r="D194" t="s">
        <v>17</v>
      </c>
      <c r="E194" t="s">
        <v>109</v>
      </c>
      <c r="F194" t="s">
        <v>19</v>
      </c>
      <c r="G194" t="s">
        <v>26</v>
      </c>
      <c r="H194" t="s">
        <v>65</v>
      </c>
      <c r="I194" t="s">
        <v>53</v>
      </c>
      <c r="J194" t="s">
        <v>23</v>
      </c>
      <c r="K194">
        <v>563</v>
      </c>
      <c r="L194" s="4">
        <v>20.0629116</v>
      </c>
      <c r="M194" s="4">
        <v>253.91216731495751</v>
      </c>
      <c r="N194" s="4">
        <v>4.7078330069973084E-2</v>
      </c>
      <c r="O194" s="1" t="str">
        <f>HYPERLINK(".\sm_car_250206_1736\sm_car_250206_1736_193_Ca199TrE_MaDLC_ode23t_1.png","figure")</f>
        <v>figure</v>
      </c>
      <c r="P194" t="s">
        <v>15</v>
      </c>
    </row>
    <row r="195" spans="1:16" x14ac:dyDescent="0.25">
      <c r="A195">
        <v>194</v>
      </c>
      <c r="B195">
        <v>199</v>
      </c>
      <c r="C195" t="s">
        <v>46</v>
      </c>
      <c r="D195" t="s">
        <v>17</v>
      </c>
      <c r="E195" t="s">
        <v>109</v>
      </c>
      <c r="F195" t="s">
        <v>19</v>
      </c>
      <c r="G195" t="s">
        <v>26</v>
      </c>
      <c r="H195" t="s">
        <v>66</v>
      </c>
      <c r="I195" t="s">
        <v>53</v>
      </c>
      <c r="J195" t="s">
        <v>23</v>
      </c>
      <c r="K195">
        <v>645</v>
      </c>
      <c r="L195" s="4">
        <v>18.6630869</v>
      </c>
      <c r="M195" s="4">
        <v>255.08220623928736</v>
      </c>
      <c r="N195" s="4">
        <v>4.2301851587888351E-2</v>
      </c>
      <c r="O195" s="1" t="str">
        <f>HYPERLINK(".\sm_car_250206_1736\sm_car_250206_1736_194_Ca199TrT_MaDLC_ode23t_1.png","figure")</f>
        <v>figure</v>
      </c>
      <c r="P195" t="s">
        <v>15</v>
      </c>
    </row>
    <row r="196" spans="1:16" x14ac:dyDescent="0.25">
      <c r="A196">
        <v>195</v>
      </c>
      <c r="B196">
        <v>199</v>
      </c>
      <c r="C196" t="s">
        <v>46</v>
      </c>
      <c r="D196" t="s">
        <v>17</v>
      </c>
      <c r="E196" t="s">
        <v>109</v>
      </c>
      <c r="F196" t="s">
        <v>19</v>
      </c>
      <c r="G196" t="s">
        <v>26</v>
      </c>
      <c r="H196" t="s">
        <v>65</v>
      </c>
      <c r="I196" t="s">
        <v>53</v>
      </c>
      <c r="J196" t="s">
        <v>23</v>
      </c>
      <c r="K196">
        <v>559</v>
      </c>
      <c r="L196" s="4">
        <v>14.3908109</v>
      </c>
      <c r="M196" s="4">
        <v>254.22038527154695</v>
      </c>
      <c r="N196" s="4">
        <v>4.5865165028457167E-2</v>
      </c>
      <c r="O196" s="1" t="str">
        <f>HYPERLINK(".\sm_car_250206_1736\sm_car_250206_1736_195_Ca199TrE_MaDLC_ode23t_1.png","figure")</f>
        <v>figure</v>
      </c>
      <c r="P196" t="s">
        <v>15</v>
      </c>
    </row>
    <row r="197" spans="1:16" x14ac:dyDescent="0.25">
      <c r="A197">
        <v>196</v>
      </c>
      <c r="B197">
        <v>139</v>
      </c>
      <c r="C197" t="s">
        <v>45</v>
      </c>
      <c r="D197" t="s">
        <v>17</v>
      </c>
      <c r="E197" t="s">
        <v>18</v>
      </c>
      <c r="F197" t="s">
        <v>19</v>
      </c>
      <c r="G197" t="s">
        <v>26</v>
      </c>
      <c r="H197" t="s">
        <v>65</v>
      </c>
      <c r="I197" t="s">
        <v>67</v>
      </c>
      <c r="J197" t="s">
        <v>23</v>
      </c>
      <c r="K197">
        <v>460</v>
      </c>
      <c r="L197" s="4">
        <v>15.5102995</v>
      </c>
      <c r="M197" s="4">
        <v>261.5918495881873</v>
      </c>
      <c r="N197" s="4">
        <v>1.361874853920586E-3</v>
      </c>
      <c r="O197" s="1" t="str">
        <f>HYPERLINK(".\sm_car_250206_1736\sm_car_250206_1736_196_Ca139TrE_MaTRD_ode23t_1.png","figure")</f>
        <v>figure</v>
      </c>
      <c r="P197" t="s">
        <v>15</v>
      </c>
    </row>
    <row r="198" spans="1:16" x14ac:dyDescent="0.25">
      <c r="A198">
        <v>197</v>
      </c>
      <c r="B198">
        <v>139</v>
      </c>
      <c r="C198" t="s">
        <v>45</v>
      </c>
      <c r="D198" t="s">
        <v>17</v>
      </c>
      <c r="E198" t="s">
        <v>18</v>
      </c>
      <c r="F198" t="s">
        <v>19</v>
      </c>
      <c r="G198" t="s">
        <v>26</v>
      </c>
      <c r="H198" t="s">
        <v>65</v>
      </c>
      <c r="I198" t="s">
        <v>67</v>
      </c>
      <c r="J198" t="s">
        <v>23</v>
      </c>
      <c r="K198">
        <v>507</v>
      </c>
      <c r="L198" s="4">
        <v>15.601991200000001</v>
      </c>
      <c r="M198" s="4">
        <v>261.54650932234466</v>
      </c>
      <c r="N198" s="4">
        <v>1.2783670054008489E-3</v>
      </c>
      <c r="O198" s="1" t="str">
        <f>HYPERLINK(".\sm_car_250206_1736\sm_car_250206_1736_197_Ca139TrU_MaTRD_ode23t_1.png","figure")</f>
        <v>figure</v>
      </c>
      <c r="P198" t="s">
        <v>15</v>
      </c>
    </row>
    <row r="199" spans="1:16" x14ac:dyDescent="0.25">
      <c r="A199">
        <v>198</v>
      </c>
      <c r="B199">
        <v>149</v>
      </c>
      <c r="C199" t="s">
        <v>46</v>
      </c>
      <c r="D199" t="s">
        <v>17</v>
      </c>
      <c r="E199" t="s">
        <v>68</v>
      </c>
      <c r="F199" t="s">
        <v>19</v>
      </c>
      <c r="G199" t="s">
        <v>26</v>
      </c>
      <c r="H199" t="s">
        <v>21</v>
      </c>
      <c r="I199" t="s">
        <v>69</v>
      </c>
      <c r="J199" t="s">
        <v>23</v>
      </c>
      <c r="K199">
        <v>1263</v>
      </c>
      <c r="L199" s="4">
        <v>12.3810129</v>
      </c>
      <c r="M199" s="4">
        <v>-5.4242766367222405E-3</v>
      </c>
      <c r="N199" s="4">
        <v>-7.5330847368094099E-4</v>
      </c>
      <c r="O199" s="1" t="str">
        <f>HYPERLINK(".\sm_car_250206_1736\sm_car_250206_1736_198_Ca149TrN_MaPST_ode23t_1.png","figure")</f>
        <v>figure</v>
      </c>
      <c r="P199" t="s">
        <v>15</v>
      </c>
    </row>
    <row r="200" spans="1:16" x14ac:dyDescent="0.25">
      <c r="A200">
        <v>199</v>
      </c>
      <c r="B200">
        <v>139</v>
      </c>
      <c r="C200" t="s">
        <v>45</v>
      </c>
      <c r="D200" t="s">
        <v>17</v>
      </c>
      <c r="E200" t="s">
        <v>18</v>
      </c>
      <c r="F200" t="s">
        <v>19</v>
      </c>
      <c r="G200" t="s">
        <v>26</v>
      </c>
      <c r="H200" t="s">
        <v>21</v>
      </c>
      <c r="I200" t="s">
        <v>70</v>
      </c>
      <c r="J200" t="s">
        <v>23</v>
      </c>
      <c r="K200">
        <v>1703</v>
      </c>
      <c r="L200" s="4">
        <v>43.030718800000002</v>
      </c>
      <c r="M200" s="4">
        <v>36.416542569194078</v>
      </c>
      <c r="N200" s="4">
        <v>0.34886012978308689</v>
      </c>
      <c r="O200" s="1" t="str">
        <f>HYPERLINK(".\sm_car_250206_1736\sm_car_250206_1736_199_Ca139TrN_MaSKD_ode23t_1.png","figure")</f>
        <v>figure</v>
      </c>
      <c r="P200" t="s">
        <v>15</v>
      </c>
    </row>
    <row r="201" spans="1:16" x14ac:dyDescent="0.25">
      <c r="A201">
        <v>200</v>
      </c>
      <c r="B201">
        <v>139</v>
      </c>
      <c r="C201" t="s">
        <v>45</v>
      </c>
      <c r="D201" t="s">
        <v>17</v>
      </c>
      <c r="E201" t="s">
        <v>18</v>
      </c>
      <c r="F201" t="s">
        <v>19</v>
      </c>
      <c r="G201" t="s">
        <v>26</v>
      </c>
      <c r="H201" t="s">
        <v>21</v>
      </c>
      <c r="I201" t="s">
        <v>71</v>
      </c>
      <c r="J201" t="s">
        <v>23</v>
      </c>
      <c r="K201">
        <v>1212</v>
      </c>
      <c r="L201" s="4">
        <v>36.279673000000003</v>
      </c>
      <c r="M201" s="4">
        <v>3.3407242943956845</v>
      </c>
      <c r="N201" s="4">
        <v>26.70006270489543</v>
      </c>
      <c r="O201" s="1" t="str">
        <f>HYPERLINK(".\sm_car_250206_1736\sm_car_250206_1736_200_Ca139TrN_MaRAD_ode23t_1.png","figure")</f>
        <v>figure</v>
      </c>
      <c r="P201" t="s">
        <v>15</v>
      </c>
    </row>
    <row r="202" spans="1:16" x14ac:dyDescent="0.25">
      <c r="A202">
        <v>201</v>
      </c>
      <c r="B202">
        <v>184</v>
      </c>
      <c r="C202" t="s">
        <v>105</v>
      </c>
      <c r="D202" t="s">
        <v>120</v>
      </c>
      <c r="E202" t="s">
        <v>49</v>
      </c>
      <c r="F202" t="s">
        <v>19</v>
      </c>
      <c r="G202" t="s">
        <v>20</v>
      </c>
      <c r="H202" t="s">
        <v>21</v>
      </c>
      <c r="I202" t="s">
        <v>70</v>
      </c>
      <c r="J202" t="s">
        <v>23</v>
      </c>
      <c r="K202">
        <v>1385</v>
      </c>
      <c r="L202" s="4">
        <v>54.634962100000003</v>
      </c>
      <c r="M202" s="4">
        <v>36.571159470140458</v>
      </c>
      <c r="N202" s="4">
        <v>0.23718144319342974</v>
      </c>
      <c r="O202" s="1" t="str">
        <f>HYPERLINK(".\sm_car_250206_1736\sm_car_250206_1736_201_Ca184TrN_MaSKD_ode23t_1.png","figure")</f>
        <v>figure</v>
      </c>
      <c r="P202" t="s">
        <v>15</v>
      </c>
    </row>
    <row r="203" spans="1:16" x14ac:dyDescent="0.25">
      <c r="A203">
        <v>202</v>
      </c>
      <c r="B203">
        <v>184</v>
      </c>
      <c r="C203" t="s">
        <v>105</v>
      </c>
      <c r="D203" t="s">
        <v>120</v>
      </c>
      <c r="E203" t="s">
        <v>49</v>
      </c>
      <c r="F203" t="s">
        <v>19</v>
      </c>
      <c r="G203" t="s">
        <v>20</v>
      </c>
      <c r="H203" t="s">
        <v>21</v>
      </c>
      <c r="I203" t="s">
        <v>71</v>
      </c>
      <c r="J203" t="s">
        <v>23</v>
      </c>
      <c r="K203">
        <v>715</v>
      </c>
      <c r="L203" s="4">
        <v>27.1444133</v>
      </c>
      <c r="M203" s="4">
        <v>12.421857684133496</v>
      </c>
      <c r="N203" s="4">
        <v>21.887134412282133</v>
      </c>
      <c r="O203" s="1" t="str">
        <f>HYPERLINK(".\sm_car_250206_1736\sm_car_250206_1736_202_Ca184TrN_MaRAD_ode23t_1.png","figure")</f>
        <v>figure</v>
      </c>
      <c r="P203" t="s">
        <v>15</v>
      </c>
    </row>
    <row r="204" spans="1:16" x14ac:dyDescent="0.25">
      <c r="A204">
        <v>203</v>
      </c>
      <c r="B204">
        <v>198</v>
      </c>
      <c r="C204" t="s">
        <v>105</v>
      </c>
      <c r="D204" t="s">
        <v>120</v>
      </c>
      <c r="E204" t="s">
        <v>107</v>
      </c>
      <c r="F204" t="s">
        <v>19</v>
      </c>
      <c r="G204" t="s">
        <v>20</v>
      </c>
      <c r="H204" t="s">
        <v>21</v>
      </c>
      <c r="I204" t="s">
        <v>70</v>
      </c>
      <c r="J204" t="s">
        <v>23</v>
      </c>
      <c r="K204">
        <v>1522</v>
      </c>
      <c r="L204" s="4">
        <v>32.010956200000003</v>
      </c>
      <c r="M204" s="4">
        <v>36.776880606173066</v>
      </c>
      <c r="N204" s="4">
        <v>0.22936856969448219</v>
      </c>
      <c r="O204" s="1" t="str">
        <f>HYPERLINK(".\sm_car_250206_1736\sm_car_250206_1736_203_Ca198TrN_MaSKD_ode23t_1.png","figure")</f>
        <v>figure</v>
      </c>
      <c r="P204" t="s">
        <v>15</v>
      </c>
    </row>
    <row r="205" spans="1:16" x14ac:dyDescent="0.25">
      <c r="A205">
        <v>204</v>
      </c>
      <c r="B205">
        <v>198</v>
      </c>
      <c r="C205" t="s">
        <v>105</v>
      </c>
      <c r="D205" t="s">
        <v>120</v>
      </c>
      <c r="E205" t="s">
        <v>107</v>
      </c>
      <c r="F205" t="s">
        <v>19</v>
      </c>
      <c r="G205" t="s">
        <v>20</v>
      </c>
      <c r="H205" t="s">
        <v>21</v>
      </c>
      <c r="I205" t="s">
        <v>71</v>
      </c>
      <c r="J205" t="s">
        <v>23</v>
      </c>
      <c r="K205">
        <v>761</v>
      </c>
      <c r="L205" s="4">
        <v>15.733709299999999</v>
      </c>
      <c r="M205" s="4">
        <v>12.404564990331565</v>
      </c>
      <c r="N205" s="4">
        <v>21.84128550859278</v>
      </c>
      <c r="O205" s="1" t="str">
        <f>HYPERLINK(".\sm_car_250206_1736\sm_car_250206_1736_204_Ca198TrN_MaRAD_ode23t_1.png","figure")</f>
        <v>figure</v>
      </c>
      <c r="P205" t="s">
        <v>15</v>
      </c>
    </row>
    <row r="206" spans="1:16" x14ac:dyDescent="0.25">
      <c r="A206">
        <v>205</v>
      </c>
      <c r="B206">
        <v>156</v>
      </c>
      <c r="C206" t="s">
        <v>45</v>
      </c>
      <c r="D206" t="s">
        <v>17</v>
      </c>
      <c r="E206" t="s">
        <v>18</v>
      </c>
      <c r="F206" t="s">
        <v>19</v>
      </c>
      <c r="G206" t="s">
        <v>38</v>
      </c>
      <c r="H206" t="s">
        <v>21</v>
      </c>
      <c r="I206" t="s">
        <v>54</v>
      </c>
      <c r="J206" t="s">
        <v>23</v>
      </c>
      <c r="K206">
        <v>26669</v>
      </c>
      <c r="L206" s="4">
        <v>397.7981929</v>
      </c>
      <c r="M206" s="4">
        <v>20.053445846378466</v>
      </c>
      <c r="N206" s="4">
        <v>2.9329579039391223</v>
      </c>
      <c r="O206" s="1" t="str">
        <f>HYPERLINK(".\sm_car_250206_1736\sm_car_250206_1736_205_Ca156TrN_MaIPA_ode23t.png","figure")</f>
        <v>figure</v>
      </c>
      <c r="P206" t="s">
        <v>15</v>
      </c>
    </row>
    <row r="207" spans="1:16" x14ac:dyDescent="0.25">
      <c r="A207">
        <v>206</v>
      </c>
      <c r="B207">
        <v>130</v>
      </c>
      <c r="C207" t="s">
        <v>16</v>
      </c>
      <c r="D207" t="s">
        <v>17</v>
      </c>
      <c r="E207" t="s">
        <v>18</v>
      </c>
      <c r="F207" t="s">
        <v>19</v>
      </c>
      <c r="G207" t="s">
        <v>38</v>
      </c>
      <c r="H207" t="s">
        <v>21</v>
      </c>
      <c r="I207" t="s">
        <v>54</v>
      </c>
      <c r="J207" t="s">
        <v>23</v>
      </c>
      <c r="K207">
        <v>19404</v>
      </c>
      <c r="L207" s="4">
        <v>261.26869060000001</v>
      </c>
      <c r="M207" s="4">
        <v>16.597906505030025</v>
      </c>
      <c r="N207" s="4">
        <v>0.60141284422418206</v>
      </c>
      <c r="O207" s="1" t="str">
        <f>HYPERLINK(".\sm_car_250206_1736\sm_car_250206_1736_206_Ca130TrN_MaIPA_ode23t.png","figure")</f>
        <v>figure</v>
      </c>
      <c r="P207" t="s">
        <v>15</v>
      </c>
    </row>
    <row r="208" spans="1:16" x14ac:dyDescent="0.25">
      <c r="A208">
        <v>207</v>
      </c>
      <c r="B208">
        <v>171</v>
      </c>
      <c r="C208" t="s">
        <v>45</v>
      </c>
      <c r="D208" t="s">
        <v>17</v>
      </c>
      <c r="E208" t="s">
        <v>72</v>
      </c>
      <c r="F208" t="s">
        <v>19</v>
      </c>
      <c r="G208" t="s">
        <v>26</v>
      </c>
      <c r="H208" t="s">
        <v>21</v>
      </c>
      <c r="I208" t="s">
        <v>73</v>
      </c>
      <c r="J208" t="s">
        <v>23</v>
      </c>
      <c r="K208">
        <v>1361</v>
      </c>
      <c r="L208" s="4">
        <v>23.738741600000001</v>
      </c>
      <c r="M208" s="4">
        <v>346.65436389879216</v>
      </c>
      <c r="N208" s="4">
        <v>0.72461145329188359</v>
      </c>
      <c r="O208" s="1" t="str">
        <f>HYPERLINK(".\sm_car_250206_1736\sm_car_250206_1736_207_Ca171TrN_MaRDP_ode23t_1.png","figure")</f>
        <v>figure</v>
      </c>
      <c r="P208" t="s">
        <v>15</v>
      </c>
    </row>
    <row r="209" spans="1:16" x14ac:dyDescent="0.25">
      <c r="A209">
        <v>208</v>
      </c>
      <c r="B209">
        <v>172</v>
      </c>
      <c r="C209" t="s">
        <v>46</v>
      </c>
      <c r="D209" t="s">
        <v>17</v>
      </c>
      <c r="E209" t="s">
        <v>72</v>
      </c>
      <c r="F209" t="s">
        <v>19</v>
      </c>
      <c r="G209" t="s">
        <v>26</v>
      </c>
      <c r="H209" t="s">
        <v>21</v>
      </c>
      <c r="I209" t="s">
        <v>73</v>
      </c>
      <c r="J209" t="s">
        <v>23</v>
      </c>
      <c r="K209">
        <v>1318</v>
      </c>
      <c r="L209" s="4">
        <v>11.7385944</v>
      </c>
      <c r="M209" s="4">
        <v>142.01411282643528</v>
      </c>
      <c r="N209" s="4">
        <v>3.6912453629574113E-2</v>
      </c>
      <c r="O209" s="1" t="str">
        <f>HYPERLINK(".\sm_car_250206_1736\sm_car_250206_1736_208_Ca172TrN_MaRDP_ode23t_1.png","figure")</f>
        <v>figure</v>
      </c>
      <c r="P209" t="s">
        <v>15</v>
      </c>
    </row>
    <row r="210" spans="1:16" x14ac:dyDescent="0.25">
      <c r="A210">
        <v>209</v>
      </c>
      <c r="B210">
        <v>139</v>
      </c>
      <c r="C210" t="s">
        <v>45</v>
      </c>
      <c r="D210" t="s">
        <v>17</v>
      </c>
      <c r="E210" t="s">
        <v>18</v>
      </c>
      <c r="F210" t="s">
        <v>19</v>
      </c>
      <c r="G210" t="s">
        <v>26</v>
      </c>
      <c r="H210" t="s">
        <v>21</v>
      </c>
      <c r="I210" t="s">
        <v>74</v>
      </c>
      <c r="J210" t="s">
        <v>23</v>
      </c>
      <c r="K210">
        <v>1473</v>
      </c>
      <c r="L210" s="4">
        <v>18.3913504</v>
      </c>
      <c r="M210" s="4">
        <v>371.17182039116375</v>
      </c>
      <c r="N210" s="4">
        <v>0.86567635781107821</v>
      </c>
      <c r="O210" s="1" t="str">
        <f>HYPERLINK(".\sm_car_250206_1736\sm_car_250206_1736_209_Ca139TrN_MaZPL_ode23t_1.png","figure")</f>
        <v>figure</v>
      </c>
      <c r="P210" t="s">
        <v>15</v>
      </c>
    </row>
    <row r="211" spans="1:16" x14ac:dyDescent="0.25">
      <c r="A211">
        <v>210</v>
      </c>
      <c r="B211">
        <v>165</v>
      </c>
      <c r="C211" t="s">
        <v>45</v>
      </c>
      <c r="D211" t="s">
        <v>35</v>
      </c>
      <c r="E211" t="s">
        <v>49</v>
      </c>
      <c r="F211" t="s">
        <v>19</v>
      </c>
      <c r="G211" t="s">
        <v>26</v>
      </c>
      <c r="H211" t="s">
        <v>21</v>
      </c>
      <c r="I211" t="s">
        <v>74</v>
      </c>
      <c r="J211" t="s">
        <v>23</v>
      </c>
      <c r="K211">
        <v>2097</v>
      </c>
      <c r="L211" s="4">
        <v>10.548970499999999</v>
      </c>
      <c r="M211" s="4">
        <v>397.67062233406364</v>
      </c>
      <c r="N211" s="4">
        <v>0.3347888389790637</v>
      </c>
      <c r="O211" s="1" t="str">
        <f>HYPERLINK(".\sm_car_250206_1736\sm_car_250206_1736_210_Ca165TrN_MaZPL_ode23t_1.png","figure")</f>
        <v>figure</v>
      </c>
      <c r="P211" t="s">
        <v>15</v>
      </c>
    </row>
    <row r="212" spans="1:16" x14ac:dyDescent="0.25">
      <c r="A212">
        <v>211</v>
      </c>
      <c r="B212">
        <v>171</v>
      </c>
      <c r="C212" t="s">
        <v>45</v>
      </c>
      <c r="D212" t="s">
        <v>17</v>
      </c>
      <c r="E212" t="s">
        <v>72</v>
      </c>
      <c r="F212" t="s">
        <v>19</v>
      </c>
      <c r="G212" t="s">
        <v>26</v>
      </c>
      <c r="H212" t="s">
        <v>21</v>
      </c>
      <c r="I212" t="s">
        <v>74</v>
      </c>
      <c r="J212" t="s">
        <v>23</v>
      </c>
      <c r="K212">
        <v>1476</v>
      </c>
      <c r="L212" s="4">
        <v>24.317846800000002</v>
      </c>
      <c r="M212" s="4">
        <v>370.73056640534099</v>
      </c>
      <c r="N212" s="4">
        <v>0.79664955943641091</v>
      </c>
      <c r="O212" s="1" t="str">
        <f>HYPERLINK(".\sm_car_250206_1736\sm_car_250206_1736_211_Ca171TrN_MaZPL_ode23t_1.png","figure")</f>
        <v>figure</v>
      </c>
      <c r="P212" t="s">
        <v>15</v>
      </c>
    </row>
    <row r="213" spans="1:16" x14ac:dyDescent="0.25">
      <c r="A213">
        <v>212</v>
      </c>
      <c r="B213">
        <v>165</v>
      </c>
      <c r="C213" t="s">
        <v>45</v>
      </c>
      <c r="D213" t="s">
        <v>35</v>
      </c>
      <c r="E213" t="s">
        <v>49</v>
      </c>
      <c r="F213" t="s">
        <v>19</v>
      </c>
      <c r="G213" t="s">
        <v>26</v>
      </c>
      <c r="H213" t="s">
        <v>21</v>
      </c>
      <c r="I213" t="s">
        <v>75</v>
      </c>
      <c r="J213" t="s">
        <v>23</v>
      </c>
      <c r="K213">
        <v>503</v>
      </c>
      <c r="L213" s="4">
        <v>4.6080341999999996</v>
      </c>
      <c r="M213" s="4">
        <v>378.33357728512516</v>
      </c>
      <c r="N213" s="4">
        <v>0.32224736517305352</v>
      </c>
      <c r="O213" s="1" t="str">
        <f>HYPERLINK(".\sm_car_250206_1736\sm_car_250206_1736_212_Ca165TrN_MaCPL_ode23t_1.png","figure")</f>
        <v>figure</v>
      </c>
      <c r="P213" t="s">
        <v>15</v>
      </c>
    </row>
    <row r="214" spans="1:16" x14ac:dyDescent="0.25">
      <c r="A214">
        <v>213</v>
      </c>
      <c r="B214">
        <v>170</v>
      </c>
      <c r="C214" t="s">
        <v>45</v>
      </c>
      <c r="D214" t="s">
        <v>35</v>
      </c>
      <c r="E214" t="s">
        <v>49</v>
      </c>
      <c r="F214" t="s">
        <v>19</v>
      </c>
      <c r="G214" t="s">
        <v>20</v>
      </c>
      <c r="H214" t="s">
        <v>21</v>
      </c>
      <c r="I214" t="s">
        <v>75</v>
      </c>
      <c r="J214" t="s">
        <v>23</v>
      </c>
      <c r="K214">
        <v>465</v>
      </c>
      <c r="L214" s="4">
        <v>3.1531910000000001</v>
      </c>
      <c r="M214" s="4">
        <v>380.91793190860193</v>
      </c>
      <c r="N214" s="4">
        <v>0.32782964600872139</v>
      </c>
      <c r="O214" s="1" t="str">
        <f>HYPERLINK(".\sm_car_250206_1736\sm_car_250206_1736_213_Ca170TrN_MaCPL_ode23t_1.png","figure")</f>
        <v>figure</v>
      </c>
      <c r="P214" t="s">
        <v>15</v>
      </c>
    </row>
    <row r="215" spans="1:16" x14ac:dyDescent="0.25">
      <c r="A215">
        <v>214</v>
      </c>
      <c r="B215">
        <v>171</v>
      </c>
      <c r="C215" t="s">
        <v>45</v>
      </c>
      <c r="D215" t="s">
        <v>17</v>
      </c>
      <c r="E215" t="s">
        <v>72</v>
      </c>
      <c r="F215" t="s">
        <v>19</v>
      </c>
      <c r="G215" t="s">
        <v>26</v>
      </c>
      <c r="H215" t="s">
        <v>21</v>
      </c>
      <c r="I215" t="s">
        <v>76</v>
      </c>
      <c r="J215" t="s">
        <v>23</v>
      </c>
      <c r="K215">
        <v>2524</v>
      </c>
      <c r="L215" s="4">
        <v>43.021144499999998</v>
      </c>
      <c r="M215" s="4">
        <v>152.42603165822507</v>
      </c>
      <c r="N215" s="4">
        <v>1.9427394378514265E-3</v>
      </c>
      <c r="O215" s="1" t="str">
        <f>HYPERLINK(".\sm_car_250206_1736\sm_car_250206_1736_214_Ca171TrN_MaRDR_ode23t_1.png","figure")</f>
        <v>figure</v>
      </c>
      <c r="P215" t="s">
        <v>15</v>
      </c>
    </row>
    <row r="216" spans="1:16" x14ac:dyDescent="0.25">
      <c r="A216">
        <v>215</v>
      </c>
      <c r="B216">
        <v>172</v>
      </c>
      <c r="C216" t="s">
        <v>46</v>
      </c>
      <c r="D216" t="s">
        <v>17</v>
      </c>
      <c r="E216" t="s">
        <v>72</v>
      </c>
      <c r="F216" t="s">
        <v>19</v>
      </c>
      <c r="G216" t="s">
        <v>26</v>
      </c>
      <c r="H216" t="s">
        <v>21</v>
      </c>
      <c r="I216" t="s">
        <v>76</v>
      </c>
      <c r="J216" t="s">
        <v>23</v>
      </c>
      <c r="K216">
        <v>2966</v>
      </c>
      <c r="L216" s="4">
        <v>28.388367500000001</v>
      </c>
      <c r="M216" s="4">
        <v>146.52639655878988</v>
      </c>
      <c r="N216" s="4">
        <v>-4.7734989407911309E-3</v>
      </c>
      <c r="O216" s="1" t="str">
        <f>HYPERLINK(".\sm_car_250206_1736\sm_car_250206_1736_215_Ca172TrN_MaRDR_ode23t_1.png","figure")</f>
        <v>figure</v>
      </c>
      <c r="P216" t="s">
        <v>15</v>
      </c>
    </row>
    <row r="217" spans="1:16" x14ac:dyDescent="0.25">
      <c r="A217">
        <v>216</v>
      </c>
      <c r="B217">
        <v>139</v>
      </c>
      <c r="C217" t="s">
        <v>45</v>
      </c>
      <c r="D217" t="s">
        <v>17</v>
      </c>
      <c r="E217" t="s">
        <v>18</v>
      </c>
      <c r="F217" t="s">
        <v>19</v>
      </c>
      <c r="G217" t="s">
        <v>26</v>
      </c>
      <c r="H217" t="s">
        <v>21</v>
      </c>
      <c r="I217" t="s">
        <v>77</v>
      </c>
      <c r="J217" t="s">
        <v>23</v>
      </c>
      <c r="K217">
        <v>3048</v>
      </c>
      <c r="L217" s="4">
        <v>35.333459300000001</v>
      </c>
      <c r="M217" s="4">
        <v>176.53779174250664</v>
      </c>
      <c r="N217" s="4">
        <v>8.4648581396971423E-4</v>
      </c>
      <c r="O217" s="1" t="str">
        <f>HYPERLINK(".\sm_car_250206_1736\sm_car_250206_1736_216_Ca139TrN_MaZRR_ode23t_1.png","figure")</f>
        <v>figure</v>
      </c>
      <c r="P217" t="s">
        <v>15</v>
      </c>
    </row>
    <row r="218" spans="1:16" x14ac:dyDescent="0.25">
      <c r="A218">
        <v>217</v>
      </c>
      <c r="B218">
        <v>165</v>
      </c>
      <c r="C218" t="s">
        <v>45</v>
      </c>
      <c r="D218" t="s">
        <v>35</v>
      </c>
      <c r="E218" t="s">
        <v>49</v>
      </c>
      <c r="F218" t="s">
        <v>19</v>
      </c>
      <c r="G218" t="s">
        <v>26</v>
      </c>
      <c r="H218" t="s">
        <v>21</v>
      </c>
      <c r="I218" t="s">
        <v>77</v>
      </c>
      <c r="J218" t="s">
        <v>23</v>
      </c>
      <c r="K218">
        <v>3555</v>
      </c>
      <c r="L218" s="4">
        <v>21.6259671</v>
      </c>
      <c r="M218" s="4">
        <v>176.81462326611867</v>
      </c>
      <c r="N218" s="4">
        <v>8.1949487588311846E-5</v>
      </c>
      <c r="O218" s="1" t="str">
        <f>HYPERLINK(".\sm_car_250206_1736\sm_car_250206_1736_217_Ca165TrN_MaZRR_ode23t_1.png","figure")</f>
        <v>figure</v>
      </c>
      <c r="P218" t="s">
        <v>15</v>
      </c>
    </row>
    <row r="219" spans="1:16" x14ac:dyDescent="0.25">
      <c r="A219">
        <v>218</v>
      </c>
      <c r="B219">
        <v>171</v>
      </c>
      <c r="C219" t="s">
        <v>45</v>
      </c>
      <c r="D219" t="s">
        <v>17</v>
      </c>
      <c r="E219" t="s">
        <v>72</v>
      </c>
      <c r="F219" t="s">
        <v>19</v>
      </c>
      <c r="G219" t="s">
        <v>26</v>
      </c>
      <c r="H219" t="s">
        <v>21</v>
      </c>
      <c r="I219" t="s">
        <v>77</v>
      </c>
      <c r="J219" t="s">
        <v>23</v>
      </c>
      <c r="K219">
        <v>3012</v>
      </c>
      <c r="L219" s="4">
        <v>53.6374602</v>
      </c>
      <c r="M219" s="4">
        <v>176.54346687434904</v>
      </c>
      <c r="N219" s="4">
        <v>8.6881649191935455E-4</v>
      </c>
      <c r="O219" s="1" t="str">
        <f>HYPERLINK(".\sm_car_250206_1736\sm_car_250206_1736_218_Ca171TrN_MaZRR_ode23t_1.png","figure")</f>
        <v>figure</v>
      </c>
      <c r="P219" t="s">
        <v>15</v>
      </c>
    </row>
    <row r="220" spans="1:16" x14ac:dyDescent="0.25">
      <c r="A220">
        <v>219</v>
      </c>
      <c r="B220">
        <v>170</v>
      </c>
      <c r="C220" t="s">
        <v>45</v>
      </c>
      <c r="D220" t="s">
        <v>35</v>
      </c>
      <c r="E220" t="s">
        <v>49</v>
      </c>
      <c r="F220" t="s">
        <v>19</v>
      </c>
      <c r="G220" t="s">
        <v>20</v>
      </c>
      <c r="H220" t="s">
        <v>21</v>
      </c>
      <c r="I220" t="s">
        <v>78</v>
      </c>
      <c r="J220" t="s">
        <v>23</v>
      </c>
      <c r="K220">
        <v>5071</v>
      </c>
      <c r="L220" s="4">
        <v>20.030691900000001</v>
      </c>
      <c r="M220" s="4">
        <v>-5.9999995797963797</v>
      </c>
      <c r="N220" s="4">
        <v>2.912463386383899E-3</v>
      </c>
      <c r="O220" s="1" t="str">
        <f>HYPERLINK(".\sm_car_250206_1736\sm_car_250206_1736_219_Ca170TrN_MaCMP_ode23t_1.png","figure")</f>
        <v>figure</v>
      </c>
      <c r="P220" t="s">
        <v>15</v>
      </c>
    </row>
    <row r="221" spans="1:16" x14ac:dyDescent="0.25">
      <c r="A221">
        <v>220</v>
      </c>
      <c r="B221">
        <v>170</v>
      </c>
      <c r="C221" t="s">
        <v>45</v>
      </c>
      <c r="D221" t="s">
        <v>35</v>
      </c>
      <c r="E221" t="s">
        <v>49</v>
      </c>
      <c r="F221" t="s">
        <v>19</v>
      </c>
      <c r="G221" t="s">
        <v>20</v>
      </c>
      <c r="H221" t="s">
        <v>21</v>
      </c>
      <c r="I221" t="s">
        <v>79</v>
      </c>
      <c r="J221" t="s">
        <v>23</v>
      </c>
      <c r="K221">
        <v>1843</v>
      </c>
      <c r="L221" s="4">
        <v>13.860655400000001</v>
      </c>
      <c r="M221" s="4">
        <v>-5.9999995826053993</v>
      </c>
      <c r="N221" s="4">
        <v>2.892891090847349E-3</v>
      </c>
      <c r="O221" s="1" t="str">
        <f>HYPERLINK(".\sm_car_250206_1736\sm_car_250206_1736_220_Ca170TrN_MaCMF_ode23t_1.png","figure")</f>
        <v>figure</v>
      </c>
      <c r="P221" t="s">
        <v>15</v>
      </c>
    </row>
    <row r="222" spans="1:16" x14ac:dyDescent="0.25">
      <c r="A222">
        <v>221</v>
      </c>
      <c r="B222">
        <v>170</v>
      </c>
      <c r="C222" t="s">
        <v>45</v>
      </c>
      <c r="D222" t="s">
        <v>35</v>
      </c>
      <c r="E222" t="s">
        <v>49</v>
      </c>
      <c r="F222" t="s">
        <v>19</v>
      </c>
      <c r="G222" t="s">
        <v>20</v>
      </c>
      <c r="H222" t="s">
        <v>21</v>
      </c>
      <c r="I222" t="s">
        <v>80</v>
      </c>
      <c r="J222" t="s">
        <v>23</v>
      </c>
      <c r="K222">
        <v>4648</v>
      </c>
      <c r="L222" s="4">
        <v>36.568320399999998</v>
      </c>
      <c r="M222" s="4">
        <v>-329.50852628728671</v>
      </c>
      <c r="N222" s="4">
        <v>6.0601001571176694</v>
      </c>
      <c r="O222" s="1" t="str">
        <f>HYPERLINK(".\sm_car_250206_1736\sm_car_250206_1736_221_Ca170TrN_MaMPO_ode23t_1.png","figure")</f>
        <v>figure</v>
      </c>
      <c r="P222" t="s">
        <v>15</v>
      </c>
    </row>
    <row r="223" spans="1:16" x14ac:dyDescent="0.25">
      <c r="A223">
        <v>222</v>
      </c>
      <c r="B223">
        <v>170</v>
      </c>
      <c r="C223" t="s">
        <v>45</v>
      </c>
      <c r="D223" t="s">
        <v>35</v>
      </c>
      <c r="E223" t="s">
        <v>49</v>
      </c>
      <c r="F223" t="s">
        <v>19</v>
      </c>
      <c r="G223" t="s">
        <v>20</v>
      </c>
      <c r="H223" t="s">
        <v>21</v>
      </c>
      <c r="I223" t="s">
        <v>81</v>
      </c>
      <c r="J223" t="s">
        <v>23</v>
      </c>
      <c r="K223">
        <v>1242</v>
      </c>
      <c r="L223" s="4">
        <v>10.373111400000001</v>
      </c>
      <c r="M223" s="4">
        <v>-13.901388213195098</v>
      </c>
      <c r="N223" s="4">
        <v>0.20533679545215477</v>
      </c>
      <c r="O223" s="1" t="str">
        <f>HYPERLINK(".\sm_car_250206_1736\sm_car_250206_1736_222_Ca170TrN_MaMCI_ode23t_1.png","figure")</f>
        <v>figure</v>
      </c>
      <c r="P223" t="s">
        <v>15</v>
      </c>
    </row>
    <row r="224" spans="1:16" x14ac:dyDescent="0.25">
      <c r="A224">
        <v>223</v>
      </c>
      <c r="B224">
        <v>170</v>
      </c>
      <c r="C224" t="s">
        <v>45</v>
      </c>
      <c r="D224" t="s">
        <v>35</v>
      </c>
      <c r="E224" t="s">
        <v>49</v>
      </c>
      <c r="F224" t="s">
        <v>19</v>
      </c>
      <c r="G224" t="s">
        <v>20</v>
      </c>
      <c r="H224" t="s">
        <v>21</v>
      </c>
      <c r="I224" t="s">
        <v>110</v>
      </c>
      <c r="J224" t="s">
        <v>23</v>
      </c>
      <c r="K224">
        <v>6144</v>
      </c>
      <c r="L224" s="4">
        <v>22.821220799999999</v>
      </c>
      <c r="M224" s="4">
        <v>-6.0000037606519783</v>
      </c>
      <c r="N224" s="4">
        <v>-4.4627177540325193E-3</v>
      </c>
      <c r="O224" s="1" t="str">
        <f>HYPERLINK(".\sm_car_250206_1736\sm_car_250206_1736_223_Ca170TrN_MaCHO_ode23t_1.png","figure")</f>
        <v>figure</v>
      </c>
      <c r="P224" t="s">
        <v>15</v>
      </c>
    </row>
    <row r="225" spans="1:16" x14ac:dyDescent="0.25">
      <c r="A225">
        <v>224</v>
      </c>
      <c r="B225">
        <v>170</v>
      </c>
      <c r="C225" t="s">
        <v>45</v>
      </c>
      <c r="D225" t="s">
        <v>35</v>
      </c>
      <c r="E225" t="s">
        <v>49</v>
      </c>
      <c r="F225" t="s">
        <v>19</v>
      </c>
      <c r="G225" t="s">
        <v>20</v>
      </c>
      <c r="H225" t="s">
        <v>21</v>
      </c>
      <c r="I225" t="s">
        <v>111</v>
      </c>
      <c r="J225" t="s">
        <v>23</v>
      </c>
      <c r="K225">
        <v>3563</v>
      </c>
      <c r="L225" s="4">
        <v>21.760583199999999</v>
      </c>
      <c r="M225" s="4">
        <v>-6.0000038167458785</v>
      </c>
      <c r="N225" s="4">
        <v>-4.5293292716397388E-3</v>
      </c>
      <c r="O225" s="1" t="str">
        <f>HYPERLINK(".\sm_car_250206_1736\sm_car_250206_1736_224_Ca170TrN_MaCHF_ode23t_1.png","figure")</f>
        <v>figure</v>
      </c>
      <c r="P225" t="s">
        <v>15</v>
      </c>
    </row>
    <row r="226" spans="1:16" x14ac:dyDescent="0.25">
      <c r="A226">
        <v>225</v>
      </c>
      <c r="B226">
        <v>170</v>
      </c>
      <c r="C226" t="s">
        <v>45</v>
      </c>
      <c r="D226" t="s">
        <v>35</v>
      </c>
      <c r="E226" t="s">
        <v>49</v>
      </c>
      <c r="F226" t="s">
        <v>19</v>
      </c>
      <c r="G226" t="s">
        <v>20</v>
      </c>
      <c r="H226" t="s">
        <v>21</v>
      </c>
      <c r="I226" t="s">
        <v>82</v>
      </c>
      <c r="J226" t="s">
        <v>23</v>
      </c>
      <c r="K226">
        <v>7217</v>
      </c>
      <c r="L226" s="4">
        <v>34.910734300000001</v>
      </c>
      <c r="M226" s="4">
        <v>-751.821178853319</v>
      </c>
      <c r="N226" s="4">
        <v>628.25530048886867</v>
      </c>
      <c r="O226" s="1" t="str">
        <f>HYPERLINK(".\sm_car_250206_1736\sm_car_250206_1736_225_Ca170TrN_MaCKY_ode23t_1.png","figure")</f>
        <v>figure</v>
      </c>
      <c r="P226" t="s">
        <v>15</v>
      </c>
    </row>
    <row r="227" spans="1:16" x14ac:dyDescent="0.25">
      <c r="A227">
        <v>226</v>
      </c>
      <c r="B227">
        <v>170</v>
      </c>
      <c r="C227" t="s">
        <v>45</v>
      </c>
      <c r="D227" t="s">
        <v>35</v>
      </c>
      <c r="E227" t="s">
        <v>49</v>
      </c>
      <c r="F227" t="s">
        <v>19</v>
      </c>
      <c r="G227" t="s">
        <v>20</v>
      </c>
      <c r="H227" t="s">
        <v>21</v>
      </c>
      <c r="I227" t="s">
        <v>83</v>
      </c>
      <c r="J227" t="s">
        <v>23</v>
      </c>
      <c r="K227">
        <v>2238</v>
      </c>
      <c r="L227" s="4">
        <v>19.709431299999999</v>
      </c>
      <c r="M227" s="4">
        <v>-758.45542401290561</v>
      </c>
      <c r="N227" s="4">
        <v>632.56378163031468</v>
      </c>
      <c r="O227" s="1" t="str">
        <f>HYPERLINK(".\sm_car_250206_1736\sm_car_250206_1736_226_Ca170TrN_MaCKF_ode23t_1.png","figure")</f>
        <v>figure</v>
      </c>
      <c r="P227" t="s">
        <v>15</v>
      </c>
    </row>
    <row r="228" spans="1:16" x14ac:dyDescent="0.25">
      <c r="A228">
        <v>227</v>
      </c>
      <c r="B228">
        <v>170</v>
      </c>
      <c r="C228" t="s">
        <v>45</v>
      </c>
      <c r="D228" t="s">
        <v>35</v>
      </c>
      <c r="E228" t="s">
        <v>49</v>
      </c>
      <c r="F228" t="s">
        <v>19</v>
      </c>
      <c r="G228" t="s">
        <v>20</v>
      </c>
      <c r="H228" t="s">
        <v>21</v>
      </c>
      <c r="I228" t="s">
        <v>84</v>
      </c>
      <c r="J228" t="s">
        <v>23</v>
      </c>
      <c r="K228">
        <v>2739</v>
      </c>
      <c r="L228" s="4">
        <v>16.745405399999999</v>
      </c>
      <c r="M228" s="4">
        <v>177.30607497326488</v>
      </c>
      <c r="N228" s="4">
        <v>288.17354442115078</v>
      </c>
      <c r="O228" s="1" t="str">
        <f>HYPERLINK(".\sm_car_250206_1736\sm_car_250206_1736_227_Ca170TrN_MaCNN_ode23t_1.png","figure")</f>
        <v>figure</v>
      </c>
      <c r="P228" t="s">
        <v>15</v>
      </c>
    </row>
    <row r="229" spans="1:16" x14ac:dyDescent="0.25">
      <c r="A229">
        <v>228</v>
      </c>
      <c r="B229">
        <v>170</v>
      </c>
      <c r="C229" t="s">
        <v>45</v>
      </c>
      <c r="D229" t="s">
        <v>35</v>
      </c>
      <c r="E229" t="s">
        <v>49</v>
      </c>
      <c r="F229" t="s">
        <v>19</v>
      </c>
      <c r="G229" t="s">
        <v>20</v>
      </c>
      <c r="H229" t="s">
        <v>21</v>
      </c>
      <c r="I229" t="s">
        <v>85</v>
      </c>
      <c r="J229" t="s">
        <v>23</v>
      </c>
      <c r="K229">
        <v>4427</v>
      </c>
      <c r="L229" s="4">
        <v>70.874852700000005</v>
      </c>
      <c r="M229" s="4">
        <v>2995.8535742780418</v>
      </c>
      <c r="N229" s="4">
        <v>-3063.9259962994556</v>
      </c>
      <c r="O229" s="1" t="str">
        <f>HYPERLINK(".\sm_car_250206_1736\sm_car_250206_1736_228_Ca170TrN_MaCNF_ode23t_1.png","figure")</f>
        <v>figure</v>
      </c>
      <c r="P229" t="s">
        <v>15</v>
      </c>
    </row>
    <row r="230" spans="1:16" x14ac:dyDescent="0.25">
      <c r="A230">
        <v>229</v>
      </c>
      <c r="B230">
        <v>170</v>
      </c>
      <c r="C230" t="s">
        <v>45</v>
      </c>
      <c r="D230" t="s">
        <v>35</v>
      </c>
      <c r="E230" t="s">
        <v>49</v>
      </c>
      <c r="F230" t="s">
        <v>19</v>
      </c>
      <c r="G230" t="s">
        <v>20</v>
      </c>
      <c r="H230" t="s">
        <v>21</v>
      </c>
      <c r="I230" t="s">
        <v>86</v>
      </c>
      <c r="J230" t="s">
        <v>23</v>
      </c>
      <c r="K230">
        <v>2923</v>
      </c>
      <c r="L230" s="4">
        <v>13.717859199999999</v>
      </c>
      <c r="M230" s="4">
        <v>522.30609307857662</v>
      </c>
      <c r="N230" s="4">
        <v>-164.27150790404474</v>
      </c>
      <c r="O230" s="1" t="str">
        <f>HYPERLINK(".\sm_car_250206_1736\sm_car_250206_1736_229_Ca170TrN_MaCSZ_ode23t_1.png","figure")</f>
        <v>figure</v>
      </c>
      <c r="P230" t="s">
        <v>15</v>
      </c>
    </row>
    <row r="231" spans="1:16" x14ac:dyDescent="0.25">
      <c r="A231">
        <v>230</v>
      </c>
      <c r="B231">
        <v>170</v>
      </c>
      <c r="C231" t="s">
        <v>45</v>
      </c>
      <c r="D231" t="s">
        <v>35</v>
      </c>
      <c r="E231" t="s">
        <v>49</v>
      </c>
      <c r="F231" t="s">
        <v>19</v>
      </c>
      <c r="G231" t="s">
        <v>20</v>
      </c>
      <c r="H231" t="s">
        <v>21</v>
      </c>
      <c r="I231" t="s">
        <v>87</v>
      </c>
      <c r="J231" t="s">
        <v>23</v>
      </c>
      <c r="K231">
        <v>6035</v>
      </c>
      <c r="L231" s="4">
        <v>85.434188500000005</v>
      </c>
      <c r="M231" s="4">
        <v>-8.9367074794558974</v>
      </c>
      <c r="N231" s="4">
        <v>9.2547607529243694E-3</v>
      </c>
      <c r="O231" s="1" t="str">
        <f>HYPERLINK(".\sm_car_250206_1736\sm_car_250206_1736_230_Ca170TrN_MaCSF_ode23t_1.png","figure")</f>
        <v>figure</v>
      </c>
      <c r="P231" t="s">
        <v>15</v>
      </c>
    </row>
    <row r="232" spans="1:16" x14ac:dyDescent="0.25">
      <c r="A232">
        <v>231</v>
      </c>
      <c r="B232">
        <v>170</v>
      </c>
      <c r="C232" t="s">
        <v>45</v>
      </c>
      <c r="D232" t="s">
        <v>35</v>
      </c>
      <c r="E232" t="s">
        <v>49</v>
      </c>
      <c r="F232" t="s">
        <v>19</v>
      </c>
      <c r="G232" t="s">
        <v>20</v>
      </c>
      <c r="H232" t="s">
        <v>21</v>
      </c>
      <c r="I232" t="s">
        <v>88</v>
      </c>
      <c r="J232" t="s">
        <v>23</v>
      </c>
      <c r="K232">
        <v>2210</v>
      </c>
      <c r="L232" s="4">
        <v>17.701950100000001</v>
      </c>
      <c r="M232" s="4">
        <v>208.95145944996793</v>
      </c>
      <c r="N232" s="4">
        <v>379.20668015325151</v>
      </c>
      <c r="O232" s="1" t="str">
        <f>HYPERLINK(".\sm_car_250206_1736\sm_car_250206_1736_231_Ca170TrN_MaCPU_ode23t_1.png","figure")</f>
        <v>figure</v>
      </c>
      <c r="P232" t="s">
        <v>15</v>
      </c>
    </row>
    <row r="233" spans="1:16" x14ac:dyDescent="0.25">
      <c r="A233">
        <v>232</v>
      </c>
      <c r="B233">
        <v>170</v>
      </c>
      <c r="C233" t="s">
        <v>45</v>
      </c>
      <c r="D233" t="s">
        <v>35</v>
      </c>
      <c r="E233" t="s">
        <v>49</v>
      </c>
      <c r="F233" t="s">
        <v>19</v>
      </c>
      <c r="G233" t="s">
        <v>20</v>
      </c>
      <c r="H233" t="s">
        <v>21</v>
      </c>
      <c r="I233" t="s">
        <v>89</v>
      </c>
      <c r="J233" t="s">
        <v>23</v>
      </c>
      <c r="K233">
        <v>2786</v>
      </c>
      <c r="L233" s="4">
        <v>25.6697171</v>
      </c>
      <c r="M233" s="4">
        <v>195.27095889415409</v>
      </c>
      <c r="N233" s="4">
        <v>-134.12288034552694</v>
      </c>
      <c r="O233" s="1" t="str">
        <f>HYPERLINK(".\sm_car_250206_1736\sm_car_250206_1736_232_Ca170TrN_MaCPD_ode23t_1.png","figure")</f>
        <v>figure</v>
      </c>
      <c r="P233" t="s">
        <v>15</v>
      </c>
    </row>
    <row r="234" spans="1:16" x14ac:dyDescent="0.25">
      <c r="A234">
        <v>233</v>
      </c>
      <c r="B234">
        <v>202</v>
      </c>
      <c r="C234" t="s">
        <v>45</v>
      </c>
      <c r="D234" t="s">
        <v>35</v>
      </c>
      <c r="E234" t="s">
        <v>107</v>
      </c>
      <c r="F234" t="s">
        <v>19</v>
      </c>
      <c r="G234" t="s">
        <v>20</v>
      </c>
      <c r="H234" t="s">
        <v>21</v>
      </c>
      <c r="I234" t="s">
        <v>79</v>
      </c>
      <c r="J234" t="s">
        <v>23</v>
      </c>
      <c r="K234">
        <v>1844</v>
      </c>
      <c r="L234" s="4">
        <v>5.2506114999999998</v>
      </c>
      <c r="M234" s="4">
        <v>-5.9999995807284145</v>
      </c>
      <c r="N234" s="4">
        <v>2.9061157602511718E-3</v>
      </c>
      <c r="O234" s="1" t="str">
        <f>HYPERLINK(".\sm_car_250206_1736\sm_car_250206_1736_233_Ca202TrN_MaCMF_ode23t_1.png","figure")</f>
        <v>figure</v>
      </c>
      <c r="P234" t="s">
        <v>15</v>
      </c>
    </row>
    <row r="235" spans="1:16" x14ac:dyDescent="0.25">
      <c r="A235">
        <v>234</v>
      </c>
      <c r="B235">
        <v>202</v>
      </c>
      <c r="C235" t="s">
        <v>45</v>
      </c>
      <c r="D235" t="s">
        <v>35</v>
      </c>
      <c r="E235" t="s">
        <v>107</v>
      </c>
      <c r="F235" t="s">
        <v>19</v>
      </c>
      <c r="G235" t="s">
        <v>20</v>
      </c>
      <c r="H235" t="s">
        <v>21</v>
      </c>
      <c r="I235" t="s">
        <v>80</v>
      </c>
      <c r="J235" t="s">
        <v>23</v>
      </c>
      <c r="K235">
        <v>4538</v>
      </c>
      <c r="L235" s="4">
        <v>23.914638700000001</v>
      </c>
      <c r="M235" s="4">
        <v>-329.50800880091754</v>
      </c>
      <c r="N235" s="4">
        <v>6.0586966873021222</v>
      </c>
      <c r="O235" s="1" t="str">
        <f>HYPERLINK(".\sm_car_250206_1736\sm_car_250206_1736_234_Ca202TrN_MaMPO_ode23t_1.png","figure")</f>
        <v>figure</v>
      </c>
      <c r="P235" t="s">
        <v>15</v>
      </c>
    </row>
    <row r="236" spans="1:16" x14ac:dyDescent="0.25">
      <c r="A236">
        <v>235</v>
      </c>
      <c r="B236">
        <v>202</v>
      </c>
      <c r="C236" t="s">
        <v>45</v>
      </c>
      <c r="D236" t="s">
        <v>35</v>
      </c>
      <c r="E236" t="s">
        <v>107</v>
      </c>
      <c r="F236" t="s">
        <v>19</v>
      </c>
      <c r="G236" t="s">
        <v>20</v>
      </c>
      <c r="H236" t="s">
        <v>21</v>
      </c>
      <c r="I236" t="s">
        <v>81</v>
      </c>
      <c r="J236" t="s">
        <v>23</v>
      </c>
      <c r="K236">
        <v>1219</v>
      </c>
      <c r="L236" s="4">
        <v>6.7745176999999996</v>
      </c>
      <c r="M236" s="4">
        <v>-13.903955470794862</v>
      </c>
      <c r="N236" s="4">
        <v>0.20384083261686214</v>
      </c>
      <c r="O236" s="1" t="str">
        <f>HYPERLINK(".\sm_car_250206_1736\sm_car_250206_1736_235_Ca202TrN_MaMCI_ode23t_1.png","figure")</f>
        <v>figure</v>
      </c>
      <c r="P236" t="s">
        <v>15</v>
      </c>
    </row>
    <row r="237" spans="1:16" x14ac:dyDescent="0.25">
      <c r="A237">
        <v>236</v>
      </c>
      <c r="B237">
        <v>202</v>
      </c>
      <c r="C237" t="s">
        <v>45</v>
      </c>
      <c r="D237" t="s">
        <v>35</v>
      </c>
      <c r="E237" t="s">
        <v>107</v>
      </c>
      <c r="F237" t="s">
        <v>19</v>
      </c>
      <c r="G237" t="s">
        <v>20</v>
      </c>
      <c r="H237" t="s">
        <v>21</v>
      </c>
      <c r="I237" t="s">
        <v>83</v>
      </c>
      <c r="J237" t="s">
        <v>23</v>
      </c>
      <c r="K237">
        <v>3823</v>
      </c>
      <c r="L237" s="4">
        <v>12.8741758</v>
      </c>
      <c r="M237" s="4">
        <v>-5.9999907114404234</v>
      </c>
      <c r="N237" s="4">
        <v>-7.1375758077098618E-3</v>
      </c>
      <c r="O237" s="1" t="str">
        <f>HYPERLINK(".\sm_car_250206_1736\sm_car_250206_1736_236_Ca202TrN_MaCKF_ode23t_1.png","figure")</f>
        <v>figure</v>
      </c>
      <c r="P237" t="s">
        <v>15</v>
      </c>
    </row>
    <row r="238" spans="1:16" x14ac:dyDescent="0.25">
      <c r="A238">
        <v>237</v>
      </c>
      <c r="B238">
        <v>202</v>
      </c>
      <c r="C238" t="s">
        <v>45</v>
      </c>
      <c r="D238" t="s">
        <v>35</v>
      </c>
      <c r="E238" t="s">
        <v>107</v>
      </c>
      <c r="F238" t="s">
        <v>19</v>
      </c>
      <c r="G238" t="s">
        <v>20</v>
      </c>
      <c r="H238" t="s">
        <v>21</v>
      </c>
      <c r="I238" t="s">
        <v>85</v>
      </c>
      <c r="J238" t="s">
        <v>23</v>
      </c>
      <c r="K238">
        <v>10682</v>
      </c>
      <c r="L238" s="4">
        <v>124.8320975</v>
      </c>
      <c r="M238" s="4">
        <v>-8.9998010406519935</v>
      </c>
      <c r="N238" s="4">
        <v>4.7281487991897547E-2</v>
      </c>
      <c r="O238" s="1" t="str">
        <f>HYPERLINK(".\sm_car_250206_1736\sm_car_250206_1736_237_Ca202TrN_MaCNF_ode23t_1.png","figure")</f>
        <v>figure</v>
      </c>
      <c r="P238" t="s">
        <v>15</v>
      </c>
    </row>
    <row r="239" spans="1:16" x14ac:dyDescent="0.25">
      <c r="A239">
        <v>238</v>
      </c>
      <c r="B239">
        <v>202</v>
      </c>
      <c r="C239" t="s">
        <v>45</v>
      </c>
      <c r="D239" t="s">
        <v>35</v>
      </c>
      <c r="E239" t="s">
        <v>107</v>
      </c>
      <c r="F239" t="s">
        <v>19</v>
      </c>
      <c r="G239" t="s">
        <v>20</v>
      </c>
      <c r="H239" t="s">
        <v>21</v>
      </c>
      <c r="I239" t="s">
        <v>87</v>
      </c>
      <c r="J239" t="s">
        <v>23</v>
      </c>
      <c r="K239">
        <v>6123</v>
      </c>
      <c r="L239" s="4">
        <v>51.7500389</v>
      </c>
      <c r="M239" s="4">
        <v>-8.9407792938954032</v>
      </c>
      <c r="N239" s="4">
        <v>9.8223852531629571E-3</v>
      </c>
      <c r="O239" s="1" t="str">
        <f>HYPERLINK(".\sm_car_250206_1736\sm_car_250206_1736_238_Ca202TrN_MaCSF_ode23t_1.png","figure")</f>
        <v>figure</v>
      </c>
      <c r="P239" t="s">
        <v>15</v>
      </c>
    </row>
    <row r="240" spans="1:16" x14ac:dyDescent="0.25">
      <c r="A240">
        <v>239</v>
      </c>
      <c r="B240">
        <v>202</v>
      </c>
      <c r="C240" t="s">
        <v>45</v>
      </c>
      <c r="D240" t="s">
        <v>35</v>
      </c>
      <c r="E240" t="s">
        <v>107</v>
      </c>
      <c r="F240" t="s">
        <v>19</v>
      </c>
      <c r="G240" t="s">
        <v>20</v>
      </c>
      <c r="H240" t="s">
        <v>21</v>
      </c>
      <c r="I240" t="s">
        <v>78</v>
      </c>
      <c r="J240" t="s">
        <v>23</v>
      </c>
      <c r="K240">
        <v>5491</v>
      </c>
      <c r="L240" s="4">
        <v>19.713377399999999</v>
      </c>
      <c r="M240" s="4">
        <v>-5.9999995750023372</v>
      </c>
      <c r="N240" s="4">
        <v>2.9456850075144205E-3</v>
      </c>
      <c r="O240" s="1" t="str">
        <f>HYPERLINK(".\sm_car_250206_1736\sm_car_250206_1736_239_Ca202TrN_MaCMP_ode23t_1.png","figure")</f>
        <v>figure</v>
      </c>
      <c r="P240" t="s">
        <v>15</v>
      </c>
    </row>
    <row r="241" spans="1:16" x14ac:dyDescent="0.25">
      <c r="A241">
        <v>240</v>
      </c>
      <c r="B241">
        <v>202</v>
      </c>
      <c r="C241" t="s">
        <v>45</v>
      </c>
      <c r="D241" t="s">
        <v>35</v>
      </c>
      <c r="E241" t="s">
        <v>107</v>
      </c>
      <c r="F241" t="s">
        <v>19</v>
      </c>
      <c r="G241" t="s">
        <v>20</v>
      </c>
      <c r="H241" t="s">
        <v>21</v>
      </c>
      <c r="I241" t="s">
        <v>82</v>
      </c>
      <c r="J241" t="s">
        <v>23</v>
      </c>
      <c r="K241">
        <v>15134</v>
      </c>
      <c r="L241" s="4">
        <v>57.020881000000003</v>
      </c>
      <c r="M241" s="4">
        <v>-5.9999884368640917</v>
      </c>
      <c r="N241" s="4">
        <v>-8.8853307381001195E-3</v>
      </c>
      <c r="O241" s="1" t="str">
        <f>HYPERLINK(".\sm_car_250206_1736\sm_car_250206_1736_240_Ca202TrN_MaCKY_ode23t_1.png","figure")</f>
        <v>figure</v>
      </c>
      <c r="P241" t="s">
        <v>15</v>
      </c>
    </row>
    <row r="242" spans="1:16" x14ac:dyDescent="0.25">
      <c r="A242">
        <v>241</v>
      </c>
      <c r="B242">
        <v>202</v>
      </c>
      <c r="C242" t="s">
        <v>45</v>
      </c>
      <c r="D242" t="s">
        <v>35</v>
      </c>
      <c r="E242" t="s">
        <v>107</v>
      </c>
      <c r="F242" t="s">
        <v>19</v>
      </c>
      <c r="G242" t="s">
        <v>20</v>
      </c>
      <c r="H242" t="s">
        <v>21</v>
      </c>
      <c r="I242" t="s">
        <v>75</v>
      </c>
      <c r="J242" t="s">
        <v>23</v>
      </c>
      <c r="K242">
        <v>460</v>
      </c>
      <c r="L242" s="4">
        <v>2.4166710999999998</v>
      </c>
      <c r="M242" s="4">
        <v>381.37293638019747</v>
      </c>
      <c r="N242" s="4">
        <v>0.32912509632959175</v>
      </c>
      <c r="O242" s="1" t="str">
        <f>HYPERLINK(".\sm_car_250206_1736\sm_car_250206_1736_241_Ca202TrN_MaCPL_ode23t_1.png","figure")</f>
        <v>figure</v>
      </c>
      <c r="P242" t="s">
        <v>15</v>
      </c>
    </row>
    <row r="243" spans="1:16" x14ac:dyDescent="0.25">
      <c r="A243">
        <v>242</v>
      </c>
      <c r="B243">
        <v>140</v>
      </c>
      <c r="C243" t="s">
        <v>45</v>
      </c>
      <c r="D243" t="s">
        <v>17</v>
      </c>
      <c r="E243" t="s">
        <v>49</v>
      </c>
      <c r="F243" t="s">
        <v>19</v>
      </c>
      <c r="G243" t="s">
        <v>26</v>
      </c>
      <c r="H243" t="s">
        <v>21</v>
      </c>
      <c r="I243" t="s">
        <v>112</v>
      </c>
      <c r="J243" t="s">
        <v>23</v>
      </c>
      <c r="K243">
        <v>2807</v>
      </c>
      <c r="L243" s="4">
        <v>44.944952999999998</v>
      </c>
      <c r="M243" s="4">
        <v>176.34513702755984</v>
      </c>
      <c r="N243" s="4">
        <v>7.6352683931107121E-4</v>
      </c>
      <c r="O243" s="1" t="str">
        <f>HYPERLINK(".\sm_car_250206_1736\sm_car_250206_1736_242_Ca140TrN_MaCRR_ode23t_1.png","figure")</f>
        <v>figure</v>
      </c>
      <c r="P243" t="s">
        <v>15</v>
      </c>
    </row>
    <row r="244" spans="1:16" x14ac:dyDescent="0.25">
      <c r="A244">
        <v>243</v>
      </c>
      <c r="B244">
        <v>189</v>
      </c>
      <c r="C244" t="s">
        <v>45</v>
      </c>
      <c r="D244" t="s">
        <v>17</v>
      </c>
      <c r="E244" t="s">
        <v>107</v>
      </c>
      <c r="F244" t="s">
        <v>19</v>
      </c>
      <c r="G244" t="s">
        <v>26</v>
      </c>
      <c r="H244" t="s">
        <v>21</v>
      </c>
      <c r="I244" t="s">
        <v>112</v>
      </c>
      <c r="J244" t="s">
        <v>23</v>
      </c>
      <c r="K244">
        <v>3346</v>
      </c>
      <c r="L244" s="4">
        <v>38.541850099999998</v>
      </c>
      <c r="M244" s="4">
        <v>176.40010917930132</v>
      </c>
      <c r="N244" s="4">
        <v>7.8685392695300492E-4</v>
      </c>
      <c r="O244" s="1" t="str">
        <f>HYPERLINK(".\sm_car_250206_1736\sm_car_250206_1736_243_Ca189TrN_MaCRR_ode23t_1.png","figure")</f>
        <v>figure</v>
      </c>
      <c r="P244" t="s">
        <v>15</v>
      </c>
    </row>
    <row r="245" spans="1:16" x14ac:dyDescent="0.25">
      <c r="A245">
        <v>244</v>
      </c>
      <c r="B245">
        <v>173</v>
      </c>
      <c r="C245" t="s">
        <v>45</v>
      </c>
      <c r="D245" t="s">
        <v>35</v>
      </c>
      <c r="E245" t="s">
        <v>49</v>
      </c>
      <c r="F245" t="s">
        <v>19</v>
      </c>
      <c r="G245" t="s">
        <v>90</v>
      </c>
      <c r="H245" t="s">
        <v>21</v>
      </c>
      <c r="I245" t="s">
        <v>91</v>
      </c>
      <c r="J245" t="s">
        <v>92</v>
      </c>
      <c r="K245">
        <v>1621</v>
      </c>
      <c r="L245" s="4">
        <v>60.996108499999998</v>
      </c>
      <c r="M245" s="4">
        <v>51.299282815384096</v>
      </c>
      <c r="N245" s="4">
        <v>9.0082522879582905E-3</v>
      </c>
      <c r="O245" s="1" t="str">
        <f>HYPERLINK(".\sm_car_250206_1736\sm_car_250206_1736_244_Ca173TrN_MaDCA_daessc_1.png","figure")</f>
        <v>figure</v>
      </c>
      <c r="P245" t="s">
        <v>15</v>
      </c>
    </row>
    <row r="246" spans="1:16" x14ac:dyDescent="0.25">
      <c r="A246">
        <v>245</v>
      </c>
      <c r="B246">
        <v>173</v>
      </c>
      <c r="C246" t="s">
        <v>45</v>
      </c>
      <c r="D246" t="s">
        <v>35</v>
      </c>
      <c r="E246" t="s">
        <v>49</v>
      </c>
      <c r="F246" t="s">
        <v>19</v>
      </c>
      <c r="G246" t="s">
        <v>90</v>
      </c>
      <c r="H246" t="s">
        <v>21</v>
      </c>
      <c r="I246" t="s">
        <v>93</v>
      </c>
      <c r="J246" t="s">
        <v>92</v>
      </c>
      <c r="K246">
        <v>4095</v>
      </c>
      <c r="L246" s="4">
        <v>98.209023500000001</v>
      </c>
      <c r="M246" s="4">
        <v>980.46460116246681</v>
      </c>
      <c r="N246" s="4">
        <v>0.7222854848282958</v>
      </c>
      <c r="O246" s="1" t="str">
        <f>HYPERLINK(".\sm_car_250206_1736\sm_car_250206_1736_245_Ca173TrN_MaDC1_daessc_1.png","figure")</f>
        <v>figure</v>
      </c>
      <c r="P246" t="s">
        <v>15</v>
      </c>
    </row>
    <row r="247" spans="1:16" x14ac:dyDescent="0.25">
      <c r="A247">
        <v>246</v>
      </c>
      <c r="B247">
        <v>165</v>
      </c>
      <c r="C247" t="s">
        <v>45</v>
      </c>
      <c r="D247" t="s">
        <v>35</v>
      </c>
      <c r="E247" t="s">
        <v>49</v>
      </c>
      <c r="F247" t="s">
        <v>19</v>
      </c>
      <c r="G247" t="s">
        <v>26</v>
      </c>
      <c r="H247" t="s">
        <v>21</v>
      </c>
      <c r="I247" t="s">
        <v>91</v>
      </c>
      <c r="J247" t="s">
        <v>23</v>
      </c>
      <c r="K247">
        <v>323</v>
      </c>
      <c r="L247" s="4">
        <v>3.5285326000000001</v>
      </c>
      <c r="M247" s="4">
        <v>53.50936951055516</v>
      </c>
      <c r="N247" s="4">
        <v>9.8729391343351392E-3</v>
      </c>
      <c r="O247" s="1" t="str">
        <f>HYPERLINK(".\sm_car_250206_1736\sm_car_250206_1736_246_Ca165TrN_MaDCA_ode23t_1.png","figure")</f>
        <v>figure</v>
      </c>
      <c r="P247" t="s">
        <v>15</v>
      </c>
    </row>
    <row r="248" spans="1:16" x14ac:dyDescent="0.25">
      <c r="A248">
        <v>247</v>
      </c>
      <c r="B248">
        <v>165</v>
      </c>
      <c r="C248" t="s">
        <v>45</v>
      </c>
      <c r="D248" t="s">
        <v>35</v>
      </c>
      <c r="E248" t="s">
        <v>49</v>
      </c>
      <c r="F248" t="s">
        <v>19</v>
      </c>
      <c r="G248" t="s">
        <v>26</v>
      </c>
      <c r="H248" t="s">
        <v>21</v>
      </c>
      <c r="I248" t="s">
        <v>93</v>
      </c>
      <c r="J248" t="s">
        <v>23</v>
      </c>
      <c r="K248">
        <v>1192</v>
      </c>
      <c r="L248" s="4">
        <v>7.4308905999999997</v>
      </c>
      <c r="M248" s="4">
        <v>992.65470573559651</v>
      </c>
      <c r="N248" s="4">
        <v>0.77622132563821078</v>
      </c>
      <c r="O248" s="1" t="str">
        <f>HYPERLINK(".\sm_car_250206_1736\sm_car_250206_1736_247_Ca165TrN_MaDC1_ode23t_1.png","figure")</f>
        <v>figure</v>
      </c>
      <c r="P248" t="s">
        <v>15</v>
      </c>
    </row>
    <row r="249" spans="1:16" x14ac:dyDescent="0.25">
      <c r="A249">
        <v>248</v>
      </c>
      <c r="B249">
        <v>196</v>
      </c>
      <c r="C249" t="s">
        <v>45</v>
      </c>
      <c r="D249" t="s">
        <v>35</v>
      </c>
      <c r="E249" t="s">
        <v>107</v>
      </c>
      <c r="F249" t="s">
        <v>19</v>
      </c>
      <c r="G249" t="s">
        <v>90</v>
      </c>
      <c r="H249" t="s">
        <v>21</v>
      </c>
      <c r="I249" t="s">
        <v>93</v>
      </c>
      <c r="J249" t="s">
        <v>92</v>
      </c>
      <c r="K249">
        <v>4095</v>
      </c>
      <c r="L249" s="4">
        <v>50.1408317</v>
      </c>
      <c r="M249" s="4">
        <v>980.46359959983272</v>
      </c>
      <c r="N249" s="4">
        <v>0.72246891481520992</v>
      </c>
      <c r="O249" s="1" t="str">
        <f>HYPERLINK(".\sm_car_250206_1736\sm_car_250206_1736_248_Ca196TrN_MaDC1_daessc_1.png","figure")</f>
        <v>figure</v>
      </c>
      <c r="P249" t="s">
        <v>15</v>
      </c>
    </row>
    <row r="250" spans="1:16" x14ac:dyDescent="0.25">
      <c r="A250">
        <v>249</v>
      </c>
      <c r="B250">
        <v>179</v>
      </c>
      <c r="C250" t="s">
        <v>45</v>
      </c>
      <c r="D250" t="s">
        <v>57</v>
      </c>
      <c r="E250" t="s">
        <v>18</v>
      </c>
      <c r="F250" t="s">
        <v>19</v>
      </c>
      <c r="G250" t="s">
        <v>26</v>
      </c>
      <c r="H250" t="s">
        <v>21</v>
      </c>
      <c r="I250" t="s">
        <v>22</v>
      </c>
      <c r="J250" t="s">
        <v>23</v>
      </c>
      <c r="K250">
        <v>475</v>
      </c>
      <c r="L250" s="4">
        <v>5.0279337000000002</v>
      </c>
      <c r="M250" s="4">
        <v>147.84696378638029</v>
      </c>
      <c r="N250" s="4">
        <v>9.4799615660466838E-2</v>
      </c>
      <c r="O250" s="1" t="str">
        <f>HYPERLINK(".\sm_car_250206_1736\sm_car_250206_1736_249_Ca179TrN_MaWOT_ode23t_1.png","figure")</f>
        <v>figure</v>
      </c>
      <c r="P250" t="s">
        <v>15</v>
      </c>
    </row>
    <row r="251" spans="1:16" x14ac:dyDescent="0.25">
      <c r="A251">
        <v>250</v>
      </c>
      <c r="B251">
        <v>180</v>
      </c>
      <c r="C251" t="s">
        <v>45</v>
      </c>
      <c r="D251" t="s">
        <v>57</v>
      </c>
      <c r="E251" t="s">
        <v>49</v>
      </c>
      <c r="F251" t="s">
        <v>19</v>
      </c>
      <c r="G251" t="s">
        <v>26</v>
      </c>
      <c r="H251" t="s">
        <v>21</v>
      </c>
      <c r="I251" t="s">
        <v>22</v>
      </c>
      <c r="J251" t="s">
        <v>23</v>
      </c>
      <c r="K251">
        <v>518</v>
      </c>
      <c r="L251" s="4">
        <v>6.7176204000000004</v>
      </c>
      <c r="M251" s="4">
        <v>147.86617547512446</v>
      </c>
      <c r="N251" s="4">
        <v>9.4540927305470104E-2</v>
      </c>
      <c r="O251" s="1" t="str">
        <f>HYPERLINK(".\sm_car_250206_1736\sm_car_250206_1736_250_Ca180TrN_MaWOT_ode23t_1.png","figure")</f>
        <v>figure</v>
      </c>
      <c r="P251" t="s">
        <v>15</v>
      </c>
    </row>
    <row r="252" spans="1:16" x14ac:dyDescent="0.25">
      <c r="A252">
        <v>251</v>
      </c>
      <c r="B252">
        <v>197</v>
      </c>
      <c r="C252" t="s">
        <v>45</v>
      </c>
      <c r="D252" t="s">
        <v>57</v>
      </c>
      <c r="E252" t="s">
        <v>107</v>
      </c>
      <c r="F252" t="s">
        <v>19</v>
      </c>
      <c r="G252" t="s">
        <v>26</v>
      </c>
      <c r="H252" t="s">
        <v>21</v>
      </c>
      <c r="I252" t="s">
        <v>22</v>
      </c>
      <c r="J252" t="s">
        <v>23</v>
      </c>
      <c r="K252">
        <v>477</v>
      </c>
      <c r="L252" s="4">
        <v>2.0735644</v>
      </c>
      <c r="M252" s="4">
        <v>147.85998155913694</v>
      </c>
      <c r="N252" s="4">
        <v>9.4513178143687787E-2</v>
      </c>
      <c r="O252" s="1" t="str">
        <f>HYPERLINK(".\sm_car_250206_1736\sm_car_250206_1736_251_Ca197TrN_MaWOT_ode23t_1.png","figure")</f>
        <v>figure</v>
      </c>
      <c r="P252" t="s">
        <v>15</v>
      </c>
    </row>
    <row r="253" spans="1:16" x14ac:dyDescent="0.25">
      <c r="A253">
        <v>252</v>
      </c>
      <c r="B253">
        <v>182</v>
      </c>
      <c r="C253" t="s">
        <v>45</v>
      </c>
      <c r="D253" t="s">
        <v>17</v>
      </c>
      <c r="E253" t="s">
        <v>49</v>
      </c>
      <c r="F253" t="s">
        <v>19</v>
      </c>
      <c r="G253" t="s">
        <v>26</v>
      </c>
      <c r="H253" t="s">
        <v>21</v>
      </c>
      <c r="I253" t="s">
        <v>64</v>
      </c>
      <c r="J253" t="s">
        <v>23</v>
      </c>
      <c r="K253">
        <v>415</v>
      </c>
      <c r="L253" s="4">
        <v>12.239240000000001</v>
      </c>
      <c r="M253" s="4">
        <v>63.168370056581907</v>
      </c>
      <c r="N253" s="4">
        <v>-25.339015340513104</v>
      </c>
      <c r="O253" s="1" t="str">
        <f>HYPERLINK(".\sm_car_250206_1736\sm_car_250206_1736_252_Ca182TrN_MaTUR_ode23t_1.png","figure")</f>
        <v>figure</v>
      </c>
      <c r="P253" t="s">
        <v>15</v>
      </c>
    </row>
    <row r="254" spans="1:16" x14ac:dyDescent="0.25">
      <c r="A254">
        <v>253</v>
      </c>
      <c r="B254">
        <v>203</v>
      </c>
      <c r="C254" t="s">
        <v>45</v>
      </c>
      <c r="D254" t="s">
        <v>17</v>
      </c>
      <c r="E254" t="s">
        <v>107</v>
      </c>
      <c r="F254" t="s">
        <v>19</v>
      </c>
      <c r="G254" t="s">
        <v>26</v>
      </c>
      <c r="H254" t="s">
        <v>21</v>
      </c>
      <c r="I254" t="s">
        <v>64</v>
      </c>
      <c r="J254" t="s">
        <v>23</v>
      </c>
      <c r="K254">
        <v>345</v>
      </c>
      <c r="L254" s="4">
        <v>4.5164656000000001</v>
      </c>
      <c r="M254" s="4">
        <v>63.155781671639119</v>
      </c>
      <c r="N254" s="4">
        <v>-25.335970660822841</v>
      </c>
      <c r="O254" s="1" t="str">
        <f>HYPERLINK(".\sm_car_250206_1736\sm_car_250206_1736_253_Ca203TrN_MaTUR_ode23t_1.png","figure")</f>
        <v>figure</v>
      </c>
      <c r="P254" t="s">
        <v>15</v>
      </c>
    </row>
    <row r="255" spans="1:16" x14ac:dyDescent="0.25">
      <c r="A255">
        <v>254</v>
      </c>
      <c r="B255">
        <v>185</v>
      </c>
      <c r="C255" t="s">
        <v>45</v>
      </c>
      <c r="D255" t="s">
        <v>17</v>
      </c>
      <c r="E255" t="s">
        <v>18</v>
      </c>
      <c r="F255" t="s">
        <v>19</v>
      </c>
      <c r="G255" t="s">
        <v>26</v>
      </c>
      <c r="H255" t="s">
        <v>21</v>
      </c>
      <c r="I255" t="s">
        <v>64</v>
      </c>
      <c r="J255" t="s">
        <v>23</v>
      </c>
      <c r="K255">
        <v>505</v>
      </c>
      <c r="L255" s="4">
        <v>19.2448899</v>
      </c>
      <c r="M255" s="4">
        <v>114.15196113379022</v>
      </c>
      <c r="N255" s="4">
        <v>-80.775493295522296</v>
      </c>
      <c r="O255" s="1" t="str">
        <f>HYPERLINK(".\sm_car_250206_1736\sm_car_250206_1736_254_Ca185TrN_MaTUR_ode23t_1.png","figure")</f>
        <v>figure</v>
      </c>
      <c r="P255" t="s">
        <v>15</v>
      </c>
    </row>
    <row r="256" spans="1:16" x14ac:dyDescent="0.25">
      <c r="A256">
        <v>255</v>
      </c>
      <c r="B256">
        <v>188</v>
      </c>
      <c r="C256" t="s">
        <v>45</v>
      </c>
      <c r="D256" t="s">
        <v>113</v>
      </c>
      <c r="E256" t="s">
        <v>49</v>
      </c>
      <c r="F256" t="s">
        <v>19</v>
      </c>
      <c r="G256" t="s">
        <v>26</v>
      </c>
      <c r="H256" t="s">
        <v>21</v>
      </c>
      <c r="I256" t="s">
        <v>64</v>
      </c>
      <c r="J256" t="s">
        <v>23</v>
      </c>
      <c r="K256">
        <v>540</v>
      </c>
      <c r="L256" s="4">
        <v>7.0241939000000002</v>
      </c>
      <c r="M256" s="4">
        <v>140.63651307922987</v>
      </c>
      <c r="N256" s="4">
        <v>-71.773698150276559</v>
      </c>
      <c r="O256" s="1" t="str">
        <f>HYPERLINK(".\sm_car_250206_1736\sm_car_250206_1736_255_Ca188TrN_MaTUR_ode23t_1.png","figure")</f>
        <v>figure</v>
      </c>
      <c r="P256" t="s">
        <v>15</v>
      </c>
    </row>
    <row r="257" spans="1:16" x14ac:dyDescent="0.25">
      <c r="A257">
        <v>256</v>
      </c>
      <c r="B257" t="s">
        <v>94</v>
      </c>
      <c r="C257" t="s">
        <v>95</v>
      </c>
      <c r="D257" t="s">
        <v>35</v>
      </c>
      <c r="E257" t="s">
        <v>18</v>
      </c>
      <c r="F257" t="s">
        <v>19</v>
      </c>
      <c r="G257" t="s">
        <v>96</v>
      </c>
      <c r="H257" t="s">
        <v>21</v>
      </c>
      <c r="I257" t="s">
        <v>22</v>
      </c>
      <c r="J257" t="s">
        <v>23</v>
      </c>
      <c r="K257">
        <v>450</v>
      </c>
      <c r="L257" s="4">
        <v>13.2520787</v>
      </c>
      <c r="M257" s="4">
        <v>79.191473099722828</v>
      </c>
      <c r="N257" s="4">
        <v>-0.33363508893979904</v>
      </c>
      <c r="O257" s="1" t="str">
        <f>HYPERLINK(".\sm_car_250206_1736\sm_car_Axle3_250206_1736_256_CaAxle3_000TrN_MaWOT_ode23t_1.png","figure")</f>
        <v>figure</v>
      </c>
      <c r="P257" t="s">
        <v>15</v>
      </c>
    </row>
    <row r="258" spans="1:16" x14ac:dyDescent="0.25">
      <c r="A258">
        <v>257</v>
      </c>
      <c r="B258" t="s">
        <v>99</v>
      </c>
      <c r="C258" t="s">
        <v>100</v>
      </c>
      <c r="D258" t="s">
        <v>35</v>
      </c>
      <c r="E258" t="s">
        <v>18</v>
      </c>
      <c r="F258" t="s">
        <v>19</v>
      </c>
      <c r="G258" t="s">
        <v>96</v>
      </c>
      <c r="H258" t="s">
        <v>21</v>
      </c>
      <c r="I258" t="s">
        <v>22</v>
      </c>
      <c r="J258" t="s">
        <v>23</v>
      </c>
      <c r="K258">
        <v>479</v>
      </c>
      <c r="L258" s="4">
        <v>13.4473804</v>
      </c>
      <c r="M258" s="4">
        <v>69.133267510463625</v>
      </c>
      <c r="N258" s="4">
        <v>8.3860487409241985E-2</v>
      </c>
      <c r="O258" s="1" t="str">
        <f>HYPERLINK(".\sm_car_250206_1736\sm_car_Axle3_250206_1736_257_CaAxle3_008TrN_MaWOT_ode23t_1.png","figure")</f>
        <v>figure</v>
      </c>
      <c r="P258" t="s">
        <v>15</v>
      </c>
    </row>
    <row r="259" spans="1:16" x14ac:dyDescent="0.25">
      <c r="A259">
        <v>258</v>
      </c>
      <c r="B259" t="s">
        <v>97</v>
      </c>
      <c r="C259" t="s">
        <v>95</v>
      </c>
      <c r="D259" t="s">
        <v>35</v>
      </c>
      <c r="E259" t="s">
        <v>49</v>
      </c>
      <c r="F259" t="s">
        <v>19</v>
      </c>
      <c r="G259" t="s">
        <v>98</v>
      </c>
      <c r="H259" t="s">
        <v>21</v>
      </c>
      <c r="I259" t="s">
        <v>22</v>
      </c>
      <c r="J259" t="s">
        <v>23</v>
      </c>
      <c r="K259">
        <v>426</v>
      </c>
      <c r="L259" s="4">
        <v>12.4338017</v>
      </c>
      <c r="M259" s="4">
        <v>79.26753082601013</v>
      </c>
      <c r="N259" s="4">
        <v>-0.31346583892466412</v>
      </c>
      <c r="O259" s="1" t="str">
        <f>HYPERLINK(".\sm_car_250206_1736\sm_car_Axle3_250206_1736_258_CaAxle3_003TrN_MaWOT_ode23t_1.png","figure")</f>
        <v>figure</v>
      </c>
      <c r="P259" t="s">
        <v>15</v>
      </c>
    </row>
    <row r="260" spans="1:16" x14ac:dyDescent="0.25">
      <c r="A260">
        <v>259</v>
      </c>
      <c r="B260" t="s">
        <v>114</v>
      </c>
      <c r="C260" t="s">
        <v>95</v>
      </c>
      <c r="D260" t="s">
        <v>35</v>
      </c>
      <c r="E260" t="s">
        <v>107</v>
      </c>
      <c r="F260" t="s">
        <v>19</v>
      </c>
      <c r="G260" t="s">
        <v>98</v>
      </c>
      <c r="H260" t="s">
        <v>21</v>
      </c>
      <c r="I260" t="s">
        <v>22</v>
      </c>
      <c r="J260" t="s">
        <v>23</v>
      </c>
      <c r="K260">
        <v>438</v>
      </c>
      <c r="L260" s="4">
        <v>2.0819831</v>
      </c>
      <c r="M260" s="4">
        <v>80.149536181477046</v>
      </c>
      <c r="N260" s="4">
        <v>-0.31965340500242301</v>
      </c>
      <c r="O260" s="1" t="str">
        <f>HYPERLINK(".\sm_car_250206_1736\sm_car_Axle3_250206_1736_259_CaAxle3_017TrN_MaWOT_ode23t_1.png","figure")</f>
        <v>figure</v>
      </c>
      <c r="P260" t="s">
        <v>15</v>
      </c>
    </row>
    <row r="261" spans="1:16" x14ac:dyDescent="0.25">
      <c r="A261">
        <v>260</v>
      </c>
      <c r="B261" t="s">
        <v>101</v>
      </c>
      <c r="C261" t="s">
        <v>100</v>
      </c>
      <c r="D261" t="s">
        <v>35</v>
      </c>
      <c r="E261" t="s">
        <v>49</v>
      </c>
      <c r="F261" t="s">
        <v>19</v>
      </c>
      <c r="G261" t="s">
        <v>96</v>
      </c>
      <c r="H261" t="s">
        <v>102</v>
      </c>
      <c r="I261" t="s">
        <v>22</v>
      </c>
      <c r="J261" t="s">
        <v>23</v>
      </c>
      <c r="K261">
        <v>379</v>
      </c>
      <c r="L261" s="4">
        <v>30.306736399999998</v>
      </c>
      <c r="M261" s="4">
        <v>23.327283758737099</v>
      </c>
      <c r="N261" s="4">
        <v>2.4827836515485882E-3</v>
      </c>
      <c r="O261" s="1" t="str">
        <f>HYPERLINK(".\sm_car_250206_1736\sm_car_Axle3_250206_1736_260_CaAxle3_010TrK_MaWOT_ode23t_1.png","figure")</f>
        <v>figure</v>
      </c>
      <c r="P261" t="s">
        <v>15</v>
      </c>
    </row>
    <row r="262" spans="1:16" x14ac:dyDescent="0.25">
      <c r="A262">
        <v>261</v>
      </c>
      <c r="B262" t="s">
        <v>101</v>
      </c>
      <c r="C262" t="s">
        <v>100</v>
      </c>
      <c r="D262" t="s">
        <v>35</v>
      </c>
      <c r="E262" t="s">
        <v>49</v>
      </c>
      <c r="F262" t="s">
        <v>19</v>
      </c>
      <c r="G262" t="s">
        <v>96</v>
      </c>
      <c r="H262" t="s">
        <v>102</v>
      </c>
      <c r="I262" t="s">
        <v>22</v>
      </c>
      <c r="J262" t="s">
        <v>23</v>
      </c>
      <c r="K262">
        <v>402</v>
      </c>
      <c r="L262" s="4">
        <v>31.083565100000001</v>
      </c>
      <c r="M262" s="4">
        <v>23.441137317233412</v>
      </c>
      <c r="N262" s="4">
        <v>2.5318258846586152E-3</v>
      </c>
      <c r="O262" s="1" t="str">
        <f>HYPERLINK(".\sm_car_250206_1736\sm_car_Axle3_250206_1736_261_CaAxle3_010TrK_MaWOT_ode23t_1.png","figure")</f>
        <v>figure</v>
      </c>
      <c r="P262" t="s">
        <v>15</v>
      </c>
    </row>
    <row r="263" spans="1:16" x14ac:dyDescent="0.25">
      <c r="A263">
        <v>262</v>
      </c>
      <c r="B263" t="s">
        <v>115</v>
      </c>
      <c r="C263" t="s">
        <v>100</v>
      </c>
      <c r="D263" t="s">
        <v>35</v>
      </c>
      <c r="E263" t="s">
        <v>107</v>
      </c>
      <c r="F263" t="s">
        <v>19</v>
      </c>
      <c r="G263" t="s">
        <v>96</v>
      </c>
      <c r="H263" t="s">
        <v>102</v>
      </c>
      <c r="I263" t="s">
        <v>22</v>
      </c>
      <c r="J263" t="s">
        <v>23</v>
      </c>
      <c r="K263">
        <v>395</v>
      </c>
      <c r="L263" s="4">
        <v>2.3784391</v>
      </c>
      <c r="M263" s="4">
        <v>26.915043021668794</v>
      </c>
      <c r="N263" s="4">
        <v>3.6189184600081623E-3</v>
      </c>
      <c r="O263" s="1" t="str">
        <f>HYPERLINK(".\sm_car_250206_1736\sm_car_Axle3_250206_1736_262_CaAxle3_019TrK_MaWOT_ode23t_1.png","figure")</f>
        <v>figure</v>
      </c>
      <c r="P263" t="s">
        <v>15</v>
      </c>
    </row>
    <row r="264" spans="1:16" x14ac:dyDescent="0.25">
      <c r="A264">
        <v>263</v>
      </c>
      <c r="B264" t="s">
        <v>115</v>
      </c>
      <c r="C264" t="s">
        <v>100</v>
      </c>
      <c r="D264" t="s">
        <v>35</v>
      </c>
      <c r="E264" t="s">
        <v>107</v>
      </c>
      <c r="F264" t="s">
        <v>19</v>
      </c>
      <c r="G264" t="s">
        <v>96</v>
      </c>
      <c r="H264" t="s">
        <v>102</v>
      </c>
      <c r="I264" t="s">
        <v>22</v>
      </c>
      <c r="J264" t="s">
        <v>23</v>
      </c>
      <c r="K264">
        <v>396</v>
      </c>
      <c r="L264" s="4">
        <v>2.4980093000000001</v>
      </c>
      <c r="M264" s="4">
        <v>26.904154781457223</v>
      </c>
      <c r="N264" s="4">
        <v>3.6114672267954853E-3</v>
      </c>
      <c r="O264" s="1" t="str">
        <f>HYPERLINK(".\sm_car_250206_1736\sm_car_Axle3_250206_1736_263_CaAxle3_019TrK_MaWOT_ode23t_1.png","figure")</f>
        <v>figure</v>
      </c>
      <c r="P264" t="s">
        <v>15</v>
      </c>
    </row>
    <row r="265" spans="1:16" x14ac:dyDescent="0.25">
      <c r="A265">
        <v>264</v>
      </c>
      <c r="B265" t="s">
        <v>103</v>
      </c>
      <c r="C265" t="s">
        <v>100</v>
      </c>
      <c r="D265" t="s">
        <v>35</v>
      </c>
      <c r="E265" t="s">
        <v>18</v>
      </c>
      <c r="F265" t="s">
        <v>19</v>
      </c>
      <c r="G265" t="s">
        <v>104</v>
      </c>
      <c r="H265" t="s">
        <v>102</v>
      </c>
      <c r="I265" t="s">
        <v>53</v>
      </c>
      <c r="J265" t="s">
        <v>23</v>
      </c>
      <c r="K265">
        <v>671</v>
      </c>
      <c r="L265" s="4">
        <v>21.202079600000001</v>
      </c>
      <c r="M265" s="4">
        <v>253.93878255168397</v>
      </c>
      <c r="N265" s="4">
        <v>-9.9692149548659792E-2</v>
      </c>
      <c r="O265" s="1" t="str">
        <f>HYPERLINK(".\sm_car_250206_1736\sm_car_Axle3_250206_1736_264_CaAxle3_012TrK_MaDLC_ode23t_1.png","figure")</f>
        <v>figure</v>
      </c>
      <c r="P265" t="s">
        <v>15</v>
      </c>
    </row>
    <row r="266" spans="1:16" x14ac:dyDescent="0.25">
      <c r="A266">
        <v>265</v>
      </c>
      <c r="B266" t="s">
        <v>103</v>
      </c>
      <c r="C266" t="s">
        <v>100</v>
      </c>
      <c r="D266" t="s">
        <v>35</v>
      </c>
      <c r="E266" t="s">
        <v>18</v>
      </c>
      <c r="F266" t="s">
        <v>19</v>
      </c>
      <c r="G266" t="s">
        <v>104</v>
      </c>
      <c r="H266" t="s">
        <v>102</v>
      </c>
      <c r="I266" t="s">
        <v>53</v>
      </c>
      <c r="J266" t="s">
        <v>23</v>
      </c>
      <c r="K266">
        <v>768</v>
      </c>
      <c r="L266" s="4">
        <v>18.433782900000001</v>
      </c>
      <c r="M266" s="4">
        <v>254.54762614555142</v>
      </c>
      <c r="N266" s="4">
        <v>-9.9296882290919264E-2</v>
      </c>
      <c r="O266" s="1" t="str">
        <f>HYPERLINK(".\sm_car_250206_1736\sm_car_Axle3_250206_1736_265_CaAxle3_012TrK_MaDLC_ode23t_1.png","figure")</f>
        <v>figure</v>
      </c>
      <c r="P266" t="s">
        <v>15</v>
      </c>
    </row>
    <row r="267" spans="1:16" x14ac:dyDescent="0.25">
      <c r="A267">
        <v>266</v>
      </c>
      <c r="B267" t="s">
        <v>103</v>
      </c>
      <c r="C267" t="s">
        <v>100</v>
      </c>
      <c r="D267" t="s">
        <v>35</v>
      </c>
      <c r="E267" t="s">
        <v>18</v>
      </c>
      <c r="F267" t="s">
        <v>19</v>
      </c>
      <c r="G267" t="s">
        <v>104</v>
      </c>
      <c r="H267" t="s">
        <v>102</v>
      </c>
      <c r="I267" t="s">
        <v>53</v>
      </c>
      <c r="J267" t="s">
        <v>23</v>
      </c>
      <c r="K267">
        <v>669</v>
      </c>
      <c r="L267" s="4">
        <v>16.411807700000001</v>
      </c>
      <c r="M267" s="4">
        <v>255.42269276024757</v>
      </c>
      <c r="N267" s="4">
        <v>-0.10363588515417277</v>
      </c>
      <c r="O267" s="1" t="str">
        <f>HYPERLINK(".\sm_car_250206_1736\sm_car_Axle3_250206_1736_266_CaAxle3_012TrK_MaDLC_ode23t_1.png","figure")</f>
        <v>figure</v>
      </c>
      <c r="P267" t="s">
        <v>15</v>
      </c>
    </row>
    <row r="268" spans="1:16" x14ac:dyDescent="0.25">
      <c r="A268">
        <v>267</v>
      </c>
      <c r="B268" t="s">
        <v>103</v>
      </c>
      <c r="C268" t="s">
        <v>100</v>
      </c>
      <c r="D268" t="s">
        <v>35</v>
      </c>
      <c r="E268" t="s">
        <v>18</v>
      </c>
      <c r="F268" t="s">
        <v>19</v>
      </c>
      <c r="G268" t="s">
        <v>104</v>
      </c>
      <c r="H268" t="s">
        <v>102</v>
      </c>
      <c r="I268" t="s">
        <v>53</v>
      </c>
      <c r="J268" t="s">
        <v>23</v>
      </c>
      <c r="K268">
        <v>942</v>
      </c>
      <c r="L268" s="4">
        <v>20.669419900000001</v>
      </c>
      <c r="M268" s="4">
        <v>253.86875137280009</v>
      </c>
      <c r="N268" s="4">
        <v>-9.1252851809679125E-2</v>
      </c>
      <c r="O268" s="1" t="str">
        <f>HYPERLINK(".\sm_car_250206_1736\sm_car_Axle3_250206_1736_267_CaAxle3_012TrK_MaDLC_ode23t_1.png","figure")</f>
        <v>figure</v>
      </c>
      <c r="P26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69A1C-2A26-4320-9880-8442C220AD65}">
  <dimension ref="A1:W274"/>
  <sheetViews>
    <sheetView topLeftCell="B1" workbookViewId="0">
      <selection activeCell="R71" sqref="R71"/>
    </sheetView>
  </sheetViews>
  <sheetFormatPr defaultRowHeight="15" x14ac:dyDescent="0.25"/>
  <cols>
    <col min="1" max="1" width="6.7109375" bestFit="1" customWidth="1"/>
    <col min="2" max="2" width="10" bestFit="1" customWidth="1"/>
    <col min="3" max="3" width="14" bestFit="1" customWidth="1"/>
    <col min="4" max="4" width="12.42578125" bestFit="1" customWidth="1"/>
    <col min="5" max="5" width="11.85546875" bestFit="1" customWidth="1"/>
    <col min="6" max="6" width="9" bestFit="1" customWidth="1"/>
    <col min="7" max="7" width="16.85546875" bestFit="1" customWidth="1"/>
    <col min="8" max="8" width="8.5703125" bestFit="1" customWidth="1"/>
    <col min="9" max="9" width="27.140625" bestFit="1" customWidth="1"/>
    <col min="10" max="10" width="7.140625" bestFit="1" customWidth="1"/>
    <col min="11" max="11" width="9.5703125" bestFit="1" customWidth="1"/>
    <col min="12" max="12" width="7.7109375" bestFit="1" customWidth="1"/>
    <col min="13" max="13" width="8.5703125" bestFit="1" customWidth="1"/>
    <col min="14" max="14" width="9.28515625" bestFit="1" customWidth="1"/>
    <col min="15" max="15" width="8.85546875" bestFit="1" customWidth="1"/>
    <col min="16" max="16" width="7.140625" bestFit="1" customWidth="1"/>
    <col min="18" max="18" width="32.28515625" bestFit="1" customWidth="1"/>
  </cols>
  <sheetData>
    <row r="1" spans="1:2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R1" s="2" t="s">
        <v>125</v>
      </c>
    </row>
    <row r="2" spans="1:23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419</v>
      </c>
      <c r="L2" s="4">
        <v>6.5229168</v>
      </c>
      <c r="M2" s="4">
        <v>231.16977804581785</v>
      </c>
      <c r="N2" s="4">
        <v>-4.2167209273321557E-3</v>
      </c>
      <c r="O2" s="1" t="str">
        <f>HYPERLINK(".\sm_car_250407_2318\sm_car_250407_2318_001_Ca000TrN_MaWOT_ode23t.png","figure")</f>
        <v>figure</v>
      </c>
      <c r="P2" t="s">
        <v>15</v>
      </c>
      <c r="R2" s="2" t="s">
        <v>116</v>
      </c>
      <c r="T2">
        <f>K2-'2022a_250206_1736'!K2</f>
        <v>14</v>
      </c>
      <c r="U2" s="5">
        <f>T2/'2022a_250206_1736'!K2</f>
        <v>3.4567901234567898E-2</v>
      </c>
      <c r="V2" s="4">
        <f>L2-'2022a_250206_1736'!L2</f>
        <v>-0.65113000000000021</v>
      </c>
      <c r="W2" s="5">
        <f>V2/'2022a_250206_1736'!L2</f>
        <v>-9.0761883516009431E-2</v>
      </c>
    </row>
    <row r="3" spans="1:23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24</v>
      </c>
      <c r="J3" t="s">
        <v>23</v>
      </c>
      <c r="K3">
        <v>535</v>
      </c>
      <c r="L3" s="4">
        <v>7.5437127000000004</v>
      </c>
      <c r="M3" s="4">
        <v>71.237682164595498</v>
      </c>
      <c r="N3" s="4">
        <v>-0.53746460590208933</v>
      </c>
      <c r="O3" s="1" t="str">
        <f>HYPERLINK(".\sm_car_250407_2318\sm_car_250407_2318_002_Ca000TrN_MaLSS_ode23t.png","figure")</f>
        <v>figure</v>
      </c>
      <c r="P3" t="s">
        <v>15</v>
      </c>
      <c r="R3" s="2" t="s">
        <v>117</v>
      </c>
      <c r="T3">
        <f>K3-'2022a_250206_1736'!K3</f>
        <v>5</v>
      </c>
      <c r="U3" s="5">
        <f>T3/'2022a_250206_1736'!K3</f>
        <v>9.433962264150943E-3</v>
      </c>
      <c r="V3" s="4">
        <f>L3-'2022a_250206_1736'!L3</f>
        <v>2.3270400000000357E-2</v>
      </c>
      <c r="W3" s="5">
        <f>V3/'2022a_250206_1736'!L3</f>
        <v>3.0942860900615324E-3</v>
      </c>
    </row>
    <row r="4" spans="1:23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21</v>
      </c>
      <c r="I4" t="s">
        <v>22</v>
      </c>
      <c r="J4" t="s">
        <v>23</v>
      </c>
      <c r="K4">
        <v>422</v>
      </c>
      <c r="L4" s="4">
        <v>7.2873893000000001</v>
      </c>
      <c r="M4" s="4">
        <v>230.37134808726253</v>
      </c>
      <c r="N4" s="4">
        <v>-1.0327302080290783E-2</v>
      </c>
      <c r="O4" s="1" t="str">
        <f>HYPERLINK(".\sm_car_250407_2318\sm_car_250407_2318_003_Ca001TrN_MaWOT_ode23t.png","figure")</f>
        <v>figure</v>
      </c>
      <c r="P4" t="s">
        <v>15</v>
      </c>
      <c r="R4" s="2" t="s">
        <v>118</v>
      </c>
      <c r="T4">
        <f>K4-'2022a_250206_1736'!K4</f>
        <v>14</v>
      </c>
      <c r="U4" s="5">
        <f>T4/'2022a_250206_1736'!K4</f>
        <v>3.4313725490196081E-2</v>
      </c>
      <c r="V4" s="4">
        <f>L4-'2022a_250206_1736'!L4</f>
        <v>-0.58774119999999996</v>
      </c>
      <c r="W4" s="5">
        <f>V4/'2022a_250206_1736'!L4</f>
        <v>-7.463256640635986E-2</v>
      </c>
    </row>
    <row r="5" spans="1:23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25</v>
      </c>
      <c r="H5" t="s">
        <v>21</v>
      </c>
      <c r="I5" t="s">
        <v>24</v>
      </c>
      <c r="J5" t="s">
        <v>23</v>
      </c>
      <c r="K5">
        <v>519</v>
      </c>
      <c r="L5" s="4">
        <v>7.9593995</v>
      </c>
      <c r="M5" s="4">
        <v>70.957358714234289</v>
      </c>
      <c r="N5" s="4">
        <v>-0.53535025122635005</v>
      </c>
      <c r="O5" s="1" t="str">
        <f>HYPERLINK(".\sm_car_250407_2318\sm_car_250407_2318_004_Ca001TrN_MaLSS_ode23t.png","figure")</f>
        <v>figure</v>
      </c>
      <c r="P5" t="s">
        <v>15</v>
      </c>
      <c r="R5" t="s">
        <v>126</v>
      </c>
      <c r="T5">
        <f>K5-'2022a_250206_1736'!K5</f>
        <v>-3</v>
      </c>
      <c r="U5" s="5">
        <f>T5/'2022a_250206_1736'!K5</f>
        <v>-5.7471264367816091E-3</v>
      </c>
      <c r="V5" s="4">
        <f>L5-'2022a_250206_1736'!L5</f>
        <v>-0.10903470000000048</v>
      </c>
      <c r="W5" s="5">
        <f>V5/'2022a_250206_1736'!L5</f>
        <v>-1.3513737275071349E-2</v>
      </c>
    </row>
    <row r="6" spans="1:23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26</v>
      </c>
      <c r="H6" t="s">
        <v>21</v>
      </c>
      <c r="I6" t="s">
        <v>22</v>
      </c>
      <c r="J6" t="s">
        <v>23</v>
      </c>
      <c r="K6">
        <v>438</v>
      </c>
      <c r="L6" s="4">
        <v>11.1662795</v>
      </c>
      <c r="M6" s="4">
        <v>230.3866525574833</v>
      </c>
      <c r="N6" s="4">
        <v>5.2552455895464791E-2</v>
      </c>
      <c r="O6" s="1" t="str">
        <f>HYPERLINK(".\sm_car_250407_2318\sm_car_250407_2318_005_Ca002TrN_MaWOT_ode23t.png","figure")</f>
        <v>figure</v>
      </c>
      <c r="P6" t="s">
        <v>15</v>
      </c>
      <c r="T6">
        <f>K6-'2022a_250206_1736'!K6</f>
        <v>10</v>
      </c>
      <c r="U6" s="5">
        <f>T6/'2022a_250206_1736'!K6</f>
        <v>2.336448598130841E-2</v>
      </c>
      <c r="V6" s="4">
        <f>L6-'2022a_250206_1736'!L6</f>
        <v>-0.39960130000000049</v>
      </c>
      <c r="W6" s="5">
        <f>V6/'2022a_250206_1736'!L6</f>
        <v>-3.455001023354836E-2</v>
      </c>
    </row>
    <row r="7" spans="1:23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26</v>
      </c>
      <c r="H7" t="s">
        <v>21</v>
      </c>
      <c r="I7" t="s">
        <v>24</v>
      </c>
      <c r="J7" t="s">
        <v>23</v>
      </c>
      <c r="K7">
        <v>531</v>
      </c>
      <c r="L7" s="4">
        <v>11.782131400000001</v>
      </c>
      <c r="M7" s="4">
        <v>70.954822241933982</v>
      </c>
      <c r="N7" s="4">
        <v>-0.53201919543448861</v>
      </c>
      <c r="O7" s="1" t="str">
        <f>HYPERLINK(".\sm_car_250407_2318\sm_car_250407_2318_006_Ca002TrN_MaLSS_ode23t.png","figure")</f>
        <v>figure</v>
      </c>
      <c r="P7" t="s">
        <v>15</v>
      </c>
      <c r="T7">
        <f>K7-'2022a_250206_1736'!K7</f>
        <v>3</v>
      </c>
      <c r="U7" s="5">
        <f>T7/'2022a_250206_1736'!K7</f>
        <v>5.681818181818182E-3</v>
      </c>
      <c r="V7" s="4">
        <f>L7-'2022a_250206_1736'!L7</f>
        <v>0.54609770000000069</v>
      </c>
      <c r="W7" s="5">
        <f>V7/'2022a_250206_1736'!L7</f>
        <v>4.8602355117535884E-2</v>
      </c>
    </row>
    <row r="8" spans="1:23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27</v>
      </c>
      <c r="H8" t="s">
        <v>21</v>
      </c>
      <c r="I8" t="s">
        <v>22</v>
      </c>
      <c r="J8" t="s">
        <v>23</v>
      </c>
      <c r="K8">
        <v>462</v>
      </c>
      <c r="L8" s="4">
        <v>10.993606</v>
      </c>
      <c r="M8" s="4">
        <v>229.9751145263688</v>
      </c>
      <c r="N8" s="4">
        <v>5.1365341862990063E-2</v>
      </c>
      <c r="O8" s="1" t="str">
        <f>HYPERLINK(".\sm_car_250407_2318\sm_car_250407_2318_007_Ca003TrN_MaWOT_ode23t.png","figure")</f>
        <v>figure</v>
      </c>
      <c r="P8" t="s">
        <v>15</v>
      </c>
      <c r="T8">
        <f>K8-'2022a_250206_1736'!K8</f>
        <v>-27</v>
      </c>
      <c r="U8" s="5">
        <f>T8/'2022a_250206_1736'!K8</f>
        <v>-5.5214723926380369E-2</v>
      </c>
      <c r="V8" s="4">
        <f>L8-'2022a_250206_1736'!L8</f>
        <v>-2.1703553000000007</v>
      </c>
      <c r="W8" s="5">
        <f>V8/'2022a_250206_1736'!L8</f>
        <v>-0.16487098758031146</v>
      </c>
    </row>
    <row r="9" spans="1:23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27</v>
      </c>
      <c r="H9" t="s">
        <v>21</v>
      </c>
      <c r="I9" t="s">
        <v>24</v>
      </c>
      <c r="J9" t="s">
        <v>23</v>
      </c>
      <c r="K9">
        <v>583</v>
      </c>
      <c r="L9" s="4">
        <v>12.161258200000001</v>
      </c>
      <c r="M9" s="4">
        <v>70.837110353862897</v>
      </c>
      <c r="N9" s="4">
        <v>-0.52818837935119556</v>
      </c>
      <c r="O9" s="1" t="str">
        <f>HYPERLINK(".\sm_car_250407_2318\sm_car_250407_2318_008_Ca003TrN_MaLSS_ode23t.png","figure")</f>
        <v>figure</v>
      </c>
      <c r="P9" t="s">
        <v>15</v>
      </c>
      <c r="T9">
        <f>K9-'2022a_250206_1736'!K9</f>
        <v>35</v>
      </c>
      <c r="U9" s="5">
        <f>T9/'2022a_250206_1736'!K9</f>
        <v>6.3868613138686137E-2</v>
      </c>
      <c r="V9" s="4">
        <f>L9-'2022a_250206_1736'!L9</f>
        <v>1.3574581999999999</v>
      </c>
      <c r="W9" s="5">
        <f>V9/'2022a_250206_1736'!L9</f>
        <v>0.1256463651678113</v>
      </c>
    </row>
    <row r="10" spans="1:23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20</v>
      </c>
      <c r="H10" t="s">
        <v>21</v>
      </c>
      <c r="I10" t="s">
        <v>22</v>
      </c>
      <c r="J10" t="s">
        <v>23</v>
      </c>
      <c r="K10">
        <v>1083</v>
      </c>
      <c r="L10" s="4">
        <v>10.782205899999999</v>
      </c>
      <c r="M10" s="4">
        <v>231.36499344638909</v>
      </c>
      <c r="N10" s="4">
        <v>-5.678703146996626E-3</v>
      </c>
      <c r="O10" s="1" t="str">
        <f>HYPERLINK(".\sm_car_250407_2318\sm_car_250407_2318_009_Ca004TrN_MaWOT_ode23t.png","figure")</f>
        <v>figure</v>
      </c>
      <c r="P10" t="s">
        <v>15</v>
      </c>
      <c r="T10">
        <f>K10-'2022a_250206_1736'!K10</f>
        <v>-32</v>
      </c>
      <c r="U10" s="5">
        <f>T10/'2022a_250206_1736'!K10</f>
        <v>-2.8699551569506727E-2</v>
      </c>
      <c r="V10" s="4">
        <f>L10-'2022a_250206_1736'!L10</f>
        <v>-2.0815090000000005</v>
      </c>
      <c r="W10" s="5">
        <f>V10/'2022a_250206_1736'!L10</f>
        <v>-0.16181243258119787</v>
      </c>
    </row>
    <row r="11" spans="1:23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20</v>
      </c>
      <c r="H11" t="s">
        <v>21</v>
      </c>
      <c r="I11" t="s">
        <v>24</v>
      </c>
      <c r="J11" t="s">
        <v>23</v>
      </c>
      <c r="K11">
        <v>1204</v>
      </c>
      <c r="L11" s="4">
        <v>12.687814100000001</v>
      </c>
      <c r="M11" s="4">
        <v>71.251039877141437</v>
      </c>
      <c r="N11" s="4">
        <v>-0.54015569646764505</v>
      </c>
      <c r="O11" s="1" t="str">
        <f>HYPERLINK(".\sm_car_250407_2318\sm_car_250407_2318_010_Ca004TrN_MaLSS_ode23t.png","figure")</f>
        <v>figure</v>
      </c>
      <c r="P11" t="s">
        <v>15</v>
      </c>
      <c r="T11">
        <f>K11-'2022a_250206_1736'!K11</f>
        <v>-31</v>
      </c>
      <c r="U11" s="5">
        <f>T11/'2022a_250206_1736'!K11</f>
        <v>-2.5101214574898785E-2</v>
      </c>
      <c r="V11" s="4">
        <f>L11-'2022a_250206_1736'!L11</f>
        <v>-0.55846969999999985</v>
      </c>
      <c r="W11" s="5">
        <f>V11/'2022a_250206_1736'!L11</f>
        <v>-4.2160481266451486E-2</v>
      </c>
    </row>
    <row r="12" spans="1:23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25</v>
      </c>
      <c r="H12" t="s">
        <v>21</v>
      </c>
      <c r="I12" t="s">
        <v>22</v>
      </c>
      <c r="J12" t="s">
        <v>23</v>
      </c>
      <c r="K12">
        <v>1114</v>
      </c>
      <c r="L12" s="4">
        <v>12.3763041</v>
      </c>
      <c r="M12" s="4">
        <v>230.37144959832878</v>
      </c>
      <c r="N12" s="4">
        <v>-1.174034007040572E-2</v>
      </c>
      <c r="O12" s="1" t="str">
        <f>HYPERLINK(".\sm_car_250407_2318\sm_car_250407_2318_011_Ca005TrN_MaWOT_ode23t.png","figure")</f>
        <v>figure</v>
      </c>
      <c r="P12" t="s">
        <v>15</v>
      </c>
      <c r="T12">
        <f>K12-'2022a_250206_1736'!K12</f>
        <v>-10</v>
      </c>
      <c r="U12" s="5">
        <f>T12/'2022a_250206_1736'!K12</f>
        <v>-8.8967971530249119E-3</v>
      </c>
      <c r="V12" s="4">
        <f>L12-'2022a_250206_1736'!L12</f>
        <v>-1.6531434999999988</v>
      </c>
      <c r="W12" s="5">
        <f>V12/'2022a_250206_1736'!L12</f>
        <v>-0.11783382689992718</v>
      </c>
    </row>
    <row r="13" spans="1:23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25</v>
      </c>
      <c r="H13" t="s">
        <v>21</v>
      </c>
      <c r="I13" t="s">
        <v>24</v>
      </c>
      <c r="J13" t="s">
        <v>23</v>
      </c>
      <c r="K13">
        <v>1231</v>
      </c>
      <c r="L13" s="4">
        <v>13.8225152</v>
      </c>
      <c r="M13" s="4">
        <v>70.973896059017235</v>
      </c>
      <c r="N13" s="4">
        <v>-0.5388873500331921</v>
      </c>
      <c r="O13" s="1" t="str">
        <f>HYPERLINK(".\sm_car_250407_2318\sm_car_250407_2318_012_Ca005TrN_MaLSS_ode23t.png","figure")</f>
        <v>figure</v>
      </c>
      <c r="P13" t="s">
        <v>15</v>
      </c>
      <c r="T13">
        <f>K13-'2022a_250206_1736'!K13</f>
        <v>3</v>
      </c>
      <c r="U13" s="5">
        <f>T13/'2022a_250206_1736'!K13</f>
        <v>2.4429967426710096E-3</v>
      </c>
      <c r="V13" s="4">
        <f>L13-'2022a_250206_1736'!L13</f>
        <v>-1.5076765000000005</v>
      </c>
      <c r="W13" s="5">
        <f>V13/'2022a_250206_1736'!L13</f>
        <v>-9.8346878467279727E-2</v>
      </c>
    </row>
    <row r="14" spans="1:23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26</v>
      </c>
      <c r="H14" t="s">
        <v>21</v>
      </c>
      <c r="I14" t="s">
        <v>22</v>
      </c>
      <c r="J14" t="s">
        <v>23</v>
      </c>
      <c r="K14">
        <v>1205</v>
      </c>
      <c r="L14" s="4">
        <v>14.8590663</v>
      </c>
      <c r="M14" s="4">
        <v>230.41603717099116</v>
      </c>
      <c r="N14" s="4">
        <v>5.1014450886816429E-2</v>
      </c>
      <c r="O14" s="1" t="str">
        <f>HYPERLINK(".\sm_car_250407_2318\sm_car_250407_2318_013_Ca006TrN_MaWOT_ode23t.png","figure")</f>
        <v>figure</v>
      </c>
      <c r="P14" t="s">
        <v>15</v>
      </c>
      <c r="T14">
        <f>K14-'2022a_250206_1736'!K14</f>
        <v>-60</v>
      </c>
      <c r="U14" s="5">
        <f>T14/'2022a_250206_1736'!K14</f>
        <v>-4.7430830039525688E-2</v>
      </c>
      <c r="V14" s="4">
        <f>L14-'2022a_250206_1736'!L14</f>
        <v>-3.2124846999999992</v>
      </c>
      <c r="W14" s="5">
        <f>V14/'2022a_250206_1736'!L14</f>
        <v>-0.177764747475189</v>
      </c>
    </row>
    <row r="15" spans="1:23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26</v>
      </c>
      <c r="H15" t="s">
        <v>21</v>
      </c>
      <c r="I15" t="s">
        <v>24</v>
      </c>
      <c r="J15" t="s">
        <v>23</v>
      </c>
      <c r="K15">
        <v>1302</v>
      </c>
      <c r="L15" s="4">
        <v>15.321896199999999</v>
      </c>
      <c r="M15" s="4">
        <v>70.962446784200893</v>
      </c>
      <c r="N15" s="4">
        <v>-0.53379821540881067</v>
      </c>
      <c r="O15" s="1" t="str">
        <f>HYPERLINK(".\sm_car_250407_2318\sm_car_250407_2318_014_Ca006TrN_MaLSS_ode23t.png","figure")</f>
        <v>figure</v>
      </c>
      <c r="P15" t="s">
        <v>15</v>
      </c>
      <c r="T15">
        <f>K15-'2022a_250206_1736'!K15</f>
        <v>27</v>
      </c>
      <c r="U15" s="5">
        <f>T15/'2022a_250206_1736'!K15</f>
        <v>2.1176470588235293E-2</v>
      </c>
      <c r="V15" s="4">
        <f>L15-'2022a_250206_1736'!L15</f>
        <v>-1.442462100000002</v>
      </c>
      <c r="W15" s="5">
        <f>V15/'2022a_250206_1736'!L15</f>
        <v>-8.6043382883316324E-2</v>
      </c>
    </row>
    <row r="16" spans="1:23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27</v>
      </c>
      <c r="H16" t="s">
        <v>21</v>
      </c>
      <c r="I16" t="s">
        <v>22</v>
      </c>
      <c r="J16" t="s">
        <v>23</v>
      </c>
      <c r="K16">
        <v>1187</v>
      </c>
      <c r="L16" s="4">
        <v>17.1709347</v>
      </c>
      <c r="M16" s="4">
        <v>229.92141308988465</v>
      </c>
      <c r="N16" s="4">
        <v>5.5510012812839155E-2</v>
      </c>
      <c r="O16" s="1" t="str">
        <f>HYPERLINK(".\sm_car_250407_2318\sm_car_250407_2318_015_Ca007TrN_MaWOT_ode23t.png","figure")</f>
        <v>figure</v>
      </c>
      <c r="P16" t="s">
        <v>15</v>
      </c>
      <c r="T16">
        <f>K16-'2022a_250206_1736'!K16</f>
        <v>-39</v>
      </c>
      <c r="U16" s="5">
        <f>T16/'2022a_250206_1736'!K16</f>
        <v>-3.1810766721044048E-2</v>
      </c>
      <c r="V16" s="4">
        <f>L16-'2022a_250206_1736'!L16</f>
        <v>-0.85409599999999841</v>
      </c>
      <c r="W16" s="5">
        <f>V16/'2022a_250206_1736'!L16</f>
        <v>-4.7383886009137198E-2</v>
      </c>
    </row>
    <row r="17" spans="1:23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27</v>
      </c>
      <c r="H17" t="s">
        <v>21</v>
      </c>
      <c r="I17" t="s">
        <v>24</v>
      </c>
      <c r="J17" t="s">
        <v>23</v>
      </c>
      <c r="K17">
        <v>1264</v>
      </c>
      <c r="L17" s="4">
        <v>15.7998326</v>
      </c>
      <c r="M17" s="4">
        <v>70.840155591255154</v>
      </c>
      <c r="N17" s="4">
        <v>-0.52950775914611048</v>
      </c>
      <c r="O17" s="1" t="str">
        <f>HYPERLINK(".\sm_car_250407_2318\sm_car_250407_2318_016_Ca007TrN_MaLSS_ode23t.png","figure")</f>
        <v>figure</v>
      </c>
      <c r="P17" t="s">
        <v>15</v>
      </c>
      <c r="T17">
        <f>K17-'2022a_250206_1736'!K17</f>
        <v>-9</v>
      </c>
      <c r="U17" s="5">
        <f>T17/'2022a_250206_1736'!K17</f>
        <v>-7.0699135899450118E-3</v>
      </c>
      <c r="V17" s="4">
        <f>L17-'2022a_250206_1736'!L17</f>
        <v>-0.26504420000000017</v>
      </c>
      <c r="W17" s="5">
        <f>V17/'2022a_250206_1736'!L17</f>
        <v>-1.6498364929882322E-2</v>
      </c>
    </row>
    <row r="18" spans="1:23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>
        <v>410</v>
      </c>
      <c r="L18" s="4">
        <v>5.6012028999999997</v>
      </c>
      <c r="M18" s="4">
        <v>231.95469718550959</v>
      </c>
      <c r="N18" s="4">
        <v>-7.1805169816792955E-2</v>
      </c>
      <c r="O18" s="1" t="str">
        <f>HYPERLINK(".\sm_car_250407_2318\sm_car_250407_2318_017_Ca016TrN_MaWOT_ode23t.png","figure")</f>
        <v>figure</v>
      </c>
      <c r="P18" t="s">
        <v>15</v>
      </c>
      <c r="T18">
        <f>K18-'2022a_250206_1736'!K18</f>
        <v>2</v>
      </c>
      <c r="U18" s="5">
        <f>T18/'2022a_250206_1736'!K18</f>
        <v>4.9019607843137254E-3</v>
      </c>
      <c r="V18" s="4">
        <f>L18-'2022a_250206_1736'!L18</f>
        <v>-0.40390390000000043</v>
      </c>
      <c r="W18" s="5">
        <f>V18/'2022a_250206_1736'!L18</f>
        <v>-6.7260069379615428E-2</v>
      </c>
    </row>
    <row r="19" spans="1:23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20</v>
      </c>
      <c r="H19" t="s">
        <v>21</v>
      </c>
      <c r="I19" t="s">
        <v>24</v>
      </c>
      <c r="J19" t="s">
        <v>23</v>
      </c>
      <c r="K19">
        <v>487</v>
      </c>
      <c r="L19" s="4">
        <v>5.7221567999999996</v>
      </c>
      <c r="M19" s="4">
        <v>71.519094904101436</v>
      </c>
      <c r="N19" s="4">
        <v>-2.156394133050862E-2</v>
      </c>
      <c r="O19" s="1" t="str">
        <f>HYPERLINK(".\sm_car_250407_2318\sm_car_250407_2318_018_Ca016TrN_MaLSS_ode23t.png","figure")</f>
        <v>figure</v>
      </c>
      <c r="P19" t="s">
        <v>15</v>
      </c>
      <c r="T19">
        <f>K19-'2022a_250206_1736'!K19</f>
        <v>-1</v>
      </c>
      <c r="U19" s="5">
        <f>T19/'2022a_250206_1736'!K19</f>
        <v>-2.0491803278688526E-3</v>
      </c>
      <c r="V19" s="4">
        <f>L19-'2022a_250206_1736'!L19</f>
        <v>-0.1053140000000008</v>
      </c>
      <c r="W19" s="5">
        <f>V19/'2022a_250206_1736'!L19</f>
        <v>-1.8071991025678032E-2</v>
      </c>
    </row>
    <row r="20" spans="1:23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>
        <v>396</v>
      </c>
      <c r="L20" s="4">
        <v>6.9070206000000001</v>
      </c>
      <c r="M20" s="4">
        <v>231.36823643428059</v>
      </c>
      <c r="N20" s="4">
        <v>8.704881989051139E-3</v>
      </c>
      <c r="O20" s="1" t="str">
        <f>HYPERLINK(".\sm_car_250407_2318\sm_car_250407_2318_019_Ca032TrN_MaWOT_ode23t.png","figure")</f>
        <v>figure</v>
      </c>
      <c r="P20" t="s">
        <v>15</v>
      </c>
      <c r="T20">
        <f>K20-'2022a_250206_1736'!K20</f>
        <v>-9</v>
      </c>
      <c r="U20" s="5">
        <f>T20/'2022a_250206_1736'!K20</f>
        <v>-2.2222222222222223E-2</v>
      </c>
      <c r="V20" s="4">
        <f>L20-'2022a_250206_1736'!L20</f>
        <v>-1.3569451999999993</v>
      </c>
      <c r="W20" s="5">
        <f>V20/'2022a_250206_1736'!L20</f>
        <v>-0.16420024390710805</v>
      </c>
    </row>
    <row r="21" spans="1:23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20</v>
      </c>
      <c r="H21" t="s">
        <v>21</v>
      </c>
      <c r="I21" t="s">
        <v>24</v>
      </c>
      <c r="J21" t="s">
        <v>23</v>
      </c>
      <c r="K21">
        <v>519</v>
      </c>
      <c r="L21" s="4">
        <v>8.3026143999999995</v>
      </c>
      <c r="M21" s="4">
        <v>71.25913440593186</v>
      </c>
      <c r="N21" s="4">
        <v>-0.52291335482209034</v>
      </c>
      <c r="O21" s="1" t="str">
        <f>HYPERLINK(".\sm_car_250407_2318\sm_car_250407_2318_020_Ca032TrN_MaLSS_ode23t.png","figure")</f>
        <v>figure</v>
      </c>
      <c r="P21" t="s">
        <v>15</v>
      </c>
      <c r="T21">
        <f>K21-'2022a_250206_1736'!K21</f>
        <v>0</v>
      </c>
      <c r="U21" s="5">
        <f>T21/'2022a_250206_1736'!K21</f>
        <v>0</v>
      </c>
      <c r="V21" s="4">
        <f>L21-'2022a_250206_1736'!L21</f>
        <v>-2.4861800000000045E-2</v>
      </c>
      <c r="W21" s="5">
        <f>V21/'2022a_250206_1736'!L21</f>
        <v>-2.9855143866997836E-3</v>
      </c>
    </row>
    <row r="22" spans="1:23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>
        <v>408</v>
      </c>
      <c r="L22" s="4">
        <v>7.3011223999999997</v>
      </c>
      <c r="M22" s="4">
        <v>231.35449648369442</v>
      </c>
      <c r="N22" s="4">
        <v>-1.7846832942849094E-2</v>
      </c>
      <c r="O22" s="1" t="str">
        <f>HYPERLINK(".\sm_car_250407_2318\sm_car_250407_2318_021_Ca048TrN_MaWOT_ode23t.png","figure")</f>
        <v>figure</v>
      </c>
      <c r="P22" t="s">
        <v>15</v>
      </c>
      <c r="T22">
        <f>K22-'2022a_250206_1736'!K22</f>
        <v>16</v>
      </c>
      <c r="U22" s="5">
        <f>T22/'2022a_250206_1736'!K22</f>
        <v>4.0816326530612242E-2</v>
      </c>
      <c r="V22" s="4">
        <f>L22-'2022a_250206_1736'!L22</f>
        <v>-1.6529900000000097E-2</v>
      </c>
      <c r="W22" s="5">
        <f>V22/'2022a_250206_1736'!L22</f>
        <v>-2.2589075460718593E-3</v>
      </c>
    </row>
    <row r="23" spans="1:23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20</v>
      </c>
      <c r="H23" t="s">
        <v>21</v>
      </c>
      <c r="I23" t="s">
        <v>24</v>
      </c>
      <c r="J23" t="s">
        <v>23</v>
      </c>
      <c r="K23">
        <v>523</v>
      </c>
      <c r="L23" s="4">
        <v>7.9933804000000004</v>
      </c>
      <c r="M23" s="4">
        <v>71.243091366038328</v>
      </c>
      <c r="N23" s="4">
        <v>-0.52846715496410079</v>
      </c>
      <c r="O23" s="1" t="str">
        <f>HYPERLINK(".\sm_car_250407_2318\sm_car_250407_2318_022_Ca048TrN_MaLSS_ode23t.png","figure")</f>
        <v>figure</v>
      </c>
      <c r="P23" t="s">
        <v>15</v>
      </c>
      <c r="T23">
        <f>K23-'2022a_250206_1736'!K23</f>
        <v>3</v>
      </c>
      <c r="U23" s="5">
        <f>T23/'2022a_250206_1736'!K23</f>
        <v>5.7692307692307696E-3</v>
      </c>
      <c r="V23" s="4">
        <f>L23-'2022a_250206_1736'!L23</f>
        <v>-1.2145506999999993</v>
      </c>
      <c r="W23" s="5">
        <f>V23/'2022a_250206_1736'!L23</f>
        <v>-0.13190267029691385</v>
      </c>
    </row>
    <row r="24" spans="1:23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 t="s">
        <v>23</v>
      </c>
      <c r="K24">
        <v>401</v>
      </c>
      <c r="L24" s="4">
        <v>8.0803878000000005</v>
      </c>
      <c r="M24" s="4">
        <v>231.3913327640237</v>
      </c>
      <c r="N24" s="4">
        <v>1.0575311749426356E-2</v>
      </c>
      <c r="O24" s="1" t="str">
        <f>HYPERLINK(".\sm_car_250407_2318\sm_car_250407_2318_023_Ca064TrN_MaWOT_ode23t.png","figure")</f>
        <v>figure</v>
      </c>
      <c r="P24" t="s">
        <v>15</v>
      </c>
      <c r="T24">
        <f>K24-'2022a_250206_1736'!K24</f>
        <v>3</v>
      </c>
      <c r="U24" s="5">
        <f>T24/'2022a_250206_1736'!K24</f>
        <v>7.537688442211055E-3</v>
      </c>
      <c r="V24" s="4">
        <f>L24-'2022a_250206_1736'!L24</f>
        <v>-0.33135749999999931</v>
      </c>
      <c r="W24" s="5">
        <f>V24/'2022a_250206_1736'!L24</f>
        <v>-3.9392241227275311E-2</v>
      </c>
    </row>
    <row r="25" spans="1:23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20</v>
      </c>
      <c r="H25" t="s">
        <v>21</v>
      </c>
      <c r="I25" t="s">
        <v>24</v>
      </c>
      <c r="J25" t="s">
        <v>23</v>
      </c>
      <c r="K25">
        <v>515</v>
      </c>
      <c r="L25" s="4">
        <v>7.9374155999999996</v>
      </c>
      <c r="M25" s="4">
        <v>71.257168561263001</v>
      </c>
      <c r="N25" s="4">
        <v>-0.51773374300368213</v>
      </c>
      <c r="O25" s="1" t="str">
        <f>HYPERLINK(".\sm_car_250407_2318\sm_car_250407_2318_024_Ca064TrN_MaLSS_ode23t.png","figure")</f>
        <v>figure</v>
      </c>
      <c r="P25" t="s">
        <v>15</v>
      </c>
      <c r="T25">
        <f>K25-'2022a_250206_1736'!K25</f>
        <v>-12</v>
      </c>
      <c r="U25" s="5">
        <f>T25/'2022a_250206_1736'!K25</f>
        <v>-2.2770398481973434E-2</v>
      </c>
      <c r="V25" s="4">
        <f>L25-'2022a_250206_1736'!L25</f>
        <v>-1.0918343999999998</v>
      </c>
      <c r="W25" s="5">
        <f>V25/'2022a_250206_1736'!L25</f>
        <v>-0.12092193703795995</v>
      </c>
    </row>
    <row r="26" spans="1:23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23</v>
      </c>
      <c r="K26">
        <v>409</v>
      </c>
      <c r="L26" s="4">
        <v>8.5497917000000001</v>
      </c>
      <c r="M26" s="4">
        <v>230.9221422762601</v>
      </c>
      <c r="N26" s="4">
        <v>-1.8904178456361612E-2</v>
      </c>
      <c r="O26" s="1" t="str">
        <f>HYPERLINK(".\sm_car_250407_2318\sm_car_250407_2318_025_Ca080TrN_MaWOT_ode23t.png","figure")</f>
        <v>figure</v>
      </c>
      <c r="P26" t="s">
        <v>15</v>
      </c>
      <c r="T26">
        <f>K26-'2022a_250206_1736'!K26</f>
        <v>4</v>
      </c>
      <c r="U26" s="5">
        <f>T26/'2022a_250206_1736'!K26</f>
        <v>9.876543209876543E-3</v>
      </c>
      <c r="V26" s="4">
        <f>L26-'2022a_250206_1736'!L26</f>
        <v>-1.2620150999999993</v>
      </c>
      <c r="W26" s="5">
        <f>V26/'2022a_250206_1736'!L26</f>
        <v>-0.12862209027597235</v>
      </c>
    </row>
    <row r="27" spans="1:23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20</v>
      </c>
      <c r="H27" t="s">
        <v>21</v>
      </c>
      <c r="I27" t="s">
        <v>24</v>
      </c>
      <c r="J27" t="s">
        <v>23</v>
      </c>
      <c r="K27">
        <v>511</v>
      </c>
      <c r="L27" s="4">
        <v>8.1875876999999999</v>
      </c>
      <c r="M27" s="4">
        <v>71.24162695167638</v>
      </c>
      <c r="N27" s="4">
        <v>-0.52753129859912873</v>
      </c>
      <c r="O27" s="1" t="str">
        <f>HYPERLINK(".\sm_car_250407_2318\sm_car_250407_2318_026_Ca080TrN_MaLSS_ode23t.png","figure")</f>
        <v>figure</v>
      </c>
      <c r="P27" t="s">
        <v>15</v>
      </c>
      <c r="T27">
        <f>K27-'2022a_250206_1736'!K27</f>
        <v>-7</v>
      </c>
      <c r="U27" s="5">
        <f>T27/'2022a_250206_1736'!K27</f>
        <v>-1.3513513513513514E-2</v>
      </c>
      <c r="V27" s="4">
        <f>L27-'2022a_250206_1736'!L27</f>
        <v>-0.80010940000000019</v>
      </c>
      <c r="W27" s="5">
        <f>V27/'2022a_250206_1736'!L27</f>
        <v>-8.9022737537516716E-2</v>
      </c>
    </row>
    <row r="28" spans="1:23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23</v>
      </c>
      <c r="K28">
        <v>408</v>
      </c>
      <c r="L28" s="4">
        <v>6.1851630999999996</v>
      </c>
      <c r="M28" s="4">
        <v>233.14094901124781</v>
      </c>
      <c r="N28" s="4">
        <v>2.2170175894673228E-2</v>
      </c>
      <c r="O28" s="1" t="str">
        <f>HYPERLINK(".\sm_car_250407_2318\sm_car_250407_2318_027_Ca096TrN_MaWOT_ode23t.png","figure")</f>
        <v>figure</v>
      </c>
      <c r="P28" t="s">
        <v>15</v>
      </c>
      <c r="T28">
        <f>K28-'2022a_250206_1736'!K28</f>
        <v>-7</v>
      </c>
      <c r="U28" s="5">
        <f>T28/'2022a_250206_1736'!K28</f>
        <v>-1.6867469879518072E-2</v>
      </c>
      <c r="V28" s="4">
        <f>L28-'2022a_250206_1736'!L28</f>
        <v>-0.56539790000000067</v>
      </c>
      <c r="W28" s="5">
        <f>V28/'2022a_250206_1736'!L28</f>
        <v>-8.3755690823325749E-2</v>
      </c>
    </row>
    <row r="29" spans="1:23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20</v>
      </c>
      <c r="H29" t="s">
        <v>21</v>
      </c>
      <c r="I29" t="s">
        <v>24</v>
      </c>
      <c r="J29" t="s">
        <v>23</v>
      </c>
      <c r="K29">
        <v>508</v>
      </c>
      <c r="L29" s="4">
        <v>6.7321201000000004</v>
      </c>
      <c r="M29" s="4">
        <v>71.764371320611247</v>
      </c>
      <c r="N29" s="4">
        <v>-0.52600636362762243</v>
      </c>
      <c r="O29" s="1" t="str">
        <f>HYPERLINK(".\sm_car_250407_2318\sm_car_250407_2318_028_Ca096TrN_MaLSS_ode23t.png","figure")</f>
        <v>figure</v>
      </c>
      <c r="P29" t="s">
        <v>15</v>
      </c>
      <c r="T29">
        <f>K29-'2022a_250206_1736'!K29</f>
        <v>-11</v>
      </c>
      <c r="U29" s="5">
        <f>T29/'2022a_250206_1736'!K29</f>
        <v>-2.119460500963391E-2</v>
      </c>
      <c r="V29" s="4">
        <f>L29-'2022a_250206_1736'!L29</f>
        <v>0.12196860000000065</v>
      </c>
      <c r="W29" s="5">
        <f>V29/'2022a_250206_1736'!L29</f>
        <v>1.8451710221770355E-2</v>
      </c>
    </row>
    <row r="30" spans="1:23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 t="s">
        <v>23</v>
      </c>
      <c r="K30">
        <v>371</v>
      </c>
      <c r="L30" s="4">
        <v>2.2592867999999999</v>
      </c>
      <c r="M30" s="4">
        <v>242.67152292699501</v>
      </c>
      <c r="N30" s="4">
        <v>0.2345591293344764</v>
      </c>
      <c r="O30" s="1" t="str">
        <f>HYPERLINK(".\sm_car_250407_2318\sm_car_250407_2318_029_Ca112TrN_MaWOT_ode23t.png","figure")</f>
        <v>figure</v>
      </c>
      <c r="P30" t="s">
        <v>15</v>
      </c>
      <c r="T30">
        <f>K30-'2022a_250206_1736'!K30</f>
        <v>0</v>
      </c>
      <c r="U30" s="5">
        <f>T30/'2022a_250206_1736'!K30</f>
        <v>0</v>
      </c>
      <c r="V30" s="4">
        <f>L30-'2022a_250206_1736'!L30</f>
        <v>-0.23314790000000007</v>
      </c>
      <c r="W30" s="5">
        <f>V30/'2022a_250206_1736'!L30</f>
        <v>-9.354223001308723E-2</v>
      </c>
    </row>
    <row r="31" spans="1:23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20</v>
      </c>
      <c r="H31" t="s">
        <v>21</v>
      </c>
      <c r="I31" t="s">
        <v>24</v>
      </c>
      <c r="J31" t="s">
        <v>23</v>
      </c>
      <c r="K31">
        <v>480</v>
      </c>
      <c r="L31" s="4">
        <v>2.4936378000000001</v>
      </c>
      <c r="M31" s="4">
        <v>74.659633852677175</v>
      </c>
      <c r="N31" s="4">
        <v>-0.33798931083008427</v>
      </c>
      <c r="O31" s="1" t="str">
        <f>HYPERLINK(".\sm_car_250407_2318\sm_car_250407_2318_030_Ca112TrN_MaLSS_ode23t.png","figure")</f>
        <v>figure</v>
      </c>
      <c r="P31" t="s">
        <v>15</v>
      </c>
      <c r="T31">
        <f>K31-'2022a_250206_1736'!K31</f>
        <v>0</v>
      </c>
      <c r="U31" s="5">
        <f>T31/'2022a_250206_1736'!K31</f>
        <v>0</v>
      </c>
      <c r="V31" s="4">
        <f>L31-'2022a_250206_1736'!L31</f>
        <v>-0.28431139999999999</v>
      </c>
      <c r="W31" s="5">
        <f>V31/'2022a_250206_1736'!L31</f>
        <v>-0.10234578803672867</v>
      </c>
    </row>
    <row r="32" spans="1:23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25</v>
      </c>
      <c r="H32" t="s">
        <v>21</v>
      </c>
      <c r="I32" t="s">
        <v>22</v>
      </c>
      <c r="J32" t="s">
        <v>23</v>
      </c>
      <c r="K32">
        <v>366</v>
      </c>
      <c r="L32" s="4">
        <v>2.6932016000000001</v>
      </c>
      <c r="M32" s="4">
        <v>241.49880149911601</v>
      </c>
      <c r="N32" s="4">
        <v>0.22933555890724622</v>
      </c>
      <c r="O32" s="1" t="str">
        <f>HYPERLINK(".\sm_car_250407_2318\sm_car_250407_2318_031_Ca113TrN_MaWOT_ode23t.png","figure")</f>
        <v>figure</v>
      </c>
      <c r="P32" t="s">
        <v>15</v>
      </c>
      <c r="T32">
        <f>K32-'2022a_250206_1736'!K32</f>
        <v>0</v>
      </c>
      <c r="U32" s="5">
        <f>T32/'2022a_250206_1736'!K32</f>
        <v>0</v>
      </c>
      <c r="V32" s="4">
        <f>L32-'2022a_250206_1736'!L32</f>
        <v>-0.22980229999999979</v>
      </c>
      <c r="W32" s="5">
        <f>V32/'2022a_250206_1736'!L32</f>
        <v>-7.8618540331061415E-2</v>
      </c>
    </row>
    <row r="33" spans="1:23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25</v>
      </c>
      <c r="H33" t="s">
        <v>21</v>
      </c>
      <c r="I33" t="s">
        <v>24</v>
      </c>
      <c r="J33" t="s">
        <v>23</v>
      </c>
      <c r="K33">
        <v>487</v>
      </c>
      <c r="L33" s="4">
        <v>3.1711090999999998</v>
      </c>
      <c r="M33" s="4">
        <v>74.346228062681817</v>
      </c>
      <c r="N33" s="4">
        <v>-0.33396938399784559</v>
      </c>
      <c r="O33" s="1" t="str">
        <f>HYPERLINK(".\sm_car_250407_2318\sm_car_250407_2318_032_Ca113TrN_MaLSS_ode23t.png","figure")</f>
        <v>figure</v>
      </c>
      <c r="P33" t="s">
        <v>15</v>
      </c>
      <c r="T33">
        <f>K33-'2022a_250206_1736'!K33</f>
        <v>0</v>
      </c>
      <c r="U33" s="5">
        <f>T33/'2022a_250206_1736'!K33</f>
        <v>0</v>
      </c>
      <c r="V33" s="4">
        <f>L33-'2022a_250206_1736'!L33</f>
        <v>-0.12854920000000014</v>
      </c>
      <c r="W33" s="5">
        <f>V33/'2022a_250206_1736'!L33</f>
        <v>-3.8958336989014936E-2</v>
      </c>
    </row>
    <row r="34" spans="1:23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26</v>
      </c>
      <c r="H34" t="s">
        <v>21</v>
      </c>
      <c r="I34" t="s">
        <v>22</v>
      </c>
      <c r="J34" t="s">
        <v>23</v>
      </c>
      <c r="K34">
        <v>382</v>
      </c>
      <c r="L34" s="4">
        <v>2.907095</v>
      </c>
      <c r="M34" s="4">
        <v>241.61378277209207</v>
      </c>
      <c r="N34" s="4">
        <v>0.23021245244501903</v>
      </c>
      <c r="O34" s="1" t="str">
        <f>HYPERLINK(".\sm_car_250407_2318\sm_car_250407_2318_033_Ca114TrN_MaWOT_ode23t.png","figure")</f>
        <v>figure</v>
      </c>
      <c r="P34" t="s">
        <v>15</v>
      </c>
      <c r="T34">
        <f>K34-'2022a_250206_1736'!K34</f>
        <v>0</v>
      </c>
      <c r="U34" s="5">
        <f>T34/'2022a_250206_1736'!K34</f>
        <v>0</v>
      </c>
      <c r="V34" s="4">
        <f>L34-'2022a_250206_1736'!L34</f>
        <v>-0.23962040000000018</v>
      </c>
      <c r="W34" s="5">
        <f>V34/'2022a_250206_1736'!L34</f>
        <v>-7.6149371500199917E-2</v>
      </c>
    </row>
    <row r="35" spans="1:23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26</v>
      </c>
      <c r="H35" t="s">
        <v>21</v>
      </c>
      <c r="I35" t="s">
        <v>24</v>
      </c>
      <c r="J35" t="s">
        <v>23</v>
      </c>
      <c r="K35">
        <v>482</v>
      </c>
      <c r="L35" s="4">
        <v>3.1309646999999998</v>
      </c>
      <c r="M35" s="4">
        <v>74.351409358906011</v>
      </c>
      <c r="N35" s="4">
        <v>-0.33420060419010328</v>
      </c>
      <c r="O35" s="1" t="str">
        <f>HYPERLINK(".\sm_car_250407_2318\sm_car_250407_2318_034_Ca114TrN_MaLSS_ode23t.png","figure")</f>
        <v>figure</v>
      </c>
      <c r="P35" t="s">
        <v>15</v>
      </c>
      <c r="T35">
        <f>K35-'2022a_250206_1736'!K35</f>
        <v>0</v>
      </c>
      <c r="U35" s="5">
        <f>T35/'2022a_250206_1736'!K35</f>
        <v>0</v>
      </c>
      <c r="V35" s="4">
        <f>L35-'2022a_250206_1736'!L35</f>
        <v>-9.4618500000000161E-2</v>
      </c>
      <c r="W35" s="5">
        <f>V35/'2022a_250206_1736'!L35</f>
        <v>-2.933376513121725E-2</v>
      </c>
    </row>
    <row r="36" spans="1:23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27</v>
      </c>
      <c r="H36" t="s">
        <v>21</v>
      </c>
      <c r="I36" t="s">
        <v>22</v>
      </c>
      <c r="J36" t="s">
        <v>23</v>
      </c>
      <c r="K36">
        <v>394</v>
      </c>
      <c r="L36" s="4">
        <v>2.9837028000000001</v>
      </c>
      <c r="M36" s="4">
        <v>241.17294486789336</v>
      </c>
      <c r="N36" s="4">
        <v>0.22843004969485575</v>
      </c>
      <c r="O36" s="1" t="str">
        <f>HYPERLINK(".\sm_car_250407_2318\sm_car_250407_2318_035_Ca115TrN_MaWOT_ode23t.png","figure")</f>
        <v>figure</v>
      </c>
      <c r="P36" t="s">
        <v>15</v>
      </c>
      <c r="T36">
        <f>K36-'2022a_250206_1736'!K36</f>
        <v>0</v>
      </c>
      <c r="U36" s="5">
        <f>T36/'2022a_250206_1736'!K36</f>
        <v>0</v>
      </c>
      <c r="V36" s="4">
        <f>L36-'2022a_250206_1736'!L36</f>
        <v>-0.17889489999999997</v>
      </c>
      <c r="W36" s="5">
        <f>V36/'2022a_250206_1736'!L36</f>
        <v>-5.6565809808816328E-2</v>
      </c>
    </row>
    <row r="37" spans="1:23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27</v>
      </c>
      <c r="H37" t="s">
        <v>21</v>
      </c>
      <c r="I37" t="s">
        <v>24</v>
      </c>
      <c r="J37" t="s">
        <v>23</v>
      </c>
      <c r="K37">
        <v>505</v>
      </c>
      <c r="L37" s="4">
        <v>3.1994820000000002</v>
      </c>
      <c r="M37" s="4">
        <v>74.209226032839169</v>
      </c>
      <c r="N37" s="4">
        <v>-0.3316804496625117</v>
      </c>
      <c r="O37" s="1" t="str">
        <f>HYPERLINK(".\sm_car_250407_2318\sm_car_250407_2318_036_Ca115TrN_MaLSS_ode23t.png","figure")</f>
        <v>figure</v>
      </c>
      <c r="P37" t="s">
        <v>15</v>
      </c>
      <c r="T37">
        <f>K37-'2022a_250206_1736'!K37</f>
        <v>0</v>
      </c>
      <c r="U37" s="5">
        <f>T37/'2022a_250206_1736'!K37</f>
        <v>0</v>
      </c>
      <c r="V37" s="4">
        <f>L37-'2022a_250206_1736'!L37</f>
        <v>-0.20237419999999995</v>
      </c>
      <c r="W37" s="5">
        <f>V37/'2022a_250206_1736'!L37</f>
        <v>-5.948934584595314E-2</v>
      </c>
    </row>
    <row r="38" spans="1:23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20</v>
      </c>
      <c r="H38" t="s">
        <v>21</v>
      </c>
      <c r="I38" t="s">
        <v>22</v>
      </c>
      <c r="J38" t="s">
        <v>23</v>
      </c>
      <c r="K38">
        <v>943</v>
      </c>
      <c r="L38" s="4">
        <v>4.2079208000000001</v>
      </c>
      <c r="M38" s="4">
        <v>242.63118630005806</v>
      </c>
      <c r="N38" s="4">
        <v>0.2327919371692862</v>
      </c>
      <c r="O38" s="1" t="str">
        <f>HYPERLINK(".\sm_car_250407_2318\sm_car_250407_2318_037_Ca116TrN_MaWOT_ode23t.png","figure")</f>
        <v>figure</v>
      </c>
      <c r="P38" t="s">
        <v>15</v>
      </c>
      <c r="T38">
        <f>K38-'2022a_250206_1736'!K38</f>
        <v>0</v>
      </c>
      <c r="U38" s="5">
        <f>T38/'2022a_250206_1736'!K38</f>
        <v>0</v>
      </c>
      <c r="V38" s="4">
        <f>L38-'2022a_250206_1736'!L38</f>
        <v>-0.35931990000000003</v>
      </c>
      <c r="W38" s="5">
        <f>V38/'2022a_250206_1736'!L38</f>
        <v>-7.8673300489724582E-2</v>
      </c>
    </row>
    <row r="39" spans="1:23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20</v>
      </c>
      <c r="H39" t="s">
        <v>21</v>
      </c>
      <c r="I39" t="s">
        <v>24</v>
      </c>
      <c r="J39" t="s">
        <v>23</v>
      </c>
      <c r="K39">
        <v>1060</v>
      </c>
      <c r="L39" s="4">
        <v>4.6842098999999999</v>
      </c>
      <c r="M39" s="4">
        <v>74.660234080632137</v>
      </c>
      <c r="N39" s="4">
        <v>-0.34043153147504285</v>
      </c>
      <c r="O39" s="1" t="str">
        <f>HYPERLINK(".\sm_car_250407_2318\sm_car_250407_2318_038_Ca116TrN_MaLSS_ode23t.png","figure")</f>
        <v>figure</v>
      </c>
      <c r="P39" t="s">
        <v>15</v>
      </c>
      <c r="T39">
        <f>K39-'2022a_250206_1736'!K39</f>
        <v>0</v>
      </c>
      <c r="U39" s="5">
        <f>T39/'2022a_250206_1736'!K39</f>
        <v>0</v>
      </c>
      <c r="V39" s="4">
        <f>L39-'2022a_250206_1736'!L39</f>
        <v>-0.36115450000000049</v>
      </c>
      <c r="W39" s="5">
        <f>V39/'2022a_250206_1736'!L39</f>
        <v>-7.1581450093079591E-2</v>
      </c>
    </row>
    <row r="40" spans="1:23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25</v>
      </c>
      <c r="H40" t="s">
        <v>21</v>
      </c>
      <c r="I40" t="s">
        <v>22</v>
      </c>
      <c r="J40" t="s">
        <v>23</v>
      </c>
      <c r="K40">
        <v>951</v>
      </c>
      <c r="L40" s="4">
        <v>4.9274842000000003</v>
      </c>
      <c r="M40" s="4">
        <v>241.56097975248917</v>
      </c>
      <c r="N40" s="4">
        <v>0.22971380339965491</v>
      </c>
      <c r="O40" s="1" t="str">
        <f>HYPERLINK(".\sm_car_250407_2318\sm_car_250407_2318_039_Ca117TrN_MaWOT_ode23t.png","figure")</f>
        <v>figure</v>
      </c>
      <c r="P40" t="s">
        <v>15</v>
      </c>
      <c r="T40">
        <f>K40-'2022a_250206_1736'!K40</f>
        <v>0</v>
      </c>
      <c r="U40" s="5">
        <f>T40/'2022a_250206_1736'!K40</f>
        <v>0</v>
      </c>
      <c r="V40" s="4">
        <f>L40-'2022a_250206_1736'!L40</f>
        <v>-0.26114649999999973</v>
      </c>
      <c r="W40" s="5">
        <f>V40/'2022a_250206_1736'!L40</f>
        <v>-5.0330523619651658E-2</v>
      </c>
    </row>
    <row r="41" spans="1:23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25</v>
      </c>
      <c r="H41" t="s">
        <v>21</v>
      </c>
      <c r="I41" t="s">
        <v>24</v>
      </c>
      <c r="J41" t="s">
        <v>23</v>
      </c>
      <c r="K41">
        <v>1068</v>
      </c>
      <c r="L41" s="4">
        <v>5.6328978000000003</v>
      </c>
      <c r="M41" s="4">
        <v>74.350658147491714</v>
      </c>
      <c r="N41" s="4">
        <v>-0.33660139121906185</v>
      </c>
      <c r="O41" s="1" t="str">
        <f>HYPERLINK(".\sm_car_250407_2318\sm_car_250407_2318_040_Ca117TrN_MaLSS_ode23t.png","figure")</f>
        <v>figure</v>
      </c>
      <c r="P41" t="s">
        <v>15</v>
      </c>
      <c r="T41">
        <f>K41-'2022a_250206_1736'!K41</f>
        <v>0</v>
      </c>
      <c r="U41" s="5">
        <f>T41/'2022a_250206_1736'!K41</f>
        <v>0</v>
      </c>
      <c r="V41" s="4">
        <f>L41-'2022a_250206_1736'!L41</f>
        <v>0.40296310000000002</v>
      </c>
      <c r="W41" s="5">
        <f>V41/'2022a_250206_1736'!L41</f>
        <v>7.7049355893487548E-2</v>
      </c>
    </row>
    <row r="42" spans="1:23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26</v>
      </c>
      <c r="H42" t="s">
        <v>21</v>
      </c>
      <c r="I42" t="s">
        <v>22</v>
      </c>
      <c r="J42" t="s">
        <v>23</v>
      </c>
      <c r="K42">
        <v>941</v>
      </c>
      <c r="L42" s="4">
        <v>4.992089</v>
      </c>
      <c r="M42" s="4">
        <v>241.36830230630156</v>
      </c>
      <c r="N42" s="4">
        <v>0.23049915345602534</v>
      </c>
      <c r="O42" s="1" t="str">
        <f>HYPERLINK(".\sm_car_250407_2318\sm_car_250407_2318_041_Ca118TrN_MaWOT_ode23t.png","figure")</f>
        <v>figure</v>
      </c>
      <c r="P42" t="s">
        <v>15</v>
      </c>
      <c r="T42">
        <f>K42-'2022a_250206_1736'!K42</f>
        <v>0</v>
      </c>
      <c r="U42" s="5">
        <f>T42/'2022a_250206_1736'!K42</f>
        <v>0</v>
      </c>
      <c r="V42" s="4">
        <f>L42-'2022a_250206_1736'!L42</f>
        <v>-0.27370750000000044</v>
      </c>
      <c r="W42" s="5">
        <f>V42/'2022a_250206_1736'!L42</f>
        <v>-5.1978366425668068E-2</v>
      </c>
    </row>
    <row r="43" spans="1:23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26</v>
      </c>
      <c r="H43" t="s">
        <v>21</v>
      </c>
      <c r="I43" t="s">
        <v>24</v>
      </c>
      <c r="J43" t="s">
        <v>23</v>
      </c>
      <c r="K43">
        <v>1055</v>
      </c>
      <c r="L43" s="4">
        <v>6.1797436000000001</v>
      </c>
      <c r="M43" s="4">
        <v>74.35119559538083</v>
      </c>
      <c r="N43" s="4">
        <v>-0.33387549857144455</v>
      </c>
      <c r="O43" s="1" t="str">
        <f>HYPERLINK(".\sm_car_250407_2318\sm_car_250407_2318_042_Ca118TrN_MaLSS_ode23t.png","figure")</f>
        <v>figure</v>
      </c>
      <c r="P43" t="s">
        <v>15</v>
      </c>
      <c r="T43">
        <f>K43-'2022a_250206_1736'!K43</f>
        <v>0</v>
      </c>
      <c r="U43" s="5">
        <f>T43/'2022a_250206_1736'!K43</f>
        <v>0</v>
      </c>
      <c r="V43" s="4">
        <f>L43-'2022a_250206_1736'!L43</f>
        <v>0.2335913000000005</v>
      </c>
      <c r="W43" s="5">
        <f>V43/'2022a_250206_1736'!L43</f>
        <v>3.9284446178750002E-2</v>
      </c>
    </row>
    <row r="44" spans="1:23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27</v>
      </c>
      <c r="H44" t="s">
        <v>21</v>
      </c>
      <c r="I44" t="s">
        <v>22</v>
      </c>
      <c r="J44" t="s">
        <v>23</v>
      </c>
      <c r="K44">
        <v>964</v>
      </c>
      <c r="L44" s="4">
        <v>5.5146895000000002</v>
      </c>
      <c r="M44" s="4">
        <v>241.11272735822928</v>
      </c>
      <c r="N44" s="4">
        <v>0.22980107093966623</v>
      </c>
      <c r="O44" s="1" t="str">
        <f>HYPERLINK(".\sm_car_250407_2318\sm_car_250407_2318_043_Ca119TrN_MaWOT_ode23t.png","figure")</f>
        <v>figure</v>
      </c>
      <c r="P44" t="s">
        <v>15</v>
      </c>
      <c r="T44">
        <f>K44-'2022a_250206_1736'!K44</f>
        <v>0</v>
      </c>
      <c r="U44" s="5">
        <f>T44/'2022a_250206_1736'!K44</f>
        <v>0</v>
      </c>
      <c r="V44" s="4">
        <f>L44-'2022a_250206_1736'!L44</f>
        <v>0.19017149999999994</v>
      </c>
      <c r="W44" s="5">
        <f>V44/'2022a_250206_1736'!L44</f>
        <v>3.5716190648618321E-2</v>
      </c>
    </row>
    <row r="45" spans="1:23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27</v>
      </c>
      <c r="H45" t="s">
        <v>21</v>
      </c>
      <c r="I45" t="s">
        <v>24</v>
      </c>
      <c r="J45" t="s">
        <v>23</v>
      </c>
      <c r="K45">
        <v>1081</v>
      </c>
      <c r="L45" s="4">
        <v>6.0559513000000003</v>
      </c>
      <c r="M45" s="4">
        <v>74.200880604598112</v>
      </c>
      <c r="N45" s="4">
        <v>-0.33242007804874413</v>
      </c>
      <c r="O45" s="1" t="str">
        <f>HYPERLINK(".\sm_car_250407_2318\sm_car_250407_2318_044_Ca119TrN_MaLSS_ode23t.png","figure")</f>
        <v>figure</v>
      </c>
      <c r="P45" t="s">
        <v>15</v>
      </c>
      <c r="T45">
        <f>K45-'2022a_250206_1736'!K45</f>
        <v>0</v>
      </c>
      <c r="U45" s="5">
        <f>T45/'2022a_250206_1736'!K45</f>
        <v>0</v>
      </c>
      <c r="V45" s="4">
        <f>L45-'2022a_250206_1736'!L45</f>
        <v>3.4635500000000263E-2</v>
      </c>
      <c r="W45" s="5">
        <f>V45/'2022a_250206_1736'!L45</f>
        <v>5.7521480603957469E-3</v>
      </c>
    </row>
    <row r="46" spans="1:23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23</v>
      </c>
      <c r="K46">
        <v>315</v>
      </c>
      <c r="L46" s="4">
        <v>5.994351</v>
      </c>
      <c r="M46" s="4">
        <v>99.772003095248778</v>
      </c>
      <c r="N46" s="4">
        <v>-1.62699639392123E-2</v>
      </c>
      <c r="O46" s="1" t="str">
        <f>HYPERLINK(".\sm_car_250407_2318\sm_car_250407_2318_045_Ca128TrN_MaWOT_ode23t.png","figure")</f>
        <v>figure</v>
      </c>
      <c r="P46" t="s">
        <v>15</v>
      </c>
      <c r="T46">
        <f>K46-'2022a_250206_1736'!K46</f>
        <v>-6</v>
      </c>
      <c r="U46" s="5">
        <f>T46/'2022a_250206_1736'!K46</f>
        <v>-1.8691588785046728E-2</v>
      </c>
      <c r="V46" s="4">
        <f>L46-'2022a_250206_1736'!L46</f>
        <v>0.48302650000000025</v>
      </c>
      <c r="W46" s="5">
        <f>V46/'2022a_250206_1736'!L46</f>
        <v>8.7642544001900136E-2</v>
      </c>
    </row>
    <row r="47" spans="1:23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23</v>
      </c>
      <c r="K47">
        <v>437</v>
      </c>
      <c r="L47" s="4">
        <v>7.3367423</v>
      </c>
      <c r="M47" s="4">
        <v>36.954451306250583</v>
      </c>
      <c r="N47" s="4">
        <v>-0.1312904780720284</v>
      </c>
      <c r="O47" s="1" t="str">
        <f>HYPERLINK(".\sm_car_250407_2318\sm_car_250407_2318_046_Ca128TrN_MaLSS_ode23t.png","figure")</f>
        <v>figure</v>
      </c>
      <c r="P47" t="s">
        <v>15</v>
      </c>
      <c r="T47">
        <f>K47-'2022a_250206_1736'!K47</f>
        <v>-1</v>
      </c>
      <c r="U47" s="5">
        <f>T47/'2022a_250206_1736'!K47</f>
        <v>-2.2831050228310501E-3</v>
      </c>
      <c r="V47" s="4">
        <f>L47-'2022a_250206_1736'!L47</f>
        <v>0.38423790000000047</v>
      </c>
      <c r="W47" s="5">
        <f>V47/'2022a_250206_1736'!L47</f>
        <v>5.5266113891276426E-2</v>
      </c>
    </row>
    <row r="48" spans="1:23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23</v>
      </c>
      <c r="K48">
        <v>339</v>
      </c>
      <c r="L48" s="4">
        <v>6.9169896</v>
      </c>
      <c r="M48" s="4">
        <v>229.37584870494919</v>
      </c>
      <c r="N48" s="4">
        <v>5.8576859064520349E-2</v>
      </c>
      <c r="O48" s="1" t="str">
        <f>HYPERLINK(".\sm_car_250407_2318\sm_car_250407_2318_047_Ca129TrN_MaWOT_ode23t.png","figure")</f>
        <v>figure</v>
      </c>
      <c r="P48" t="s">
        <v>15</v>
      </c>
      <c r="T48">
        <f>K48-'2022a_250206_1736'!K48</f>
        <v>-4</v>
      </c>
      <c r="U48" s="5">
        <f>T48/'2022a_250206_1736'!K48</f>
        <v>-1.1661807580174927E-2</v>
      </c>
      <c r="V48" s="4">
        <f>L48-'2022a_250206_1736'!L48</f>
        <v>0.15491779999999977</v>
      </c>
      <c r="W48" s="5">
        <f>V48/'2022a_250206_1736'!L48</f>
        <v>2.2909812936325189E-2</v>
      </c>
    </row>
    <row r="49" spans="1:23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23</v>
      </c>
      <c r="K49">
        <v>462</v>
      </c>
      <c r="L49" s="4">
        <v>8.0811363000000007</v>
      </c>
      <c r="M49" s="4">
        <v>70.700601581982809</v>
      </c>
      <c r="N49" s="4">
        <v>-0.52816209040794171</v>
      </c>
      <c r="O49" s="1" t="str">
        <f>HYPERLINK(".\sm_car_250407_2318\sm_car_250407_2318_048_Ca129TrN_MaLSS_ode23t.png","figure")</f>
        <v>figure</v>
      </c>
      <c r="P49" t="s">
        <v>15</v>
      </c>
      <c r="T49">
        <f>K49-'2022a_250206_1736'!K49</f>
        <v>-26</v>
      </c>
      <c r="U49" s="5">
        <f>T49/'2022a_250206_1736'!K49</f>
        <v>-5.3278688524590161E-2</v>
      </c>
      <c r="V49" s="4">
        <f>L49-'2022a_250206_1736'!L49</f>
        <v>-0.10524189999999933</v>
      </c>
      <c r="W49" s="5">
        <f>V49/'2022a_250206_1736'!L49</f>
        <v>-1.2855733931276146E-2</v>
      </c>
    </row>
    <row r="50" spans="1:23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23</v>
      </c>
      <c r="K50">
        <v>781</v>
      </c>
      <c r="L50" s="4">
        <v>21.929642900000001</v>
      </c>
      <c r="M50" s="4">
        <v>217.21826601174519</v>
      </c>
      <c r="N50" s="4">
        <v>-1.540469185773166</v>
      </c>
      <c r="O50" s="1" t="str">
        <f>HYPERLINK(".\sm_car_250407_2318\sm_car_250407_2318_049_Ca130TrN_MaWOT_ode23t.png","figure")</f>
        <v>figure</v>
      </c>
      <c r="P50" t="s">
        <v>15</v>
      </c>
      <c r="T50">
        <f>K50-'2022a_250206_1736'!K50</f>
        <v>-17</v>
      </c>
      <c r="U50" s="5">
        <f>T50/'2022a_250206_1736'!K50</f>
        <v>-2.1303258145363407E-2</v>
      </c>
      <c r="V50" s="4">
        <f>L50-'2022a_250206_1736'!L50</f>
        <v>-2.0587851999999991</v>
      </c>
      <c r="W50" s="5">
        <f>V50/'2022a_250206_1736'!L50</f>
        <v>-8.5824097828235732E-2</v>
      </c>
    </row>
    <row r="51" spans="1:23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23</v>
      </c>
      <c r="K51">
        <v>777</v>
      </c>
      <c r="L51" s="4">
        <v>21.4123147</v>
      </c>
      <c r="M51" s="4">
        <v>68.778243401165412</v>
      </c>
      <c r="N51" s="4">
        <v>-0.5452078163574543</v>
      </c>
      <c r="O51" s="1" t="str">
        <f>HYPERLINK(".\sm_car_250407_2318\sm_car_250407_2318_050_Ca130TrN_MaLSS_ode23t.png","figure")</f>
        <v>figure</v>
      </c>
      <c r="P51" t="s">
        <v>15</v>
      </c>
      <c r="T51">
        <f>K51-'2022a_250206_1736'!K51</f>
        <v>-15</v>
      </c>
      <c r="U51" s="5">
        <f>T51/'2022a_250206_1736'!K51</f>
        <v>-1.893939393939394E-2</v>
      </c>
      <c r="V51" s="4">
        <f>L51-'2022a_250206_1736'!L51</f>
        <v>-0.42120429999999942</v>
      </c>
      <c r="W51" s="5">
        <f>V51/'2022a_250206_1736'!L51</f>
        <v>-1.9291635947462221E-2</v>
      </c>
    </row>
    <row r="52" spans="1:23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23</v>
      </c>
      <c r="K52">
        <v>356</v>
      </c>
      <c r="L52" s="4">
        <v>4.8217525999999999</v>
      </c>
      <c r="M52" s="4">
        <v>230.34203142423277</v>
      </c>
      <c r="N52" s="4">
        <v>-4.3237586699855807E-2</v>
      </c>
      <c r="O52" s="1" t="str">
        <f>HYPERLINK(".\sm_car_250407_2318\sm_car_250407_2318_051_Ca131TrN_MaWOT_ode23t.png","figure")</f>
        <v>figure</v>
      </c>
      <c r="P52" t="s">
        <v>15</v>
      </c>
      <c r="T52">
        <f>K52-'2022a_250206_1736'!K52</f>
        <v>9</v>
      </c>
      <c r="U52" s="5">
        <f>T52/'2022a_250206_1736'!K52</f>
        <v>2.5936599423631124E-2</v>
      </c>
      <c r="V52" s="4">
        <f>L52-'2022a_250206_1736'!L52</f>
        <v>0.13680019999999971</v>
      </c>
      <c r="W52" s="5">
        <f>V52/'2022a_250206_1736'!L52</f>
        <v>2.9199912468694387E-2</v>
      </c>
    </row>
    <row r="53" spans="1:23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23</v>
      </c>
      <c r="K53">
        <v>494</v>
      </c>
      <c r="L53" s="4">
        <v>5.5136989999999999</v>
      </c>
      <c r="M53" s="4">
        <v>70.974610398815159</v>
      </c>
      <c r="N53" s="4">
        <v>-0.53714337390697575</v>
      </c>
      <c r="O53" s="1" t="str">
        <f>HYPERLINK(".\sm_car_250407_2318\sm_car_250407_2318_052_Ca131TrN_MaLSS_ode23t.png","figure")</f>
        <v>figure</v>
      </c>
      <c r="P53" t="s">
        <v>15</v>
      </c>
      <c r="T53">
        <f>K53-'2022a_250206_1736'!K53</f>
        <v>7</v>
      </c>
      <c r="U53" s="5">
        <f>T53/'2022a_250206_1736'!K53</f>
        <v>1.4373716632443531E-2</v>
      </c>
      <c r="V53" s="4">
        <f>L53-'2022a_250206_1736'!L53</f>
        <v>-0.26184450000000048</v>
      </c>
      <c r="W53" s="5">
        <f>V53/'2022a_250206_1736'!L53</f>
        <v>-4.5336772201611926E-2</v>
      </c>
    </row>
    <row r="54" spans="1:23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23</v>
      </c>
      <c r="K54">
        <v>361</v>
      </c>
      <c r="L54" s="4">
        <v>4.7695588999999998</v>
      </c>
      <c r="M54" s="4">
        <v>230.37221071034253</v>
      </c>
      <c r="N54" s="4">
        <v>-9.7266153297585461E-3</v>
      </c>
      <c r="O54" s="1" t="str">
        <f>HYPERLINK(".\sm_car_250407_2318\sm_car_250407_2318_053_Ca132TrN_MaWOT_ode23t.png","figure")</f>
        <v>figure</v>
      </c>
      <c r="P54" t="s">
        <v>15</v>
      </c>
      <c r="T54">
        <f>K54-'2022a_250206_1736'!K54</f>
        <v>19</v>
      </c>
      <c r="U54" s="5">
        <f>T54/'2022a_250206_1736'!K54</f>
        <v>5.5555555555555552E-2</v>
      </c>
      <c r="V54" s="4">
        <f>L54-'2022a_250206_1736'!L54</f>
        <v>0.10989789999999999</v>
      </c>
      <c r="W54" s="5">
        <f>V54/'2022a_250206_1736'!L54</f>
        <v>2.3584956072984709E-2</v>
      </c>
    </row>
    <row r="55" spans="1:23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23</v>
      </c>
      <c r="K55">
        <v>480</v>
      </c>
      <c r="L55" s="4">
        <v>5.3534334000000001</v>
      </c>
      <c r="M55" s="4">
        <v>70.963575918518345</v>
      </c>
      <c r="N55" s="4">
        <v>-0.53344426652865273</v>
      </c>
      <c r="O55" s="1" t="str">
        <f>HYPERLINK(".\sm_car_250407_2318\sm_car_250407_2318_054_Ca132TrN_MaLSS_ode23t.png","figure")</f>
        <v>figure</v>
      </c>
      <c r="P55" t="s">
        <v>15</v>
      </c>
      <c r="T55">
        <f>K55-'2022a_250206_1736'!K55</f>
        <v>7</v>
      </c>
      <c r="U55" s="5">
        <f>T55/'2022a_250206_1736'!K55</f>
        <v>1.4799154334038054E-2</v>
      </c>
      <c r="V55" s="4">
        <f>L55-'2022a_250206_1736'!L55</f>
        <v>-9.6754599999999691E-2</v>
      </c>
      <c r="W55" s="5">
        <f>V55/'2022a_250206_1736'!L55</f>
        <v>-1.7752525233991873E-2</v>
      </c>
    </row>
    <row r="56" spans="1:23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23</v>
      </c>
      <c r="K56">
        <v>354</v>
      </c>
      <c r="L56" s="4">
        <v>4.9398866000000003</v>
      </c>
      <c r="M56" s="4">
        <v>230.38904686472785</v>
      </c>
      <c r="N56" s="4">
        <v>-1.2103059621822039E-2</v>
      </c>
      <c r="O56" s="1" t="str">
        <f>HYPERLINK(".\sm_car_250407_2318\sm_car_250407_2318_055_Ca133TrN_MaWOT_ode23t.png","figure")</f>
        <v>figure</v>
      </c>
      <c r="P56" t="s">
        <v>15</v>
      </c>
      <c r="T56">
        <f>K56-'2022a_250206_1736'!K56</f>
        <v>8</v>
      </c>
      <c r="U56" s="5">
        <f>T56/'2022a_250206_1736'!K56</f>
        <v>2.3121387283236993E-2</v>
      </c>
      <c r="V56" s="4">
        <f>L56-'2022a_250206_1736'!L56</f>
        <v>0.62265879999999996</v>
      </c>
      <c r="W56" s="5">
        <f>V56/'2022a_250206_1736'!L56</f>
        <v>0.14422653351764295</v>
      </c>
    </row>
    <row r="57" spans="1:23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23</v>
      </c>
      <c r="K57">
        <v>509</v>
      </c>
      <c r="L57" s="4">
        <v>5.8570047000000001</v>
      </c>
      <c r="M57" s="4">
        <v>70.972244726385924</v>
      </c>
      <c r="N57" s="4">
        <v>-0.53397566242966998</v>
      </c>
      <c r="O57" s="1" t="str">
        <f>HYPERLINK(".\sm_car_250407_2318\sm_car_250407_2318_056_Ca133TrN_MaLSS_ode23t.png","figure")</f>
        <v>figure</v>
      </c>
      <c r="P57" t="s">
        <v>15</v>
      </c>
      <c r="T57">
        <f>K57-'2022a_250206_1736'!K57</f>
        <v>20</v>
      </c>
      <c r="U57" s="5">
        <f>T57/'2022a_250206_1736'!K57</f>
        <v>4.0899795501022497E-2</v>
      </c>
      <c r="V57" s="4">
        <f>L57-'2022a_250206_1736'!L57</f>
        <v>0.31179890000000032</v>
      </c>
      <c r="W57" s="5">
        <f>V57/'2022a_250206_1736'!L57</f>
        <v>5.6228553320780326E-2</v>
      </c>
    </row>
    <row r="58" spans="1:23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23</v>
      </c>
      <c r="K58">
        <v>358</v>
      </c>
      <c r="L58" s="4">
        <v>4.8571610999999999</v>
      </c>
      <c r="M58" s="4">
        <v>230.28432711200949</v>
      </c>
      <c r="N58" s="4">
        <v>-9.9104870076965786E-3</v>
      </c>
      <c r="O58" s="1" t="str">
        <f>HYPERLINK(".\sm_car_250407_2318\sm_car_250407_2318_057_Ca134TrN_MaWOT_ode23t.png","figure")</f>
        <v>figure</v>
      </c>
      <c r="P58" t="s">
        <v>15</v>
      </c>
      <c r="T58">
        <f>K58-'2022a_250206_1736'!K58</f>
        <v>6</v>
      </c>
      <c r="U58" s="5">
        <f>T58/'2022a_250206_1736'!K58</f>
        <v>1.7045454545454544E-2</v>
      </c>
      <c r="V58" s="4">
        <f>L58-'2022a_250206_1736'!L58</f>
        <v>0.3406292999999998</v>
      </c>
      <c r="W58" s="5">
        <f>V58/'2022a_250206_1736'!L58</f>
        <v>7.5418333155542E-2</v>
      </c>
    </row>
    <row r="59" spans="1:23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23</v>
      </c>
      <c r="K59">
        <v>506</v>
      </c>
      <c r="L59" s="4">
        <v>5.4844099999999996</v>
      </c>
      <c r="M59" s="4">
        <v>70.979613933185604</v>
      </c>
      <c r="N59" s="4">
        <v>-0.53280097674505056</v>
      </c>
      <c r="O59" s="1" t="str">
        <f>HYPERLINK(".\sm_car_250407_2318\sm_car_250407_2318_058_Ca134TrN_MaLSS_ode23t.png","figure")</f>
        <v>figure</v>
      </c>
      <c r="P59" t="s">
        <v>15</v>
      </c>
      <c r="T59">
        <f>K59-'2022a_250206_1736'!K59</f>
        <v>16</v>
      </c>
      <c r="U59" s="5">
        <f>T59/'2022a_250206_1736'!K59</f>
        <v>3.2653061224489799E-2</v>
      </c>
      <c r="V59" s="4">
        <f>L59-'2022a_250206_1736'!L59</f>
        <v>-7.1912500000000712E-2</v>
      </c>
      <c r="W59" s="5">
        <f>V59/'2022a_250206_1736'!L59</f>
        <v>-1.2942463292942536E-2</v>
      </c>
    </row>
    <row r="60" spans="1:23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23</v>
      </c>
      <c r="K60">
        <v>345</v>
      </c>
      <c r="L60" s="4">
        <v>4.6493967999999999</v>
      </c>
      <c r="M60" s="4">
        <v>230.39864996586817</v>
      </c>
      <c r="N60" s="4">
        <v>-1.0479892461586673E-2</v>
      </c>
      <c r="O60" s="1" t="str">
        <f>HYPERLINK(".\sm_car_250407_2318\sm_car_250407_2318_059_Ca135TrN_MaWOT_ode23t.png","figure")</f>
        <v>figure</v>
      </c>
      <c r="P60" t="s">
        <v>15</v>
      </c>
      <c r="T60">
        <f>K60-'2022a_250206_1736'!K60</f>
        <v>-13</v>
      </c>
      <c r="U60" s="5">
        <f>T60/'2022a_250206_1736'!K60</f>
        <v>-3.6312849162011177E-2</v>
      </c>
      <c r="V60" s="4">
        <f>L60-'2022a_250206_1736'!L60</f>
        <v>-0.36159989999999986</v>
      </c>
      <c r="W60" s="5">
        <f>V60/'2022a_250206_1736'!L60</f>
        <v>-7.2161272826222353E-2</v>
      </c>
    </row>
    <row r="61" spans="1:23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23</v>
      </c>
      <c r="K61">
        <v>485</v>
      </c>
      <c r="L61" s="4">
        <v>5.7135252999999997</v>
      </c>
      <c r="M61" s="4">
        <v>70.979787477691929</v>
      </c>
      <c r="N61" s="4">
        <v>-0.52442297104812785</v>
      </c>
      <c r="O61" s="1" t="str">
        <f>HYPERLINK(".\sm_car_250407_2318\sm_car_250407_2318_060_Ca135TrN_MaLSS_ode23t.png","figure")</f>
        <v>figure</v>
      </c>
      <c r="P61" t="s">
        <v>15</v>
      </c>
      <c r="T61">
        <f>K61-'2022a_250206_1736'!K61</f>
        <v>-12</v>
      </c>
      <c r="U61" s="5">
        <f>T61/'2022a_250206_1736'!K61</f>
        <v>-2.4144869215291749E-2</v>
      </c>
      <c r="V61" s="4">
        <f>L61-'2022a_250206_1736'!L61</f>
        <v>0.41752140000000004</v>
      </c>
      <c r="W61" s="5">
        <f>V61/'2022a_250206_1736'!L61</f>
        <v>7.8837064300500248E-2</v>
      </c>
    </row>
    <row r="62" spans="1:23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23</v>
      </c>
      <c r="K62">
        <v>368</v>
      </c>
      <c r="L62" s="4">
        <v>5.5622198999999997</v>
      </c>
      <c r="M62" s="4">
        <v>230.36694287046382</v>
      </c>
      <c r="N62" s="4">
        <v>5.3631848193240975E-2</v>
      </c>
      <c r="O62" s="1" t="str">
        <f>HYPERLINK(".\sm_car_250407_2318\sm_car_250407_2318_061_Ca136TrN_MaWOT_ode23t.png","figure")</f>
        <v>figure</v>
      </c>
      <c r="P62" t="s">
        <v>15</v>
      </c>
      <c r="T62">
        <f>K62-'2022a_250206_1736'!K62</f>
        <v>-8</v>
      </c>
      <c r="U62" s="5">
        <f>T62/'2022a_250206_1736'!K62</f>
        <v>-2.1276595744680851E-2</v>
      </c>
      <c r="V62" s="4">
        <f>L62-'2022a_250206_1736'!L62</f>
        <v>6.8939199999999978E-2</v>
      </c>
      <c r="W62" s="5">
        <f>V62/'2022a_250206_1736'!L62</f>
        <v>1.254973189336565E-2</v>
      </c>
    </row>
    <row r="63" spans="1:23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23</v>
      </c>
      <c r="K63">
        <v>495</v>
      </c>
      <c r="L63" s="4">
        <v>6.7905468999999998</v>
      </c>
      <c r="M63" s="4">
        <v>70.971469705139171</v>
      </c>
      <c r="N63" s="4">
        <v>-0.53019533065005631</v>
      </c>
      <c r="O63" s="1" t="str">
        <f>HYPERLINK(".\sm_car_250407_2318\sm_car_250407_2318_062_Ca136TrN_MaLSS_ode23t.png","figure")</f>
        <v>figure</v>
      </c>
      <c r="P63" t="s">
        <v>15</v>
      </c>
      <c r="T63">
        <f>K63-'2022a_250206_1736'!K63</f>
        <v>-7</v>
      </c>
      <c r="U63" s="5">
        <f>T63/'2022a_250206_1736'!K63</f>
        <v>-1.3944223107569721E-2</v>
      </c>
      <c r="V63" s="4">
        <f>L63-'2022a_250206_1736'!L63</f>
        <v>0.18266049999999989</v>
      </c>
      <c r="W63" s="5">
        <f>V63/'2022a_250206_1736'!L63</f>
        <v>2.7642802697092354E-2</v>
      </c>
    </row>
    <row r="64" spans="1:23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23</v>
      </c>
      <c r="K64">
        <v>330</v>
      </c>
      <c r="L64" s="4">
        <v>4.0193180999999996</v>
      </c>
      <c r="M64" s="4">
        <v>231.37618502744672</v>
      </c>
      <c r="N64" s="4">
        <v>0.13995991279649961</v>
      </c>
      <c r="O64" s="1" t="str">
        <f>HYPERLINK(".\sm_car_250407_2318\sm_car_250407_2318_063_Ca137TrN_MaWOT_ode23t.png","figure")</f>
        <v>figure</v>
      </c>
      <c r="P64" t="s">
        <v>15</v>
      </c>
      <c r="T64">
        <f>K64-'2022a_250206_1736'!K64</f>
        <v>1</v>
      </c>
      <c r="U64" s="5">
        <f>T64/'2022a_250206_1736'!K64</f>
        <v>3.0395136778115501E-3</v>
      </c>
      <c r="V64" s="4">
        <f>L64-'2022a_250206_1736'!L64</f>
        <v>-7.1381200000000256E-2</v>
      </c>
      <c r="W64" s="5">
        <f>V64/'2022a_250206_1736'!L64</f>
        <v>-1.744963263371626E-2</v>
      </c>
    </row>
    <row r="65" spans="1:23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23</v>
      </c>
      <c r="K65">
        <v>470</v>
      </c>
      <c r="L65" s="4">
        <v>4.5334718000000001</v>
      </c>
      <c r="M65" s="4">
        <v>71.242988050325067</v>
      </c>
      <c r="N65" s="4">
        <v>-0.51191002257608276</v>
      </c>
      <c r="O65" s="1" t="str">
        <f>HYPERLINK(".\sm_car_250407_2318\sm_car_250407_2318_064_Ca137TrN_MaLSS_ode23t.png","figure")</f>
        <v>figure</v>
      </c>
      <c r="P65" t="s">
        <v>15</v>
      </c>
      <c r="T65">
        <f>K65-'2022a_250206_1736'!K65</f>
        <v>-9</v>
      </c>
      <c r="U65" s="5">
        <f>T65/'2022a_250206_1736'!K65</f>
        <v>-1.8789144050104383E-2</v>
      </c>
      <c r="V65" s="4">
        <f>L65-'2022a_250206_1736'!L65</f>
        <v>-0.16637910000000034</v>
      </c>
      <c r="W65" s="5">
        <f>V65/'2022a_250206_1736'!L65</f>
        <v>-3.5400931548700901E-2</v>
      </c>
    </row>
    <row r="66" spans="1:23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23</v>
      </c>
      <c r="K66">
        <v>325</v>
      </c>
      <c r="L66" s="4">
        <v>5.6442594000000001</v>
      </c>
      <c r="M66" s="4">
        <v>231.3463009843779</v>
      </c>
      <c r="N66" s="4">
        <v>0.14575438232711665</v>
      </c>
      <c r="O66" s="1" t="str">
        <f>HYPERLINK(".\sm_car_250407_2318\sm_car_250407_2318_065_Ca138TrN_MaWOT_ode23t.png","figure")</f>
        <v>figure</v>
      </c>
      <c r="P66" t="s">
        <v>15</v>
      </c>
      <c r="T66">
        <f>K66-'2022a_250206_1736'!K66</f>
        <v>-3</v>
      </c>
      <c r="U66" s="5">
        <f>T66/'2022a_250206_1736'!K66</f>
        <v>-9.1463414634146336E-3</v>
      </c>
      <c r="V66" s="4">
        <f>L66-'2022a_250206_1736'!L66</f>
        <v>-0.22325429999999979</v>
      </c>
      <c r="W66" s="5">
        <f>V66/'2022a_250206_1736'!L66</f>
        <v>-3.8049216655429333E-2</v>
      </c>
    </row>
    <row r="67" spans="1:23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23</v>
      </c>
      <c r="K67">
        <v>493</v>
      </c>
      <c r="L67" s="4">
        <v>6.8007935000000002</v>
      </c>
      <c r="M67" s="4">
        <v>71.135576288788812</v>
      </c>
      <c r="N67" s="4">
        <v>-0.82740227219901075</v>
      </c>
      <c r="O67" s="1" t="str">
        <f>HYPERLINK(".\sm_car_250407_2318\sm_car_250407_2318_066_Ca138TrN_MaLSS_ode23t.png","figure")</f>
        <v>figure</v>
      </c>
      <c r="P67" t="s">
        <v>15</v>
      </c>
      <c r="T67">
        <f>K67-'2022a_250206_1736'!K67</f>
        <v>-5</v>
      </c>
      <c r="U67" s="5">
        <f>T67/'2022a_250206_1736'!K67</f>
        <v>-1.0040160642570281E-2</v>
      </c>
      <c r="V67" s="4">
        <f>L67-'2022a_250206_1736'!L67</f>
        <v>0.19350570000000022</v>
      </c>
      <c r="W67" s="5">
        <f>V67/'2022a_250206_1736'!L67</f>
        <v>2.9286706717997091E-2</v>
      </c>
    </row>
    <row r="68" spans="1:23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23</v>
      </c>
      <c r="K68">
        <v>703</v>
      </c>
      <c r="L68" s="4">
        <v>28.108019200000001</v>
      </c>
      <c r="M68" s="4">
        <v>405.2135484066481</v>
      </c>
      <c r="N68" s="4">
        <v>1.8121906231971723</v>
      </c>
      <c r="O68" s="1" t="str">
        <f>HYPERLINK(".\sm_car_250407_2318\sm_car_250407_2318_067_Ca139TrN_MaWOT_ode23t.png","figure")</f>
        <v>figure</v>
      </c>
      <c r="P68" t="s">
        <v>15</v>
      </c>
      <c r="T68">
        <f>K68-'2022a_250206_1736'!K68</f>
        <v>41</v>
      </c>
      <c r="U68" s="5">
        <f>T68/'2022a_250206_1736'!K68</f>
        <v>6.1933534743202415E-2</v>
      </c>
      <c r="V68" s="4">
        <f>L68-'2022a_250206_1736'!L68</f>
        <v>2.7953675000000011</v>
      </c>
      <c r="W68" s="5">
        <f>V68/'2022a_250206_1736'!L68</f>
        <v>0.11043360976677134</v>
      </c>
    </row>
    <row r="69" spans="1:23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23</v>
      </c>
      <c r="K69">
        <v>617</v>
      </c>
      <c r="L69" s="4">
        <v>15.3174226</v>
      </c>
      <c r="M69" s="4">
        <v>154.35855357916148</v>
      </c>
      <c r="N69" s="4">
        <v>-0.58119427322867179</v>
      </c>
      <c r="O69" s="1" t="str">
        <f>HYPERLINK(".\sm_car_250407_2318\sm_car_250407_2318_068_Ca139TrN_MaLSS_ode23t.png","figure")</f>
        <v>figure</v>
      </c>
      <c r="P69" t="s">
        <v>15</v>
      </c>
      <c r="T69">
        <f>K69-'2022a_250206_1736'!K69</f>
        <v>7</v>
      </c>
      <c r="U69" s="5">
        <f>T69/'2022a_250206_1736'!K69</f>
        <v>1.1475409836065573E-2</v>
      </c>
      <c r="V69" s="4">
        <f>L69-'2022a_250206_1736'!L69</f>
        <v>0.74553829999999977</v>
      </c>
      <c r="W69" s="5">
        <f>V69/'2022a_250206_1736'!L69</f>
        <v>5.1162792995824137E-2</v>
      </c>
    </row>
    <row r="70" spans="1:23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23</v>
      </c>
      <c r="K70">
        <v>2040</v>
      </c>
      <c r="L70" s="4">
        <v>39.748280399999999</v>
      </c>
      <c r="M70" s="4">
        <v>405.32719993081503</v>
      </c>
      <c r="N70" s="4">
        <v>1.6302579297741482</v>
      </c>
      <c r="O70" s="1" t="str">
        <f>HYPERLINK(".\sm_car_250407_2318\sm_car_250407_2318_069_Ca141TrN_MaWOT_ode23t.png","figure")</f>
        <v>figure</v>
      </c>
      <c r="P70" t="s">
        <v>15</v>
      </c>
      <c r="T70">
        <f>K70-'2022a_250206_1736'!K70</f>
        <v>95</v>
      </c>
      <c r="U70" s="5">
        <f>T70/'2022a_250206_1736'!K70</f>
        <v>4.8843187660668377E-2</v>
      </c>
      <c r="V70" s="4">
        <f>L70-'2022a_250206_1736'!L70</f>
        <v>3.4736374999999953</v>
      </c>
      <c r="W70" s="5">
        <f>V70/'2022a_250206_1736'!L70</f>
        <v>9.5759385132361832E-2</v>
      </c>
    </row>
    <row r="71" spans="1:23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23</v>
      </c>
      <c r="K71">
        <v>1875</v>
      </c>
      <c r="L71" s="4">
        <v>26.853248000000001</v>
      </c>
      <c r="M71" s="4">
        <v>154.41615420896352</v>
      </c>
      <c r="N71" s="4">
        <v>-0.58218304701915191</v>
      </c>
      <c r="O71" s="1" t="str">
        <f>HYPERLINK(".\sm_car_250407_2318\sm_car_250407_2318_070_Ca141TrN_MaLSS_ode23t.png","figure")</f>
        <v>figure</v>
      </c>
      <c r="P71" t="s">
        <v>15</v>
      </c>
      <c r="T71">
        <f>K71-'2022a_250206_1736'!K71</f>
        <v>72</v>
      </c>
      <c r="U71" s="5">
        <f>T71/'2022a_250206_1736'!K71</f>
        <v>3.9933444259567387E-2</v>
      </c>
      <c r="V71" s="4">
        <f>L71-'2022a_250206_1736'!L71</f>
        <v>3.5883658999999994</v>
      </c>
      <c r="W71" s="5">
        <f>V71/'2022a_250206_1736'!L71</f>
        <v>0.15423959101000556</v>
      </c>
    </row>
    <row r="72" spans="1:23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23</v>
      </c>
      <c r="K72">
        <v>364</v>
      </c>
      <c r="L72" s="4">
        <v>20.1251897</v>
      </c>
      <c r="M72" s="4">
        <v>95.847578065191499</v>
      </c>
      <c r="N72" s="4">
        <v>-3.2261634555169859E-2</v>
      </c>
      <c r="O72" s="1" t="str">
        <f>HYPERLINK(".\sm_car_250407_2318\sm_car_250407_2318_071_Ca143TrN_MaWOT_ode23t.png","figure")</f>
        <v>figure</v>
      </c>
      <c r="P72" t="s">
        <v>15</v>
      </c>
      <c r="T72">
        <f>K72-'2022a_250206_1736'!K72</f>
        <v>1</v>
      </c>
      <c r="U72" s="5">
        <f>T72/'2022a_250206_1736'!K72</f>
        <v>2.7548209366391185E-3</v>
      </c>
      <c r="V72" s="4">
        <f>L72-'2022a_250206_1736'!L72</f>
        <v>-1.9671988999999996</v>
      </c>
      <c r="W72" s="5">
        <f>V72/'2022a_250206_1736'!L72</f>
        <v>-8.9044192351387469E-2</v>
      </c>
    </row>
    <row r="73" spans="1:23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23</v>
      </c>
      <c r="K73">
        <v>464</v>
      </c>
      <c r="L73" s="4">
        <v>21.115455099999998</v>
      </c>
      <c r="M73" s="4">
        <v>25.014889565008957</v>
      </c>
      <c r="N73" s="4">
        <v>-5.2881968403442531E-2</v>
      </c>
      <c r="O73" s="1" t="str">
        <f>HYPERLINK(".\sm_car_250407_2318\sm_car_250407_2318_072_Ca143TrN_MaLSS_ode23t.png","figure")</f>
        <v>figure</v>
      </c>
      <c r="P73" t="s">
        <v>15</v>
      </c>
      <c r="T73">
        <f>K73-'2022a_250206_1736'!K73</f>
        <v>-11</v>
      </c>
      <c r="U73" s="5">
        <f>T73/'2022a_250206_1736'!K73</f>
        <v>-2.3157894736842106E-2</v>
      </c>
      <c r="V73" s="4">
        <f>L73-'2022a_250206_1736'!L73</f>
        <v>-3.5786844000000002</v>
      </c>
      <c r="W73" s="5">
        <f>V73/'2022a_250206_1736'!L73</f>
        <v>-0.14492039295396386</v>
      </c>
    </row>
    <row r="74" spans="1:23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23</v>
      </c>
      <c r="K74">
        <v>334</v>
      </c>
      <c r="L74" s="4">
        <v>16.142004</v>
      </c>
      <c r="M74" s="4">
        <v>114.03529943408353</v>
      </c>
      <c r="N74" s="4">
        <v>0.53162844501632833</v>
      </c>
      <c r="O74" s="1" t="str">
        <f>HYPERLINK(".\sm_car_250407_2318\sm_car_250407_2318_073_Ca144TrN_MaWOT_ode23t.png","figure")</f>
        <v>figure</v>
      </c>
      <c r="P74" t="s">
        <v>15</v>
      </c>
      <c r="T74">
        <f>K74-'2022a_250206_1736'!K74</f>
        <v>-28</v>
      </c>
      <c r="U74" s="5">
        <f>T74/'2022a_250206_1736'!K74</f>
        <v>-7.7348066298342538E-2</v>
      </c>
      <c r="V74" s="4">
        <f>L74-'2022a_250206_1736'!L74</f>
        <v>0.20349210000000006</v>
      </c>
      <c r="W74" s="5">
        <f>V74/'2022a_250206_1736'!L74</f>
        <v>1.2767321144955827E-2</v>
      </c>
    </row>
    <row r="75" spans="1:23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23</v>
      </c>
      <c r="K75">
        <v>459</v>
      </c>
      <c r="L75" s="4">
        <v>14.689617399999999</v>
      </c>
      <c r="M75" s="4">
        <v>35.601727583053574</v>
      </c>
      <c r="N75" s="4">
        <v>-3.2699139240046644E-2</v>
      </c>
      <c r="O75" s="1" t="str">
        <f>HYPERLINK(".\sm_car_250407_2318\sm_car_250407_2318_074_Ca144TrN_MaLSS_ode23t.png","figure")</f>
        <v>figure</v>
      </c>
      <c r="P75" t="s">
        <v>15</v>
      </c>
      <c r="T75">
        <f>K75-'2022a_250206_1736'!K75</f>
        <v>-26</v>
      </c>
      <c r="U75" s="5">
        <f>T75/'2022a_250206_1736'!K75</f>
        <v>-5.3608247422680409E-2</v>
      </c>
      <c r="V75" s="4">
        <f>L75-'2022a_250206_1736'!L75</f>
        <v>-2.6236205000000012</v>
      </c>
      <c r="W75" s="5">
        <f>V75/'2022a_250206_1736'!L75</f>
        <v>-0.15153840749799904</v>
      </c>
    </row>
    <row r="76" spans="1:23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23</v>
      </c>
      <c r="K76">
        <v>2324</v>
      </c>
      <c r="L76" s="4">
        <v>32.836723599999999</v>
      </c>
      <c r="M76" s="4">
        <v>399.71397983774403</v>
      </c>
      <c r="N76" s="4">
        <v>-15.916424280063882</v>
      </c>
      <c r="O76" s="1" t="str">
        <f>HYPERLINK(".\sm_car_250407_2318\sm_car_250407_2318_075_Ca147TrN_MaWOT_ode23t.png","figure")</f>
        <v>figure</v>
      </c>
      <c r="P76" t="s">
        <v>15</v>
      </c>
      <c r="T76">
        <f>K76-'2022a_250206_1736'!K76</f>
        <v>-317</v>
      </c>
      <c r="U76" s="5">
        <f>T76/'2022a_250206_1736'!K76</f>
        <v>-0.1200302915562287</v>
      </c>
      <c r="V76" s="4">
        <f>L76-'2022a_250206_1736'!L76</f>
        <v>4.6434484999999981</v>
      </c>
      <c r="W76" s="5">
        <f>V76/'2022a_250206_1736'!L76</f>
        <v>0.16470057074000594</v>
      </c>
    </row>
    <row r="77" spans="1:23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23</v>
      </c>
      <c r="K77">
        <v>1320</v>
      </c>
      <c r="L77" s="4">
        <v>18.076197799999999</v>
      </c>
      <c r="M77" s="4">
        <v>151.92534247032057</v>
      </c>
      <c r="N77" s="4">
        <v>-2.417628167242357</v>
      </c>
      <c r="O77" s="1" t="str">
        <f>HYPERLINK(".\sm_car_250407_2318\sm_car_250407_2318_076_Ca147TrN_MaLSS_ode23t.png","figure")</f>
        <v>figure</v>
      </c>
      <c r="P77" t="s">
        <v>15</v>
      </c>
      <c r="T77">
        <f>K77-'2022a_250206_1736'!K77</f>
        <v>-2</v>
      </c>
      <c r="U77" s="5">
        <f>T77/'2022a_250206_1736'!K77</f>
        <v>-1.5128593040847202E-3</v>
      </c>
      <c r="V77" s="4">
        <f>L77-'2022a_250206_1736'!L77</f>
        <v>0.91461059999999961</v>
      </c>
      <c r="W77" s="5">
        <f>V77/'2022a_250206_1736'!L77</f>
        <v>5.3294056624319672E-2</v>
      </c>
    </row>
    <row r="78" spans="1:23" x14ac:dyDescent="0.25">
      <c r="A78">
        <v>77</v>
      </c>
      <c r="B78">
        <v>183</v>
      </c>
      <c r="C78" t="s">
        <v>105</v>
      </c>
      <c r="D78" t="s">
        <v>120</v>
      </c>
      <c r="E78" t="s">
        <v>18</v>
      </c>
      <c r="F78" t="s">
        <v>19</v>
      </c>
      <c r="G78" t="s">
        <v>20</v>
      </c>
      <c r="H78" t="s">
        <v>21</v>
      </c>
      <c r="I78" t="s">
        <v>22</v>
      </c>
      <c r="J78" t="s">
        <v>23</v>
      </c>
      <c r="K78">
        <v>796</v>
      </c>
      <c r="L78" s="4">
        <v>16.480654600000001</v>
      </c>
      <c r="M78" s="4">
        <v>193.60048777448711</v>
      </c>
      <c r="N78" s="4">
        <v>0.2461452224949692</v>
      </c>
      <c r="O78" s="9" t="str">
        <f>HYPERLINK(".\sm_car_250407_2318\sm_car_250407_2318_077_Ca183TrN_MaWOT_ode23t.png","figure")</f>
        <v>figure</v>
      </c>
      <c r="P78" t="s">
        <v>15</v>
      </c>
      <c r="T78">
        <f>K78-'2022a_250206_1736'!K78</f>
        <v>-318</v>
      </c>
      <c r="U78" s="5">
        <f>T78/'2022a_250206_1736'!K78</f>
        <v>-0.28545780969479356</v>
      </c>
      <c r="V78" s="4">
        <f>L78-'2022a_250206_1736'!L78</f>
        <v>-14.0844162</v>
      </c>
      <c r="W78" s="5">
        <f>V78/'2022a_250206_1736'!L78</f>
        <v>-0.46080103305371695</v>
      </c>
    </row>
    <row r="79" spans="1:23" x14ac:dyDescent="0.25">
      <c r="A79">
        <v>78</v>
      </c>
      <c r="B79">
        <v>183</v>
      </c>
      <c r="C79" t="s">
        <v>105</v>
      </c>
      <c r="D79" t="s">
        <v>120</v>
      </c>
      <c r="E79" t="s">
        <v>18</v>
      </c>
      <c r="F79" t="s">
        <v>19</v>
      </c>
      <c r="G79" t="s">
        <v>20</v>
      </c>
      <c r="H79" t="s">
        <v>21</v>
      </c>
      <c r="I79" t="s">
        <v>24</v>
      </c>
      <c r="J79" t="s">
        <v>23</v>
      </c>
      <c r="K79">
        <v>996</v>
      </c>
      <c r="L79" s="4">
        <v>20.250156199999999</v>
      </c>
      <c r="M79" s="4">
        <v>61.06998056388106</v>
      </c>
      <c r="N79" s="4">
        <v>0.13124439434293689</v>
      </c>
      <c r="O79" s="9" t="str">
        <f>HYPERLINK(".\sm_car_250407_2318\sm_car_250407_2318_078_Ca183TrN_MaLSS_ode23t.png","figure")</f>
        <v>figure</v>
      </c>
      <c r="P79" t="s">
        <v>15</v>
      </c>
      <c r="T79">
        <f>K79-'2022a_250206_1736'!K79</f>
        <v>-372</v>
      </c>
      <c r="U79" s="5">
        <f>T79/'2022a_250206_1736'!K79</f>
        <v>-0.27192982456140352</v>
      </c>
      <c r="V79" s="4">
        <f>L79-'2022a_250206_1736'!L79</f>
        <v>-14.758365900000001</v>
      </c>
      <c r="W79" s="5">
        <f>V79/'2022a_250206_1736'!L79</f>
        <v>-0.42156495089519935</v>
      </c>
    </row>
    <row r="80" spans="1:23" x14ac:dyDescent="0.25">
      <c r="A80">
        <v>79</v>
      </c>
      <c r="B80" s="6">
        <v>218</v>
      </c>
      <c r="C80" s="6" t="s">
        <v>105</v>
      </c>
      <c r="D80" s="6" t="s">
        <v>123</v>
      </c>
      <c r="E80" s="6" t="s">
        <v>107</v>
      </c>
      <c r="F80" s="6" t="s">
        <v>19</v>
      </c>
      <c r="G80" s="6" t="s">
        <v>20</v>
      </c>
      <c r="H80" s="6" t="s">
        <v>21</v>
      </c>
      <c r="I80" s="6" t="s">
        <v>22</v>
      </c>
      <c r="J80" s="6" t="s">
        <v>23</v>
      </c>
      <c r="K80" s="6">
        <v>687</v>
      </c>
      <c r="L80" s="7">
        <v>8.6511578</v>
      </c>
      <c r="M80" s="7">
        <v>293.64034991783393</v>
      </c>
      <c r="N80" s="7">
        <v>-9.1799276327285428E-5</v>
      </c>
      <c r="O80" s="8" t="str">
        <f>HYPERLINK(".\sm_car_250407_2318\sm_car_250407_2318_079_Ca218TrN_MaWOT_ode23t.png","figure")</f>
        <v>figure</v>
      </c>
      <c r="P80" s="6" t="s">
        <v>15</v>
      </c>
      <c r="U80" s="5"/>
      <c r="V80" s="4"/>
      <c r="W80" s="5"/>
    </row>
    <row r="81" spans="1:23" x14ac:dyDescent="0.25">
      <c r="A81">
        <v>80</v>
      </c>
      <c r="B81" s="6">
        <v>218</v>
      </c>
      <c r="C81" s="6" t="s">
        <v>105</v>
      </c>
      <c r="D81" s="6" t="s">
        <v>123</v>
      </c>
      <c r="E81" s="6" t="s">
        <v>107</v>
      </c>
      <c r="F81" s="6" t="s">
        <v>19</v>
      </c>
      <c r="G81" s="6" t="s">
        <v>20</v>
      </c>
      <c r="H81" s="6" t="s">
        <v>21</v>
      </c>
      <c r="I81" s="6" t="s">
        <v>24</v>
      </c>
      <c r="J81" s="6" t="s">
        <v>23</v>
      </c>
      <c r="K81" s="6">
        <v>805</v>
      </c>
      <c r="L81" s="7">
        <v>8.0696668999999996</v>
      </c>
      <c r="M81" s="7">
        <v>103.54540371053098</v>
      </c>
      <c r="N81" s="7">
        <v>-0.16134080601956388</v>
      </c>
      <c r="O81" s="8" t="str">
        <f>HYPERLINK(".\sm_car_250407_2318\sm_car_250407_2318_080_Ca218TrN_MaLSS_ode23t.png","figure")</f>
        <v>figure</v>
      </c>
      <c r="P81" s="6" t="s">
        <v>15</v>
      </c>
      <c r="U81" s="5"/>
      <c r="V81" s="4"/>
      <c r="W81" s="5"/>
    </row>
    <row r="82" spans="1:23" x14ac:dyDescent="0.25">
      <c r="A82">
        <v>81</v>
      </c>
      <c r="B82" s="6">
        <v>219</v>
      </c>
      <c r="C82" s="6" t="s">
        <v>16</v>
      </c>
      <c r="D82" s="6" t="s">
        <v>124</v>
      </c>
      <c r="E82" s="6" t="s">
        <v>107</v>
      </c>
      <c r="F82" s="6" t="s">
        <v>19</v>
      </c>
      <c r="G82" s="6" t="s">
        <v>26</v>
      </c>
      <c r="H82" s="6" t="s">
        <v>21</v>
      </c>
      <c r="I82" s="6" t="s">
        <v>22</v>
      </c>
      <c r="J82" s="6" t="s">
        <v>23</v>
      </c>
      <c r="K82" s="6">
        <v>397</v>
      </c>
      <c r="L82" s="7">
        <v>6.8609182999999998</v>
      </c>
      <c r="M82" s="7">
        <v>229.54428521608875</v>
      </c>
      <c r="N82" s="7">
        <v>0.16875950129251227</v>
      </c>
      <c r="O82" s="8" t="str">
        <f>HYPERLINK(".\sm_car_250407_2318\sm_car_250407_2318_081_Ca219TrN_MaWOT_ode23t.png","figure")</f>
        <v>figure</v>
      </c>
      <c r="P82" s="6" t="s">
        <v>15</v>
      </c>
      <c r="U82" s="5"/>
      <c r="V82" s="4"/>
      <c r="W82" s="5"/>
    </row>
    <row r="83" spans="1:23" x14ac:dyDescent="0.25">
      <c r="A83">
        <v>82</v>
      </c>
      <c r="B83" s="6">
        <v>219</v>
      </c>
      <c r="C83" s="6" t="s">
        <v>16</v>
      </c>
      <c r="D83" s="6" t="s">
        <v>124</v>
      </c>
      <c r="E83" s="6" t="s">
        <v>107</v>
      </c>
      <c r="F83" s="6" t="s">
        <v>19</v>
      </c>
      <c r="G83" s="6" t="s">
        <v>26</v>
      </c>
      <c r="H83" s="6" t="s">
        <v>21</v>
      </c>
      <c r="I83" s="6" t="s">
        <v>24</v>
      </c>
      <c r="J83" s="6" t="s">
        <v>23</v>
      </c>
      <c r="K83" s="6">
        <v>523</v>
      </c>
      <c r="L83" s="7">
        <v>8.1260683</v>
      </c>
      <c r="M83" s="7">
        <v>70.790048511282905</v>
      </c>
      <c r="N83" s="7">
        <v>-0.56064488532209944</v>
      </c>
      <c r="O83" s="8" t="str">
        <f>HYPERLINK(".\sm_car_250407_2318\sm_car_250407_2318_082_Ca219TrN_MaLSS_ode23t.png","figure")</f>
        <v>figure</v>
      </c>
      <c r="P83" s="6" t="s">
        <v>15</v>
      </c>
      <c r="U83" s="5"/>
      <c r="V83" s="4"/>
      <c r="W83" s="5"/>
    </row>
    <row r="84" spans="1:23" x14ac:dyDescent="0.25">
      <c r="A84">
        <v>83</v>
      </c>
      <c r="B84" s="6">
        <v>220</v>
      </c>
      <c r="C84" s="6" t="s">
        <v>16</v>
      </c>
      <c r="D84" s="6" t="s">
        <v>124</v>
      </c>
      <c r="E84" s="6" t="s">
        <v>107</v>
      </c>
      <c r="F84" s="6" t="s">
        <v>119</v>
      </c>
      <c r="G84" s="6" t="s">
        <v>26</v>
      </c>
      <c r="H84" s="6" t="s">
        <v>21</v>
      </c>
      <c r="I84" s="6" t="s">
        <v>22</v>
      </c>
      <c r="J84" s="6" t="s">
        <v>23</v>
      </c>
      <c r="K84" s="6">
        <v>929</v>
      </c>
      <c r="L84" s="7">
        <v>32.232590799999997</v>
      </c>
      <c r="M84" s="7">
        <v>223.97026814327018</v>
      </c>
      <c r="N84" s="7">
        <v>-1.2140991895308939</v>
      </c>
      <c r="O84" s="8" t="str">
        <f>HYPERLINK(".\sm_car_250407_2318\sm_car_250407_2318_083_Ca220TrN_MaWOT_ode23t.png","figure")</f>
        <v>figure</v>
      </c>
      <c r="P84" s="6" t="s">
        <v>15</v>
      </c>
      <c r="U84" s="5"/>
      <c r="V84" s="4"/>
      <c r="W84" s="5"/>
    </row>
    <row r="85" spans="1:23" x14ac:dyDescent="0.25">
      <c r="A85">
        <v>84</v>
      </c>
      <c r="B85" s="6">
        <v>220</v>
      </c>
      <c r="C85" s="6" t="s">
        <v>16</v>
      </c>
      <c r="D85" s="6" t="s">
        <v>124</v>
      </c>
      <c r="E85" s="6" t="s">
        <v>107</v>
      </c>
      <c r="F85" s="6" t="s">
        <v>119</v>
      </c>
      <c r="G85" s="6" t="s">
        <v>26</v>
      </c>
      <c r="H85" s="6" t="s">
        <v>21</v>
      </c>
      <c r="I85" s="6" t="s">
        <v>24</v>
      </c>
      <c r="J85" s="6" t="s">
        <v>23</v>
      </c>
      <c r="K85" s="6">
        <v>1098</v>
      </c>
      <c r="L85" s="7">
        <v>35.844382699999997</v>
      </c>
      <c r="M85" s="7">
        <v>69.478842107961512</v>
      </c>
      <c r="N85" s="7">
        <v>-1.5018982632510673</v>
      </c>
      <c r="O85" s="8" t="str">
        <f>HYPERLINK(".\sm_car_250407_2318\sm_car_250407_2318_084_Ca220TrN_MaLSS_ode23t.png","figure")</f>
        <v>figure</v>
      </c>
      <c r="P85" s="6" t="s">
        <v>15</v>
      </c>
      <c r="U85" s="5"/>
      <c r="V85" s="4"/>
      <c r="W85" s="5"/>
    </row>
    <row r="86" spans="1:23" x14ac:dyDescent="0.25">
      <c r="A86">
        <v>85</v>
      </c>
      <c r="B86">
        <v>8</v>
      </c>
      <c r="C86" t="s">
        <v>16</v>
      </c>
      <c r="D86" t="s">
        <v>17</v>
      </c>
      <c r="E86" t="s">
        <v>49</v>
      </c>
      <c r="F86" t="s">
        <v>19</v>
      </c>
      <c r="G86" t="s">
        <v>20</v>
      </c>
      <c r="H86" t="s">
        <v>21</v>
      </c>
      <c r="I86" t="s">
        <v>22</v>
      </c>
      <c r="J86" t="s">
        <v>23</v>
      </c>
      <c r="K86">
        <v>385</v>
      </c>
      <c r="L86" s="4">
        <v>10.4722483</v>
      </c>
      <c r="M86" s="4">
        <v>231.36014522580828</v>
      </c>
      <c r="N86" s="4">
        <v>-4.6585454407044461E-3</v>
      </c>
      <c r="O86" s="1" t="str">
        <f>HYPERLINK(".\sm_car_250407_2318\sm_car_250407_2318_085_Ca008TrN_MaWOT_ode23t_1.png","figure")</f>
        <v>figure</v>
      </c>
      <c r="P86" t="s">
        <v>15</v>
      </c>
      <c r="T86">
        <f>K86-'2022a_250206_1736'!K80</f>
        <v>10</v>
      </c>
      <c r="U86" s="5">
        <f>T86/'2022a_250206_1736'!K80</f>
        <v>2.6666666666666668E-2</v>
      </c>
      <c r="V86" s="4">
        <f>L86-'2022a_250206_1736'!L80</f>
        <v>0.62691840000000099</v>
      </c>
      <c r="W86" s="5">
        <f>V86/'2022a_250206_1736'!L80</f>
        <v>6.3676728597992532E-2</v>
      </c>
    </row>
    <row r="87" spans="1:23" x14ac:dyDescent="0.25">
      <c r="A87">
        <v>86</v>
      </c>
      <c r="B87">
        <v>8</v>
      </c>
      <c r="C87" t="s">
        <v>16</v>
      </c>
      <c r="D87" t="s">
        <v>17</v>
      </c>
      <c r="E87" t="s">
        <v>49</v>
      </c>
      <c r="F87" t="s">
        <v>19</v>
      </c>
      <c r="G87" t="s">
        <v>20</v>
      </c>
      <c r="H87" t="s">
        <v>21</v>
      </c>
      <c r="I87" t="s">
        <v>24</v>
      </c>
      <c r="J87" t="s">
        <v>23</v>
      </c>
      <c r="K87">
        <v>554</v>
      </c>
      <c r="L87" s="4">
        <v>12.7517981</v>
      </c>
      <c r="M87" s="4">
        <v>71.257630312092289</v>
      </c>
      <c r="N87" s="4">
        <v>-0.53955683577826374</v>
      </c>
      <c r="O87" s="1" t="str">
        <f>HYPERLINK(".\sm_car_250407_2318\sm_car_250407_2318_086_Ca008TrN_MaLSS_ode23t_1.png","figure")</f>
        <v>figure</v>
      </c>
      <c r="P87" t="s">
        <v>15</v>
      </c>
      <c r="T87">
        <f>K87-'2022a_250206_1736'!K81</f>
        <v>7</v>
      </c>
      <c r="U87" s="5">
        <f>T87/'2022a_250206_1736'!K81</f>
        <v>1.2797074954296161E-2</v>
      </c>
      <c r="V87" s="4">
        <f>L87-'2022a_250206_1736'!L81</f>
        <v>0.21933049999999987</v>
      </c>
      <c r="W87" s="5">
        <f>V87/'2022a_250206_1736'!L81</f>
        <v>1.7500982807248579E-2</v>
      </c>
    </row>
    <row r="88" spans="1:23" x14ac:dyDescent="0.25">
      <c r="A88">
        <v>87</v>
      </c>
      <c r="B88">
        <v>9</v>
      </c>
      <c r="C88" t="s">
        <v>16</v>
      </c>
      <c r="D88" t="s">
        <v>17</v>
      </c>
      <c r="E88" t="s">
        <v>49</v>
      </c>
      <c r="F88" t="s">
        <v>19</v>
      </c>
      <c r="G88" t="s">
        <v>25</v>
      </c>
      <c r="H88" t="s">
        <v>21</v>
      </c>
      <c r="I88" t="s">
        <v>22</v>
      </c>
      <c r="J88" t="s">
        <v>23</v>
      </c>
      <c r="K88">
        <v>382</v>
      </c>
      <c r="L88" s="4">
        <v>11.8258954</v>
      </c>
      <c r="M88" s="4">
        <v>230.33868824406113</v>
      </c>
      <c r="N88" s="4">
        <v>-1.2107781374944079E-2</v>
      </c>
      <c r="O88" s="1" t="str">
        <f>HYPERLINK(".\sm_car_250407_2318\sm_car_250407_2318_087_Ca009TrN_MaWOT_ode23t_1.png","figure")</f>
        <v>figure</v>
      </c>
      <c r="P88" t="s">
        <v>15</v>
      </c>
      <c r="T88">
        <f>K88-'2022a_250206_1736'!K82</f>
        <v>-10</v>
      </c>
      <c r="U88" s="5">
        <f>T88/'2022a_250206_1736'!K82</f>
        <v>-2.5510204081632654E-2</v>
      </c>
      <c r="V88" s="4">
        <f>L88-'2022a_250206_1736'!L82</f>
        <v>5.0210000000010524E-3</v>
      </c>
      <c r="W88" s="5">
        <f>V88/'2022a_250206_1736'!L82</f>
        <v>4.2475707211651388E-4</v>
      </c>
    </row>
    <row r="89" spans="1:23" x14ac:dyDescent="0.25">
      <c r="A89">
        <v>88</v>
      </c>
      <c r="B89">
        <v>9</v>
      </c>
      <c r="C89" t="s">
        <v>16</v>
      </c>
      <c r="D89" t="s">
        <v>17</v>
      </c>
      <c r="E89" t="s">
        <v>49</v>
      </c>
      <c r="F89" t="s">
        <v>19</v>
      </c>
      <c r="G89" t="s">
        <v>25</v>
      </c>
      <c r="H89" t="s">
        <v>21</v>
      </c>
      <c r="I89" t="s">
        <v>24</v>
      </c>
      <c r="J89" t="s">
        <v>23</v>
      </c>
      <c r="K89">
        <v>548</v>
      </c>
      <c r="L89" s="4">
        <v>14.6671204</v>
      </c>
      <c r="M89" s="4">
        <v>70.965177262667936</v>
      </c>
      <c r="N89" s="4">
        <v>-0.53270421091054143</v>
      </c>
      <c r="O89" s="1" t="str">
        <f>HYPERLINK(".\sm_car_250407_2318\sm_car_250407_2318_088_Ca009TrN_MaLSS_ode23t_1.png","figure")</f>
        <v>figure</v>
      </c>
      <c r="P89" t="s">
        <v>15</v>
      </c>
      <c r="T89">
        <f>K89-'2022a_250206_1736'!K83</f>
        <v>-14</v>
      </c>
      <c r="U89" s="5">
        <f>T89/'2022a_250206_1736'!K83</f>
        <v>-2.491103202846975E-2</v>
      </c>
      <c r="V89" s="4">
        <f>L89-'2022a_250206_1736'!L83</f>
        <v>-0.11085339999999988</v>
      </c>
      <c r="W89" s="5">
        <f>V89/'2022a_250206_1736'!L83</f>
        <v>-7.5012583930822692E-3</v>
      </c>
    </row>
    <row r="90" spans="1:23" x14ac:dyDescent="0.25">
      <c r="A90">
        <v>89</v>
      </c>
      <c r="B90">
        <v>10</v>
      </c>
      <c r="C90" t="s">
        <v>16</v>
      </c>
      <c r="D90" t="s">
        <v>17</v>
      </c>
      <c r="E90" t="s">
        <v>49</v>
      </c>
      <c r="F90" t="s">
        <v>19</v>
      </c>
      <c r="G90" t="s">
        <v>26</v>
      </c>
      <c r="H90" t="s">
        <v>21</v>
      </c>
      <c r="I90" t="s">
        <v>22</v>
      </c>
      <c r="J90" t="s">
        <v>23</v>
      </c>
      <c r="K90">
        <v>425</v>
      </c>
      <c r="L90" s="4">
        <v>14.218426300000001</v>
      </c>
      <c r="M90" s="4">
        <v>230.41888936037159</v>
      </c>
      <c r="N90" s="4">
        <v>4.9632059772117064E-2</v>
      </c>
      <c r="O90" s="1" t="str">
        <f>HYPERLINK(".\sm_car_250407_2318\sm_car_250407_2318_089_Ca010TrN_MaWOT_ode23t_1.png","figure")</f>
        <v>figure</v>
      </c>
      <c r="P90" t="s">
        <v>15</v>
      </c>
      <c r="T90">
        <f>K90-'2022a_250206_1736'!K84</f>
        <v>33</v>
      </c>
      <c r="U90" s="5">
        <f>T90/'2022a_250206_1736'!K84</f>
        <v>8.4183673469387751E-2</v>
      </c>
      <c r="V90" s="4">
        <f>L90-'2022a_250206_1736'!L84</f>
        <v>1.4485803000000015</v>
      </c>
      <c r="W90" s="5">
        <f>V90/'2022a_250206_1736'!L84</f>
        <v>0.11343757003804131</v>
      </c>
    </row>
    <row r="91" spans="1:23" x14ac:dyDescent="0.25">
      <c r="A91">
        <v>90</v>
      </c>
      <c r="B91">
        <v>10</v>
      </c>
      <c r="C91" t="s">
        <v>16</v>
      </c>
      <c r="D91" t="s">
        <v>17</v>
      </c>
      <c r="E91" t="s">
        <v>49</v>
      </c>
      <c r="F91" t="s">
        <v>19</v>
      </c>
      <c r="G91" t="s">
        <v>26</v>
      </c>
      <c r="H91" t="s">
        <v>21</v>
      </c>
      <c r="I91" t="s">
        <v>24</v>
      </c>
      <c r="J91" t="s">
        <v>23</v>
      </c>
      <c r="K91">
        <v>551</v>
      </c>
      <c r="L91" s="4">
        <v>16.439194100000002</v>
      </c>
      <c r="M91" s="4">
        <v>70.977437023713605</v>
      </c>
      <c r="N91" s="4">
        <v>-0.52919072984599858</v>
      </c>
      <c r="O91" s="1" t="str">
        <f>HYPERLINK(".\sm_car_250407_2318\sm_car_250407_2318_090_Ca010TrN_MaLSS_ode23t_1.png","figure")</f>
        <v>figure</v>
      </c>
      <c r="P91" t="s">
        <v>15</v>
      </c>
      <c r="T91">
        <f>K91-'2022a_250206_1736'!K85</f>
        <v>5</v>
      </c>
      <c r="U91" s="5">
        <f>T91/'2022a_250206_1736'!K85</f>
        <v>9.1575091575091579E-3</v>
      </c>
      <c r="V91" s="4">
        <f>L91-'2022a_250206_1736'!L85</f>
        <v>0.31416590000000255</v>
      </c>
      <c r="W91" s="5">
        <f>V91/'2022a_250206_1736'!L85</f>
        <v>1.9483122516337836E-2</v>
      </c>
    </row>
    <row r="92" spans="1:23" x14ac:dyDescent="0.25">
      <c r="A92">
        <v>91</v>
      </c>
      <c r="B92">
        <v>11</v>
      </c>
      <c r="C92" t="s">
        <v>16</v>
      </c>
      <c r="D92" t="s">
        <v>17</v>
      </c>
      <c r="E92" t="s">
        <v>49</v>
      </c>
      <c r="F92" t="s">
        <v>19</v>
      </c>
      <c r="G92" t="s">
        <v>27</v>
      </c>
      <c r="H92" t="s">
        <v>21</v>
      </c>
      <c r="I92" t="s">
        <v>22</v>
      </c>
      <c r="J92" t="s">
        <v>23</v>
      </c>
      <c r="K92">
        <v>444</v>
      </c>
      <c r="L92" s="4">
        <v>14.3411729</v>
      </c>
      <c r="M92" s="4">
        <v>229.86390500032655</v>
      </c>
      <c r="N92" s="4">
        <v>5.7272038272725277E-2</v>
      </c>
      <c r="O92" s="1" t="str">
        <f>HYPERLINK(".\sm_car_250407_2318\sm_car_250407_2318_091_Ca011TrN_MaWOT_ode23t_1.png","figure")</f>
        <v>figure</v>
      </c>
      <c r="P92" t="s">
        <v>15</v>
      </c>
      <c r="T92">
        <f>K92-'2022a_250206_1736'!K86</f>
        <v>21</v>
      </c>
      <c r="U92" s="5">
        <f>T92/'2022a_250206_1736'!K86</f>
        <v>4.9645390070921988E-2</v>
      </c>
      <c r="V92" s="4">
        <f>L92-'2022a_250206_1736'!L86</f>
        <v>-0.55337579999999953</v>
      </c>
      <c r="W92" s="5">
        <f>V92/'2022a_250206_1736'!L86</f>
        <v>-3.7152908164313804E-2</v>
      </c>
    </row>
    <row r="93" spans="1:23" x14ac:dyDescent="0.25">
      <c r="A93">
        <v>92</v>
      </c>
      <c r="B93">
        <v>11</v>
      </c>
      <c r="C93" t="s">
        <v>16</v>
      </c>
      <c r="D93" t="s">
        <v>17</v>
      </c>
      <c r="E93" t="s">
        <v>49</v>
      </c>
      <c r="F93" t="s">
        <v>19</v>
      </c>
      <c r="G93" t="s">
        <v>27</v>
      </c>
      <c r="H93" t="s">
        <v>21</v>
      </c>
      <c r="I93" t="s">
        <v>24</v>
      </c>
      <c r="J93" t="s">
        <v>23</v>
      </c>
      <c r="K93">
        <v>587</v>
      </c>
      <c r="L93" s="4">
        <v>17.157655699999999</v>
      </c>
      <c r="M93" s="4">
        <v>70.838049113767823</v>
      </c>
      <c r="N93" s="4">
        <v>-0.52653213111473296</v>
      </c>
      <c r="O93" s="1" t="str">
        <f>HYPERLINK(".\sm_car_250407_2318\sm_car_250407_2318_092_Ca011TrN_MaLSS_ode23t_1.png","figure")</f>
        <v>figure</v>
      </c>
      <c r="P93" t="s">
        <v>15</v>
      </c>
      <c r="T93">
        <f>K93-'2022a_250206_1736'!K87</f>
        <v>27</v>
      </c>
      <c r="U93" s="5">
        <f>T93/'2022a_250206_1736'!K87</f>
        <v>4.8214285714285716E-2</v>
      </c>
      <c r="V93" s="4">
        <f>L93-'2022a_250206_1736'!L87</f>
        <v>-0.33088010000000168</v>
      </c>
      <c r="W93" s="5">
        <f>V93/'2022a_250206_1736'!L87</f>
        <v>-1.8919828611381043E-2</v>
      </c>
    </row>
    <row r="94" spans="1:23" x14ac:dyDescent="0.25">
      <c r="A94">
        <v>93</v>
      </c>
      <c r="B94">
        <v>12</v>
      </c>
      <c r="C94" t="s">
        <v>16</v>
      </c>
      <c r="D94" t="s">
        <v>17</v>
      </c>
      <c r="E94" t="s">
        <v>49</v>
      </c>
      <c r="F94" t="s">
        <v>28</v>
      </c>
      <c r="G94" t="s">
        <v>20</v>
      </c>
      <c r="H94" t="s">
        <v>21</v>
      </c>
      <c r="I94" t="s">
        <v>22</v>
      </c>
      <c r="J94" t="s">
        <v>23</v>
      </c>
      <c r="K94">
        <v>837</v>
      </c>
      <c r="L94" s="4">
        <v>11.252353100000001</v>
      </c>
      <c r="M94" s="4">
        <v>231.18597742140417</v>
      </c>
      <c r="N94" s="4">
        <v>-3.5116876966365643E-3</v>
      </c>
      <c r="O94" s="1" t="str">
        <f>HYPERLINK(".\sm_car_250407_2318\sm_car_250407_2318_093_Ca012TrN_MaWOT_ode23t_1.png","figure")</f>
        <v>figure</v>
      </c>
      <c r="P94" t="s">
        <v>15</v>
      </c>
      <c r="T94">
        <f>K94-'2022a_250206_1736'!K88</f>
        <v>4</v>
      </c>
      <c r="U94" s="5">
        <f>T94/'2022a_250206_1736'!K88</f>
        <v>4.8019207683073226E-3</v>
      </c>
      <c r="V94" s="4">
        <f>L94-'2022a_250206_1736'!L88</f>
        <v>6.0525900000000021E-2</v>
      </c>
      <c r="W94" s="5">
        <f>V94/'2022a_250206_1736'!L88</f>
        <v>5.4080445416455339E-3</v>
      </c>
    </row>
    <row r="95" spans="1:23" x14ac:dyDescent="0.25">
      <c r="A95">
        <v>94</v>
      </c>
      <c r="B95">
        <v>12</v>
      </c>
      <c r="C95" t="s">
        <v>16</v>
      </c>
      <c r="D95" t="s">
        <v>17</v>
      </c>
      <c r="E95" t="s">
        <v>49</v>
      </c>
      <c r="F95" t="s">
        <v>28</v>
      </c>
      <c r="G95" t="s">
        <v>20</v>
      </c>
      <c r="H95" t="s">
        <v>21</v>
      </c>
      <c r="I95" t="s">
        <v>24</v>
      </c>
      <c r="J95" t="s">
        <v>23</v>
      </c>
      <c r="K95">
        <v>980</v>
      </c>
      <c r="L95" s="4">
        <v>12.686968200000001</v>
      </c>
      <c r="M95" s="4">
        <v>71.260563019160614</v>
      </c>
      <c r="N95" s="4">
        <v>-0.54327340359846699</v>
      </c>
      <c r="O95" s="1" t="str">
        <f>HYPERLINK(".\sm_car_250407_2318\sm_car_250407_2318_094_Ca012TrN_MaLSS_ode23t_1.png","figure")</f>
        <v>figure</v>
      </c>
      <c r="P95" t="s">
        <v>15</v>
      </c>
      <c r="T95">
        <f>K95-'2022a_250206_1736'!K89</f>
        <v>-9</v>
      </c>
      <c r="U95" s="5">
        <f>T95/'2022a_250206_1736'!K89</f>
        <v>-9.1001011122345803E-3</v>
      </c>
      <c r="V95" s="4">
        <f>L95-'2022a_250206_1736'!L89</f>
        <v>-0.74353679999999933</v>
      </c>
      <c r="W95" s="5">
        <f>V95/'2022a_250206_1736'!L89</f>
        <v>-5.5361790193294992E-2</v>
      </c>
    </row>
    <row r="96" spans="1:23" x14ac:dyDescent="0.25">
      <c r="A96">
        <v>95</v>
      </c>
      <c r="B96">
        <v>13</v>
      </c>
      <c r="C96" t="s">
        <v>16</v>
      </c>
      <c r="D96" t="s">
        <v>17</v>
      </c>
      <c r="E96" t="s">
        <v>49</v>
      </c>
      <c r="F96" t="s">
        <v>28</v>
      </c>
      <c r="G96" t="s">
        <v>25</v>
      </c>
      <c r="H96" t="s">
        <v>21</v>
      </c>
      <c r="I96" t="s">
        <v>22</v>
      </c>
      <c r="J96" t="s">
        <v>23</v>
      </c>
      <c r="K96">
        <v>859</v>
      </c>
      <c r="L96" s="4">
        <v>13.466071899999999</v>
      </c>
      <c r="M96" s="4">
        <v>230.35823571679632</v>
      </c>
      <c r="N96" s="4">
        <v>-1.1586795793914181E-2</v>
      </c>
      <c r="O96" s="1" t="str">
        <f>HYPERLINK(".\sm_car_250407_2318\sm_car_250407_2318_095_Ca013TrN_MaWOT_ode23t_1.png","figure")</f>
        <v>figure</v>
      </c>
      <c r="P96" t="s">
        <v>15</v>
      </c>
      <c r="T96">
        <f>K96-'2022a_250206_1736'!K90</f>
        <v>11</v>
      </c>
      <c r="U96" s="5">
        <f>T96/'2022a_250206_1736'!K90</f>
        <v>1.2971698113207548E-2</v>
      </c>
      <c r="V96" s="4">
        <f>L96-'2022a_250206_1736'!L90</f>
        <v>0.7083176999999985</v>
      </c>
      <c r="W96" s="5">
        <f>V96/'2022a_250206_1736'!L90</f>
        <v>5.5520563329241636E-2</v>
      </c>
    </row>
    <row r="97" spans="1:23" x14ac:dyDescent="0.25">
      <c r="A97">
        <v>96</v>
      </c>
      <c r="B97">
        <v>13</v>
      </c>
      <c r="C97" t="s">
        <v>16</v>
      </c>
      <c r="D97" t="s">
        <v>17</v>
      </c>
      <c r="E97" t="s">
        <v>49</v>
      </c>
      <c r="F97" t="s">
        <v>28</v>
      </c>
      <c r="G97" t="s">
        <v>25</v>
      </c>
      <c r="H97" t="s">
        <v>21</v>
      </c>
      <c r="I97" t="s">
        <v>24</v>
      </c>
      <c r="J97" t="s">
        <v>23</v>
      </c>
      <c r="K97">
        <v>1014</v>
      </c>
      <c r="L97" s="4">
        <v>15.8116384</v>
      </c>
      <c r="M97" s="4">
        <v>70.959730141143126</v>
      </c>
      <c r="N97" s="4">
        <v>-0.53935585743166425</v>
      </c>
      <c r="O97" s="1" t="str">
        <f>HYPERLINK(".\sm_car_250407_2318\sm_car_250407_2318_096_Ca013TrN_MaLSS_ode23t_1.png","figure")</f>
        <v>figure</v>
      </c>
      <c r="P97" t="s">
        <v>15</v>
      </c>
      <c r="T97">
        <f>K97-'2022a_250206_1736'!K91</f>
        <v>5</v>
      </c>
      <c r="U97" s="5">
        <f>T97/'2022a_250206_1736'!K91</f>
        <v>4.9554013875123884E-3</v>
      </c>
      <c r="V97" s="4">
        <f>L97-'2022a_250206_1736'!L91</f>
        <v>-0.88153060000000139</v>
      </c>
      <c r="W97" s="5">
        <f>V97/'2022a_250206_1736'!L91</f>
        <v>-5.2807864102975374E-2</v>
      </c>
    </row>
    <row r="98" spans="1:23" x14ac:dyDescent="0.25">
      <c r="A98">
        <v>97</v>
      </c>
      <c r="B98">
        <v>14</v>
      </c>
      <c r="C98" t="s">
        <v>16</v>
      </c>
      <c r="D98" t="s">
        <v>17</v>
      </c>
      <c r="E98" t="s">
        <v>49</v>
      </c>
      <c r="F98" t="s">
        <v>28</v>
      </c>
      <c r="G98" t="s">
        <v>26</v>
      </c>
      <c r="H98" t="s">
        <v>21</v>
      </c>
      <c r="I98" t="s">
        <v>22</v>
      </c>
      <c r="J98" t="s">
        <v>23</v>
      </c>
      <c r="K98">
        <v>891</v>
      </c>
      <c r="L98" s="4">
        <v>12.9036372</v>
      </c>
      <c r="M98" s="4">
        <v>230.3781041752471</v>
      </c>
      <c r="N98" s="4">
        <v>5.4110448824199145E-2</v>
      </c>
      <c r="O98" s="1" t="str">
        <f>HYPERLINK(".\sm_car_250407_2318\sm_car_250407_2318_097_Ca014TrN_MaWOT_ode23t_1.png","figure")</f>
        <v>figure</v>
      </c>
      <c r="P98" t="s">
        <v>15</v>
      </c>
      <c r="T98">
        <f>K98-'2022a_250206_1736'!K92</f>
        <v>-8</v>
      </c>
      <c r="U98" s="5">
        <f>T98/'2022a_250206_1736'!K92</f>
        <v>-8.8987764182424916E-3</v>
      </c>
      <c r="V98" s="4">
        <f>L98-'2022a_250206_1736'!L92</f>
        <v>-0.84490519999999947</v>
      </c>
      <c r="W98" s="5">
        <f>V98/'2022a_250206_1736'!L92</f>
        <v>-6.1454165497573002E-2</v>
      </c>
    </row>
    <row r="99" spans="1:23" x14ac:dyDescent="0.25">
      <c r="A99">
        <v>98</v>
      </c>
      <c r="B99">
        <v>14</v>
      </c>
      <c r="C99" t="s">
        <v>16</v>
      </c>
      <c r="D99" t="s">
        <v>17</v>
      </c>
      <c r="E99" t="s">
        <v>49</v>
      </c>
      <c r="F99" t="s">
        <v>28</v>
      </c>
      <c r="G99" t="s">
        <v>26</v>
      </c>
      <c r="H99" t="s">
        <v>21</v>
      </c>
      <c r="I99" t="s">
        <v>24</v>
      </c>
      <c r="J99" t="s">
        <v>23</v>
      </c>
      <c r="K99">
        <v>1015</v>
      </c>
      <c r="L99" s="4">
        <v>15.1629968</v>
      </c>
      <c r="M99" s="4">
        <v>70.971210443177469</v>
      </c>
      <c r="N99" s="4">
        <v>-0.53402143086552167</v>
      </c>
      <c r="O99" s="1" t="str">
        <f>HYPERLINK(".\sm_car_250407_2318\sm_car_250407_2318_098_Ca014TrN_MaLSS_ode23t_1.png","figure")</f>
        <v>figure</v>
      </c>
      <c r="P99" t="s">
        <v>15</v>
      </c>
      <c r="T99">
        <f>K99-'2022a_250206_1736'!K93</f>
        <v>4</v>
      </c>
      <c r="U99" s="5">
        <f>T99/'2022a_250206_1736'!K93</f>
        <v>3.956478733926805E-3</v>
      </c>
      <c r="V99" s="4">
        <f>L99-'2022a_250206_1736'!L93</f>
        <v>-0.37540330000000033</v>
      </c>
      <c r="W99" s="5">
        <f>V99/'2022a_250206_1736'!L93</f>
        <v>-2.4159713843383421E-2</v>
      </c>
    </row>
    <row r="100" spans="1:23" x14ac:dyDescent="0.25">
      <c r="A100">
        <v>99</v>
      </c>
      <c r="B100">
        <v>15</v>
      </c>
      <c r="C100" t="s">
        <v>16</v>
      </c>
      <c r="D100" t="s">
        <v>17</v>
      </c>
      <c r="E100" t="s">
        <v>49</v>
      </c>
      <c r="F100" t="s">
        <v>28</v>
      </c>
      <c r="G100" t="s">
        <v>27</v>
      </c>
      <c r="H100" t="s">
        <v>21</v>
      </c>
      <c r="I100" t="s">
        <v>22</v>
      </c>
      <c r="J100" t="s">
        <v>23</v>
      </c>
      <c r="K100">
        <v>898</v>
      </c>
      <c r="L100" s="4">
        <v>14.5904033</v>
      </c>
      <c r="M100" s="4">
        <v>229.7165647795793</v>
      </c>
      <c r="N100" s="4">
        <v>5.2712327109210637E-2</v>
      </c>
      <c r="O100" s="1" t="str">
        <f>HYPERLINK(".\sm_car_250407_2318\sm_car_250407_2318_099_Ca015TrN_MaWOT_ode23t_1.png","figure")</f>
        <v>figure</v>
      </c>
      <c r="P100" t="s">
        <v>15</v>
      </c>
      <c r="T100">
        <f>K100-'2022a_250206_1736'!K94</f>
        <v>17</v>
      </c>
      <c r="U100" s="5">
        <f>T100/'2022a_250206_1736'!K94</f>
        <v>1.9296254256526674E-2</v>
      </c>
      <c r="V100" s="4">
        <f>L100-'2022a_250206_1736'!L94</f>
        <v>0.79886869999999988</v>
      </c>
      <c r="W100" s="5">
        <f>V100/'2022a_250206_1736'!L94</f>
        <v>5.7924569177385081E-2</v>
      </c>
    </row>
    <row r="101" spans="1:23" x14ac:dyDescent="0.25">
      <c r="A101">
        <v>100</v>
      </c>
      <c r="B101">
        <v>15</v>
      </c>
      <c r="C101" t="s">
        <v>16</v>
      </c>
      <c r="D101" t="s">
        <v>17</v>
      </c>
      <c r="E101" t="s">
        <v>49</v>
      </c>
      <c r="F101" t="s">
        <v>28</v>
      </c>
      <c r="G101" t="s">
        <v>27</v>
      </c>
      <c r="H101" t="s">
        <v>21</v>
      </c>
      <c r="I101" t="s">
        <v>24</v>
      </c>
      <c r="J101" t="s">
        <v>23</v>
      </c>
      <c r="K101">
        <v>1033</v>
      </c>
      <c r="L101" s="4">
        <v>17.102603500000001</v>
      </c>
      <c r="M101" s="4">
        <v>70.835243950910495</v>
      </c>
      <c r="N101" s="4">
        <v>-0.53295173658706307</v>
      </c>
      <c r="O101" s="1" t="str">
        <f>HYPERLINK(".\sm_car_250407_2318\sm_car_250407_2318_100_Ca015TrN_MaLSS_ode23t_1.png","figure")</f>
        <v>figure</v>
      </c>
      <c r="P101" t="s">
        <v>15</v>
      </c>
      <c r="T101">
        <f>K101-'2022a_250206_1736'!K95</f>
        <v>-23</v>
      </c>
      <c r="U101" s="5">
        <f>T101/'2022a_250206_1736'!K95</f>
        <v>-2.1780303030303032E-2</v>
      </c>
      <c r="V101" s="4">
        <f>L101-'2022a_250206_1736'!L95</f>
        <v>-0.22841939999999994</v>
      </c>
      <c r="W101" s="5">
        <f>V101/'2022a_250206_1736'!L95</f>
        <v>-1.3179799098874881E-2</v>
      </c>
    </row>
    <row r="102" spans="1:23" x14ac:dyDescent="0.25">
      <c r="A102">
        <v>101</v>
      </c>
      <c r="B102">
        <v>120</v>
      </c>
      <c r="C102" t="s">
        <v>16</v>
      </c>
      <c r="D102" t="s">
        <v>35</v>
      </c>
      <c r="E102" t="s">
        <v>49</v>
      </c>
      <c r="F102" t="s">
        <v>19</v>
      </c>
      <c r="G102" t="s">
        <v>20</v>
      </c>
      <c r="H102" t="s">
        <v>21</v>
      </c>
      <c r="I102" t="s">
        <v>22</v>
      </c>
      <c r="J102" t="s">
        <v>23</v>
      </c>
      <c r="K102">
        <v>397</v>
      </c>
      <c r="L102" s="4">
        <v>3.4744769999999998</v>
      </c>
      <c r="M102" s="4">
        <v>242.58916330408013</v>
      </c>
      <c r="N102" s="4">
        <v>0.23206014586347745</v>
      </c>
      <c r="O102" s="1" t="str">
        <f>HYPERLINK(".\sm_car_250407_2318\sm_car_250407_2318_101_Ca120TrN_MaWOT_ode23t_1.png","figure")</f>
        <v>figure</v>
      </c>
      <c r="P102" t="s">
        <v>15</v>
      </c>
      <c r="T102">
        <f>K102-'2022a_250206_1736'!K96</f>
        <v>0</v>
      </c>
      <c r="U102" s="5">
        <f>T102/'2022a_250206_1736'!K96</f>
        <v>0</v>
      </c>
      <c r="V102" s="4">
        <f>L102-'2022a_250206_1736'!L96</f>
        <v>7.1753299999999687E-2</v>
      </c>
      <c r="W102" s="5">
        <f>V102/'2022a_250206_1736'!L96</f>
        <v>2.1087019201705883E-2</v>
      </c>
    </row>
    <row r="103" spans="1:23" x14ac:dyDescent="0.25">
      <c r="A103">
        <v>102</v>
      </c>
      <c r="B103">
        <v>120</v>
      </c>
      <c r="C103" t="s">
        <v>16</v>
      </c>
      <c r="D103" t="s">
        <v>35</v>
      </c>
      <c r="E103" t="s">
        <v>49</v>
      </c>
      <c r="F103" t="s">
        <v>19</v>
      </c>
      <c r="G103" t="s">
        <v>20</v>
      </c>
      <c r="H103" t="s">
        <v>21</v>
      </c>
      <c r="I103" t="s">
        <v>24</v>
      </c>
      <c r="J103" t="s">
        <v>23</v>
      </c>
      <c r="K103">
        <v>529</v>
      </c>
      <c r="L103" s="4">
        <v>3.8950271999999999</v>
      </c>
      <c r="M103" s="4">
        <v>74.667522578058751</v>
      </c>
      <c r="N103" s="4">
        <v>-0.33829686602551789</v>
      </c>
      <c r="O103" s="1" t="str">
        <f>HYPERLINK(".\sm_car_250407_2318\sm_car_250407_2318_102_Ca120TrN_MaLSS_ode23t_1.png","figure")</f>
        <v>figure</v>
      </c>
      <c r="P103" t="s">
        <v>15</v>
      </c>
      <c r="T103">
        <f>K103-'2022a_250206_1736'!K97</f>
        <v>0</v>
      </c>
      <c r="U103" s="5">
        <f>T103/'2022a_250206_1736'!K97</f>
        <v>0</v>
      </c>
      <c r="V103" s="4">
        <f>L103-'2022a_250206_1736'!L97</f>
        <v>0.11029669999999969</v>
      </c>
      <c r="W103" s="5">
        <f>V103/'2022a_250206_1736'!L97</f>
        <v>2.9142550572623251E-2</v>
      </c>
    </row>
    <row r="104" spans="1:23" x14ac:dyDescent="0.25">
      <c r="A104">
        <v>103</v>
      </c>
      <c r="B104">
        <v>121</v>
      </c>
      <c r="C104" t="s">
        <v>16</v>
      </c>
      <c r="D104" t="s">
        <v>35</v>
      </c>
      <c r="E104" t="s">
        <v>49</v>
      </c>
      <c r="F104" t="s">
        <v>19</v>
      </c>
      <c r="G104" t="s">
        <v>25</v>
      </c>
      <c r="H104" t="s">
        <v>21</v>
      </c>
      <c r="I104" t="s">
        <v>22</v>
      </c>
      <c r="J104" t="s">
        <v>23</v>
      </c>
      <c r="K104">
        <v>387</v>
      </c>
      <c r="L104" s="4">
        <v>4.0134014000000002</v>
      </c>
      <c r="M104" s="4">
        <v>241.53722643581142</v>
      </c>
      <c r="N104" s="4">
        <v>0.22866020255073893</v>
      </c>
      <c r="O104" s="1" t="str">
        <f>HYPERLINK(".\sm_car_250407_2318\sm_car_250407_2318_103_Ca121TrN_MaWOT_ode23t_1.png","figure")</f>
        <v>figure</v>
      </c>
      <c r="P104" t="s">
        <v>15</v>
      </c>
      <c r="T104">
        <f>K104-'2022a_250206_1736'!K98</f>
        <v>0</v>
      </c>
      <c r="U104" s="5">
        <f>T104/'2022a_250206_1736'!K98</f>
        <v>0</v>
      </c>
      <c r="V104" s="4">
        <f>L104-'2022a_250206_1736'!L98</f>
        <v>0.23414030000000041</v>
      </c>
      <c r="W104" s="5">
        <f>V104/'2022a_250206_1736'!L98</f>
        <v>6.1953988836601005E-2</v>
      </c>
    </row>
    <row r="105" spans="1:23" x14ac:dyDescent="0.25">
      <c r="A105">
        <v>104</v>
      </c>
      <c r="B105">
        <v>121</v>
      </c>
      <c r="C105" t="s">
        <v>16</v>
      </c>
      <c r="D105" t="s">
        <v>35</v>
      </c>
      <c r="E105" t="s">
        <v>49</v>
      </c>
      <c r="F105" t="s">
        <v>19</v>
      </c>
      <c r="G105" t="s">
        <v>25</v>
      </c>
      <c r="H105" t="s">
        <v>21</v>
      </c>
      <c r="I105" t="s">
        <v>24</v>
      </c>
      <c r="J105" t="s">
        <v>23</v>
      </c>
      <c r="K105">
        <v>532</v>
      </c>
      <c r="L105" s="4">
        <v>4.6587532999999999</v>
      </c>
      <c r="M105" s="4">
        <v>74.355769905943291</v>
      </c>
      <c r="N105" s="4">
        <v>-0.33469939118367853</v>
      </c>
      <c r="O105" s="1" t="str">
        <f>HYPERLINK(".\sm_car_250407_2318\sm_car_250407_2318_104_Ca121TrN_MaLSS_ode23t_1.png","figure")</f>
        <v>figure</v>
      </c>
      <c r="P105" t="s">
        <v>15</v>
      </c>
      <c r="T105">
        <f>K105-'2022a_250206_1736'!K99</f>
        <v>0</v>
      </c>
      <c r="U105" s="5">
        <f>T105/'2022a_250206_1736'!K99</f>
        <v>0</v>
      </c>
      <c r="V105" s="4">
        <f>L105-'2022a_250206_1736'!L99</f>
        <v>0.27445990000000009</v>
      </c>
      <c r="W105" s="5">
        <f>V105/'2022a_250206_1736'!L99</f>
        <v>6.2600714632830026E-2</v>
      </c>
    </row>
    <row r="106" spans="1:23" x14ac:dyDescent="0.25">
      <c r="A106">
        <v>105</v>
      </c>
      <c r="B106">
        <v>122</v>
      </c>
      <c r="C106" t="s">
        <v>16</v>
      </c>
      <c r="D106" t="s">
        <v>35</v>
      </c>
      <c r="E106" t="s">
        <v>49</v>
      </c>
      <c r="F106" t="s">
        <v>19</v>
      </c>
      <c r="G106" t="s">
        <v>26</v>
      </c>
      <c r="H106" t="s">
        <v>21</v>
      </c>
      <c r="I106" t="s">
        <v>22</v>
      </c>
      <c r="J106" t="s">
        <v>23</v>
      </c>
      <c r="K106">
        <v>410</v>
      </c>
      <c r="L106" s="4">
        <v>4.4567205000000003</v>
      </c>
      <c r="M106" s="4">
        <v>241.76119282571437</v>
      </c>
      <c r="N106" s="4">
        <v>0.22874437654766658</v>
      </c>
      <c r="O106" s="1" t="str">
        <f>HYPERLINK(".\sm_car_250407_2318\sm_car_250407_2318_105_Ca122TrN_MaWOT_ode23t_1.png","figure")</f>
        <v>figure</v>
      </c>
      <c r="P106" t="s">
        <v>15</v>
      </c>
      <c r="T106">
        <f>K106-'2022a_250206_1736'!K100</f>
        <v>5</v>
      </c>
      <c r="U106" s="5">
        <f>T106/'2022a_250206_1736'!K100</f>
        <v>1.2345679012345678E-2</v>
      </c>
      <c r="V106" s="4">
        <f>L106-'2022a_250206_1736'!L100</f>
        <v>0.18235299999999999</v>
      </c>
      <c r="W106" s="5">
        <f>V106/'2022a_250206_1736'!L100</f>
        <v>4.2661984492442441E-2</v>
      </c>
    </row>
    <row r="107" spans="1:23" x14ac:dyDescent="0.25">
      <c r="A107">
        <v>106</v>
      </c>
      <c r="B107">
        <v>122</v>
      </c>
      <c r="C107" t="s">
        <v>16</v>
      </c>
      <c r="D107" t="s">
        <v>35</v>
      </c>
      <c r="E107" t="s">
        <v>49</v>
      </c>
      <c r="F107" t="s">
        <v>19</v>
      </c>
      <c r="G107" t="s">
        <v>26</v>
      </c>
      <c r="H107" t="s">
        <v>21</v>
      </c>
      <c r="I107" t="s">
        <v>24</v>
      </c>
      <c r="J107" t="s">
        <v>23</v>
      </c>
      <c r="K107">
        <v>521</v>
      </c>
      <c r="L107" s="4">
        <v>4.9932642999999999</v>
      </c>
      <c r="M107" s="4">
        <v>74.381253522717486</v>
      </c>
      <c r="N107" s="4">
        <v>-0.33361693210839788</v>
      </c>
      <c r="O107" s="1" t="str">
        <f>HYPERLINK(".\sm_car_250407_2318\sm_car_250407_2318_106_Ca122TrN_MaLSS_ode23t_1.png","figure")</f>
        <v>figure</v>
      </c>
      <c r="P107" t="s">
        <v>15</v>
      </c>
      <c r="T107">
        <f>K107-'2022a_250206_1736'!K101</f>
        <v>-9</v>
      </c>
      <c r="U107" s="5">
        <f>T107/'2022a_250206_1736'!K101</f>
        <v>-1.6981132075471698E-2</v>
      </c>
      <c r="V107" s="4">
        <f>L107-'2022a_250206_1736'!L101</f>
        <v>0.20884310000000017</v>
      </c>
      <c r="W107" s="5">
        <f>V107/'2022a_250206_1736'!L101</f>
        <v>4.3650650992015538E-2</v>
      </c>
    </row>
    <row r="108" spans="1:23" x14ac:dyDescent="0.25">
      <c r="A108">
        <v>107</v>
      </c>
      <c r="B108">
        <v>123</v>
      </c>
      <c r="C108" t="s">
        <v>16</v>
      </c>
      <c r="D108" t="s">
        <v>35</v>
      </c>
      <c r="E108" t="s">
        <v>49</v>
      </c>
      <c r="F108" t="s">
        <v>19</v>
      </c>
      <c r="G108" t="s">
        <v>27</v>
      </c>
      <c r="H108" t="s">
        <v>21</v>
      </c>
      <c r="I108" t="s">
        <v>22</v>
      </c>
      <c r="J108" t="s">
        <v>23</v>
      </c>
      <c r="K108">
        <v>425</v>
      </c>
      <c r="L108" s="4">
        <v>4.585636</v>
      </c>
      <c r="M108" s="4">
        <v>241.18194667788654</v>
      </c>
      <c r="N108" s="4">
        <v>0.22487927023399082</v>
      </c>
      <c r="O108" s="1" t="str">
        <f>HYPERLINK(".\sm_car_250407_2318\sm_car_250407_2318_107_Ca123TrN_MaWOT_ode23t_1.png","figure")</f>
        <v>figure</v>
      </c>
      <c r="P108" t="s">
        <v>15</v>
      </c>
      <c r="T108">
        <f>K108-'2022a_250206_1736'!K102</f>
        <v>-6</v>
      </c>
      <c r="U108" s="5">
        <f>T108/'2022a_250206_1736'!K102</f>
        <v>-1.3921113689095127E-2</v>
      </c>
      <c r="V108" s="4">
        <f>L108-'2022a_250206_1736'!L102</f>
        <v>0.21846449999999962</v>
      </c>
      <c r="W108" s="5">
        <f>V108/'2022a_250206_1736'!L102</f>
        <v>5.0024254829470198E-2</v>
      </c>
    </row>
    <row r="109" spans="1:23" x14ac:dyDescent="0.25">
      <c r="A109">
        <v>108</v>
      </c>
      <c r="B109">
        <v>123</v>
      </c>
      <c r="C109" t="s">
        <v>16</v>
      </c>
      <c r="D109" t="s">
        <v>35</v>
      </c>
      <c r="E109" t="s">
        <v>49</v>
      </c>
      <c r="F109" t="s">
        <v>19</v>
      </c>
      <c r="G109" t="s">
        <v>27</v>
      </c>
      <c r="H109" t="s">
        <v>21</v>
      </c>
      <c r="I109" t="s">
        <v>24</v>
      </c>
      <c r="J109" t="s">
        <v>23</v>
      </c>
      <c r="K109">
        <v>560</v>
      </c>
      <c r="L109" s="4">
        <v>4.9374105999999998</v>
      </c>
      <c r="M109" s="4">
        <v>74.215296424839366</v>
      </c>
      <c r="N109" s="4">
        <v>-0.32770429086011821</v>
      </c>
      <c r="O109" s="1" t="str">
        <f>HYPERLINK(".\sm_car_250407_2318\sm_car_250407_2318_108_Ca123TrN_MaLSS_ode23t_1.png","figure")</f>
        <v>figure</v>
      </c>
      <c r="P109" t="s">
        <v>15</v>
      </c>
      <c r="T109">
        <f>K109-'2022a_250206_1736'!K103</f>
        <v>26</v>
      </c>
      <c r="U109" s="5">
        <f>T109/'2022a_250206_1736'!K103</f>
        <v>4.8689138576779027E-2</v>
      </c>
      <c r="V109" s="4">
        <f>L109-'2022a_250206_1736'!L103</f>
        <v>4.044399999999726E-3</v>
      </c>
      <c r="W109" s="5">
        <f>V109/'2022a_250206_1736'!L103</f>
        <v>8.1980534913457797E-4</v>
      </c>
    </row>
    <row r="110" spans="1:23" x14ac:dyDescent="0.25">
      <c r="A110">
        <v>109</v>
      </c>
      <c r="B110">
        <v>124</v>
      </c>
      <c r="C110" t="s">
        <v>16</v>
      </c>
      <c r="D110" t="s">
        <v>35</v>
      </c>
      <c r="E110" t="s">
        <v>49</v>
      </c>
      <c r="F110" t="s">
        <v>28</v>
      </c>
      <c r="G110" t="s">
        <v>20</v>
      </c>
      <c r="H110" t="s">
        <v>21</v>
      </c>
      <c r="I110" t="s">
        <v>22</v>
      </c>
      <c r="J110" t="s">
        <v>23</v>
      </c>
      <c r="K110">
        <v>1019</v>
      </c>
      <c r="L110" s="4">
        <v>4.6847139999999996</v>
      </c>
      <c r="M110" s="4">
        <v>242.55761770957645</v>
      </c>
      <c r="N110" s="4">
        <v>0.23285190190480581</v>
      </c>
      <c r="O110" s="1" t="str">
        <f>HYPERLINK(".\sm_car_250407_2318\sm_car_250407_2318_109_Ca124TrN_MaWOT_ode23t_1.png","figure")</f>
        <v>figure</v>
      </c>
      <c r="P110" t="s">
        <v>15</v>
      </c>
      <c r="T110">
        <f>K110-'2022a_250206_1736'!K104</f>
        <v>0</v>
      </c>
      <c r="U110" s="5">
        <f>T110/'2022a_250206_1736'!K104</f>
        <v>0</v>
      </c>
      <c r="V110" s="4">
        <f>L110-'2022a_250206_1736'!L104</f>
        <v>0.23934079999999991</v>
      </c>
      <c r="W110" s="5">
        <f>V110/'2022a_250206_1736'!L104</f>
        <v>5.3840428965559052E-2</v>
      </c>
    </row>
    <row r="111" spans="1:23" x14ac:dyDescent="0.25">
      <c r="A111">
        <v>110</v>
      </c>
      <c r="B111">
        <v>124</v>
      </c>
      <c r="C111" t="s">
        <v>16</v>
      </c>
      <c r="D111" t="s">
        <v>35</v>
      </c>
      <c r="E111" t="s">
        <v>49</v>
      </c>
      <c r="F111" t="s">
        <v>28</v>
      </c>
      <c r="G111" t="s">
        <v>20</v>
      </c>
      <c r="H111" t="s">
        <v>21</v>
      </c>
      <c r="I111" t="s">
        <v>24</v>
      </c>
      <c r="J111" t="s">
        <v>23</v>
      </c>
      <c r="K111">
        <v>1116</v>
      </c>
      <c r="L111" s="4">
        <v>5.0841919000000004</v>
      </c>
      <c r="M111" s="4">
        <v>74.661122266702876</v>
      </c>
      <c r="N111" s="4">
        <v>-0.3413753623276084</v>
      </c>
      <c r="O111" s="1" t="str">
        <f>HYPERLINK(".\sm_car_250407_2318\sm_car_250407_2318_110_Ca124TrN_MaLSS_ode23t_1.png","figure")</f>
        <v>figure</v>
      </c>
      <c r="P111" t="s">
        <v>15</v>
      </c>
      <c r="T111">
        <f>K111-'2022a_250206_1736'!K105</f>
        <v>0</v>
      </c>
      <c r="U111" s="5">
        <f>T111/'2022a_250206_1736'!K105</f>
        <v>0</v>
      </c>
      <c r="V111" s="4">
        <f>L111-'2022a_250206_1736'!L105</f>
        <v>0.10802900000000015</v>
      </c>
      <c r="W111" s="5">
        <f>V111/'2022a_250206_1736'!L105</f>
        <v>2.1709297338316665E-2</v>
      </c>
    </row>
    <row r="112" spans="1:23" x14ac:dyDescent="0.25">
      <c r="A112">
        <v>111</v>
      </c>
      <c r="B112">
        <v>125</v>
      </c>
      <c r="C112" t="s">
        <v>16</v>
      </c>
      <c r="D112" t="s">
        <v>35</v>
      </c>
      <c r="E112" t="s">
        <v>49</v>
      </c>
      <c r="F112" t="s">
        <v>28</v>
      </c>
      <c r="G112" t="s">
        <v>25</v>
      </c>
      <c r="H112" t="s">
        <v>21</v>
      </c>
      <c r="I112" t="s">
        <v>22</v>
      </c>
      <c r="J112" t="s">
        <v>23</v>
      </c>
      <c r="K112">
        <v>1027</v>
      </c>
      <c r="L112" s="4">
        <v>5.3933543999999998</v>
      </c>
      <c r="M112" s="4">
        <v>241.53786644176284</v>
      </c>
      <c r="N112" s="4">
        <v>0.22947290276390778</v>
      </c>
      <c r="O112" s="1" t="str">
        <f>HYPERLINK(".\sm_car_250407_2318\sm_car_250407_2318_111_Ca125TrN_MaWOT_ode23t_1.png","figure")</f>
        <v>figure</v>
      </c>
      <c r="P112" t="s">
        <v>15</v>
      </c>
      <c r="T112">
        <f>K112-'2022a_250206_1736'!K106</f>
        <v>0</v>
      </c>
      <c r="U112" s="5">
        <f>T112/'2022a_250206_1736'!K106</f>
        <v>0</v>
      </c>
      <c r="V112" s="4">
        <f>L112-'2022a_250206_1736'!L106</f>
        <v>0.1612266</v>
      </c>
      <c r="W112" s="5">
        <f>V112/'2022a_250206_1736'!L106</f>
        <v>3.0814728952148304E-2</v>
      </c>
    </row>
    <row r="113" spans="1:23" x14ac:dyDescent="0.25">
      <c r="A113">
        <v>112</v>
      </c>
      <c r="B113">
        <v>125</v>
      </c>
      <c r="C113" t="s">
        <v>16</v>
      </c>
      <c r="D113" t="s">
        <v>35</v>
      </c>
      <c r="E113" t="s">
        <v>49</v>
      </c>
      <c r="F113" t="s">
        <v>28</v>
      </c>
      <c r="G113" t="s">
        <v>25</v>
      </c>
      <c r="H113" t="s">
        <v>21</v>
      </c>
      <c r="I113" t="s">
        <v>24</v>
      </c>
      <c r="J113" t="s">
        <v>23</v>
      </c>
      <c r="K113">
        <v>1141</v>
      </c>
      <c r="L113" s="4">
        <v>5.8840399999999997</v>
      </c>
      <c r="M113" s="4">
        <v>74.343355082946488</v>
      </c>
      <c r="N113" s="4">
        <v>-0.33694502066485432</v>
      </c>
      <c r="O113" s="1" t="str">
        <f>HYPERLINK(".\sm_car_250407_2318\sm_car_250407_2318_112_Ca125TrN_MaLSS_ode23t_1.png","figure")</f>
        <v>figure</v>
      </c>
      <c r="P113" t="s">
        <v>15</v>
      </c>
      <c r="T113">
        <f>K113-'2022a_250206_1736'!K107</f>
        <v>0</v>
      </c>
      <c r="U113" s="5">
        <f>T113/'2022a_250206_1736'!K107</f>
        <v>0</v>
      </c>
      <c r="V113" s="4">
        <f>L113-'2022a_250206_1736'!L107</f>
        <v>0.14359599999999961</v>
      </c>
      <c r="W113" s="5">
        <f>V113/'2022a_250206_1736'!L107</f>
        <v>2.5014789796747362E-2</v>
      </c>
    </row>
    <row r="114" spans="1:23" x14ac:dyDescent="0.25">
      <c r="A114">
        <v>113</v>
      </c>
      <c r="B114">
        <v>126</v>
      </c>
      <c r="C114" t="s">
        <v>16</v>
      </c>
      <c r="D114" t="s">
        <v>35</v>
      </c>
      <c r="E114" t="s">
        <v>49</v>
      </c>
      <c r="F114" t="s">
        <v>28</v>
      </c>
      <c r="G114" t="s">
        <v>26</v>
      </c>
      <c r="H114" t="s">
        <v>21</v>
      </c>
      <c r="I114" t="s">
        <v>22</v>
      </c>
      <c r="J114" t="s">
        <v>23</v>
      </c>
      <c r="K114">
        <v>1024</v>
      </c>
      <c r="L114" s="4">
        <v>5.4685440999999999</v>
      </c>
      <c r="M114" s="4">
        <v>241.64247262584826</v>
      </c>
      <c r="N114" s="4">
        <v>0.22964968965908028</v>
      </c>
      <c r="O114" s="1" t="str">
        <f>HYPERLINK(".\sm_car_250407_2318\sm_car_250407_2318_113_Ca126TrN_MaWOT_ode23t_1.png","figure")</f>
        <v>figure</v>
      </c>
      <c r="P114" t="s">
        <v>15</v>
      </c>
      <c r="T114">
        <f>K114-'2022a_250206_1736'!K108</f>
        <v>6</v>
      </c>
      <c r="U114" s="5">
        <f>T114/'2022a_250206_1736'!K108</f>
        <v>5.893909626719057E-3</v>
      </c>
      <c r="V114" s="4">
        <f>L114-'2022a_250206_1736'!L108</f>
        <v>0.21631209999999967</v>
      </c>
      <c r="W114" s="5">
        <f>V114/'2022a_250206_1736'!L108</f>
        <v>4.1184795340342861E-2</v>
      </c>
    </row>
    <row r="115" spans="1:23" x14ac:dyDescent="0.25">
      <c r="A115">
        <v>114</v>
      </c>
      <c r="B115">
        <v>126</v>
      </c>
      <c r="C115" t="s">
        <v>16</v>
      </c>
      <c r="D115" t="s">
        <v>35</v>
      </c>
      <c r="E115" t="s">
        <v>49</v>
      </c>
      <c r="F115" t="s">
        <v>28</v>
      </c>
      <c r="G115" t="s">
        <v>26</v>
      </c>
      <c r="H115" t="s">
        <v>21</v>
      </c>
      <c r="I115" t="s">
        <v>24</v>
      </c>
      <c r="J115" t="s">
        <v>23</v>
      </c>
      <c r="K115">
        <v>1159</v>
      </c>
      <c r="L115" s="4">
        <v>6.3864733999999999</v>
      </c>
      <c r="M115" s="4">
        <v>74.346368196446249</v>
      </c>
      <c r="N115" s="4">
        <v>-0.33727695669845154</v>
      </c>
      <c r="O115" s="1" t="str">
        <f>HYPERLINK(".\sm_car_250407_2318\sm_car_250407_2318_114_Ca126TrN_MaLSS_ode23t_1.png","figure")</f>
        <v>figure</v>
      </c>
      <c r="P115" t="s">
        <v>15</v>
      </c>
      <c r="T115">
        <f>K115-'2022a_250206_1736'!K109</f>
        <v>8</v>
      </c>
      <c r="U115" s="5">
        <f>T115/'2022a_250206_1736'!K109</f>
        <v>6.9504778453518675E-3</v>
      </c>
      <c r="V115" s="4">
        <f>L115-'2022a_250206_1736'!L109</f>
        <v>0.24470589999999959</v>
      </c>
      <c r="W115" s="5">
        <f>V115/'2022a_250206_1736'!L109</f>
        <v>3.9842911669971157E-2</v>
      </c>
    </row>
    <row r="116" spans="1:23" x14ac:dyDescent="0.25">
      <c r="A116">
        <v>115</v>
      </c>
      <c r="B116">
        <v>127</v>
      </c>
      <c r="C116" t="s">
        <v>16</v>
      </c>
      <c r="D116" t="s">
        <v>35</v>
      </c>
      <c r="E116" t="s">
        <v>49</v>
      </c>
      <c r="F116" t="s">
        <v>28</v>
      </c>
      <c r="G116" t="s">
        <v>27</v>
      </c>
      <c r="H116" t="s">
        <v>21</v>
      </c>
      <c r="I116" t="s">
        <v>22</v>
      </c>
      <c r="J116" t="s">
        <v>23</v>
      </c>
      <c r="K116">
        <v>1047</v>
      </c>
      <c r="L116" s="4">
        <v>5.7755517999999997</v>
      </c>
      <c r="M116" s="4">
        <v>241.03473438480009</v>
      </c>
      <c r="N116" s="4">
        <v>0.22856563567516971</v>
      </c>
      <c r="O116" s="1" t="str">
        <f>HYPERLINK(".\sm_car_250407_2318\sm_car_250407_2318_115_Ca127TrN_MaWOT_ode23t_1.png","figure")</f>
        <v>figure</v>
      </c>
      <c r="P116" t="s">
        <v>15</v>
      </c>
      <c r="T116">
        <f>K116-'2022a_250206_1736'!K110</f>
        <v>12</v>
      </c>
      <c r="U116" s="5">
        <f>T116/'2022a_250206_1736'!K110</f>
        <v>1.1594202898550725E-2</v>
      </c>
      <c r="V116" s="4">
        <f>L116-'2022a_250206_1736'!L110</f>
        <v>0.15341079999999963</v>
      </c>
      <c r="W116" s="5">
        <f>V116/'2022a_250206_1736'!L110</f>
        <v>2.7286900132885251E-2</v>
      </c>
    </row>
    <row r="117" spans="1:23" x14ac:dyDescent="0.25">
      <c r="A117">
        <v>116</v>
      </c>
      <c r="B117">
        <v>127</v>
      </c>
      <c r="C117" t="s">
        <v>16</v>
      </c>
      <c r="D117" t="s">
        <v>35</v>
      </c>
      <c r="E117" t="s">
        <v>49</v>
      </c>
      <c r="F117" t="s">
        <v>28</v>
      </c>
      <c r="G117" t="s">
        <v>27</v>
      </c>
      <c r="H117" t="s">
        <v>21</v>
      </c>
      <c r="I117" t="s">
        <v>24</v>
      </c>
      <c r="J117" t="s">
        <v>23</v>
      </c>
      <c r="K117">
        <v>1170</v>
      </c>
      <c r="L117" s="4">
        <v>6.4139239999999997</v>
      </c>
      <c r="M117" s="4">
        <v>74.196365408140423</v>
      </c>
      <c r="N117" s="4">
        <v>-0.33582772784436637</v>
      </c>
      <c r="O117" s="1" t="str">
        <f>HYPERLINK(".\sm_car_250407_2318\sm_car_250407_2318_116_Ca127TrN_MaLSS_ode23t_1.png","figure")</f>
        <v>figure</v>
      </c>
      <c r="P117" t="s">
        <v>15</v>
      </c>
      <c r="T117">
        <f>K117-'2022a_250206_1736'!K111</f>
        <v>-10</v>
      </c>
      <c r="U117" s="5">
        <f>T117/'2022a_250206_1736'!K111</f>
        <v>-8.4745762711864406E-3</v>
      </c>
      <c r="V117" s="4">
        <f>L117-'2022a_250206_1736'!L111</f>
        <v>-0.62748269999999984</v>
      </c>
      <c r="W117" s="5">
        <f>V117/'2022a_250206_1736'!L111</f>
        <v>-8.9113259144653567E-2</v>
      </c>
    </row>
    <row r="118" spans="1:23" x14ac:dyDescent="0.25">
      <c r="A118">
        <v>117</v>
      </c>
      <c r="B118">
        <v>140</v>
      </c>
      <c r="C118" t="s">
        <v>45</v>
      </c>
      <c r="D118" t="s">
        <v>17</v>
      </c>
      <c r="E118" t="s">
        <v>49</v>
      </c>
      <c r="F118" t="s">
        <v>19</v>
      </c>
      <c r="G118" t="s">
        <v>26</v>
      </c>
      <c r="H118" t="s">
        <v>21</v>
      </c>
      <c r="I118" t="s">
        <v>22</v>
      </c>
      <c r="J118" t="s">
        <v>23</v>
      </c>
      <c r="K118">
        <v>672</v>
      </c>
      <c r="L118" s="4">
        <v>37.343458300000002</v>
      </c>
      <c r="M118" s="4">
        <v>404.93422845700292</v>
      </c>
      <c r="N118" s="4">
        <v>1.6175735739083137</v>
      </c>
      <c r="O118" s="1" t="str">
        <f>HYPERLINK(".\sm_car_250407_2318\sm_car_250407_2318_117_Ca140TrN_MaWOT_ode23t_1.png","figure")</f>
        <v>figure</v>
      </c>
      <c r="P118" t="s">
        <v>15</v>
      </c>
      <c r="T118">
        <f>K118-'2022a_250206_1736'!K112</f>
        <v>10</v>
      </c>
      <c r="U118" s="5">
        <f>T118/'2022a_250206_1736'!K112</f>
        <v>1.5105740181268883E-2</v>
      </c>
      <c r="V118" s="4">
        <f>L118-'2022a_250206_1736'!L112</f>
        <v>1.607056</v>
      </c>
      <c r="W118" s="5">
        <f>V118/'2022a_250206_1736'!L112</f>
        <v>4.4969719853416808E-2</v>
      </c>
    </row>
    <row r="119" spans="1:23" x14ac:dyDescent="0.25">
      <c r="A119">
        <v>118</v>
      </c>
      <c r="B119">
        <v>140</v>
      </c>
      <c r="C119" t="s">
        <v>45</v>
      </c>
      <c r="D119" t="s">
        <v>17</v>
      </c>
      <c r="E119" t="s">
        <v>49</v>
      </c>
      <c r="F119" t="s">
        <v>19</v>
      </c>
      <c r="G119" t="s">
        <v>26</v>
      </c>
      <c r="H119" t="s">
        <v>21</v>
      </c>
      <c r="I119" t="s">
        <v>24</v>
      </c>
      <c r="J119" t="s">
        <v>23</v>
      </c>
      <c r="K119">
        <v>651</v>
      </c>
      <c r="L119" s="4">
        <v>23.544398900000001</v>
      </c>
      <c r="M119" s="4">
        <v>154.34625986762211</v>
      </c>
      <c r="N119" s="4">
        <v>-0.58820110813416593</v>
      </c>
      <c r="O119" s="1" t="str">
        <f>HYPERLINK(".\sm_car_250407_2318\sm_car_250407_2318_118_Ca140TrN_MaLSS_ode23t_1.png","figure")</f>
        <v>figure</v>
      </c>
      <c r="P119" t="s">
        <v>15</v>
      </c>
      <c r="T119">
        <f>K119-'2022a_250206_1736'!K113</f>
        <v>5</v>
      </c>
      <c r="U119" s="5">
        <f>T119/'2022a_250206_1736'!K113</f>
        <v>7.7399380804953561E-3</v>
      </c>
      <c r="V119" s="4">
        <f>L119-'2022a_250206_1736'!L113</f>
        <v>1.1101826999999993</v>
      </c>
      <c r="W119" s="5">
        <f>V119/'2022a_250206_1736'!L113</f>
        <v>4.9486137162215602E-2</v>
      </c>
    </row>
    <row r="120" spans="1:23" x14ac:dyDescent="0.25">
      <c r="A120">
        <v>119</v>
      </c>
      <c r="B120">
        <v>142</v>
      </c>
      <c r="C120" t="s">
        <v>45</v>
      </c>
      <c r="D120" t="s">
        <v>17</v>
      </c>
      <c r="E120" t="s">
        <v>49</v>
      </c>
      <c r="F120" t="s">
        <v>28</v>
      </c>
      <c r="G120" t="s">
        <v>26</v>
      </c>
      <c r="H120" t="s">
        <v>21</v>
      </c>
      <c r="I120" t="s">
        <v>22</v>
      </c>
      <c r="J120" t="s">
        <v>23</v>
      </c>
      <c r="K120">
        <v>1243</v>
      </c>
      <c r="L120" s="4">
        <v>37.1765349</v>
      </c>
      <c r="M120" s="4">
        <v>405.19843924440863</v>
      </c>
      <c r="N120" s="4">
        <v>1.6179317175479393</v>
      </c>
      <c r="O120" s="1" t="str">
        <f>HYPERLINK(".\sm_car_250407_2318\sm_car_250407_2318_119_Ca142TrN_MaWOT_ode23t_1.png","figure")</f>
        <v>figure</v>
      </c>
      <c r="P120" t="s">
        <v>15</v>
      </c>
      <c r="T120">
        <f>K120-'2022a_250206_1736'!K114</f>
        <v>78</v>
      </c>
      <c r="U120" s="5">
        <f>T120/'2022a_250206_1736'!K114</f>
        <v>6.6952789699570817E-2</v>
      </c>
      <c r="V120" s="4">
        <f>L120-'2022a_250206_1736'!L114</f>
        <v>6.6309110999999987</v>
      </c>
      <c r="W120" s="5">
        <f>V120/'2022a_250206_1736'!L114</f>
        <v>0.21708219623918756</v>
      </c>
    </row>
    <row r="121" spans="1:23" x14ac:dyDescent="0.25">
      <c r="A121">
        <v>120</v>
      </c>
      <c r="B121">
        <v>142</v>
      </c>
      <c r="C121" t="s">
        <v>45</v>
      </c>
      <c r="D121" t="s">
        <v>17</v>
      </c>
      <c r="E121" t="s">
        <v>49</v>
      </c>
      <c r="F121" t="s">
        <v>28</v>
      </c>
      <c r="G121" t="s">
        <v>26</v>
      </c>
      <c r="H121" t="s">
        <v>21</v>
      </c>
      <c r="I121" t="s">
        <v>24</v>
      </c>
      <c r="J121" t="s">
        <v>23</v>
      </c>
      <c r="K121">
        <v>1217</v>
      </c>
      <c r="L121" s="4">
        <v>23.977519999999998</v>
      </c>
      <c r="M121" s="4">
        <v>154.45698569797233</v>
      </c>
      <c r="N121" s="4">
        <v>-0.59079554966138748</v>
      </c>
      <c r="O121" s="1" t="str">
        <f>HYPERLINK(".\sm_car_250407_2318\sm_car_250407_2318_120_Ca142TrN_MaLSS_ode23t_1.png","figure")</f>
        <v>figure</v>
      </c>
      <c r="P121" t="s">
        <v>15</v>
      </c>
      <c r="T121">
        <f>K121-'2022a_250206_1736'!K115</f>
        <v>31</v>
      </c>
      <c r="U121" s="5">
        <f>T121/'2022a_250206_1736'!K115</f>
        <v>2.6138279932546374E-2</v>
      </c>
      <c r="V121" s="4">
        <f>L121-'2022a_250206_1736'!L115</f>
        <v>1.8106136999999976</v>
      </c>
      <c r="W121" s="5">
        <f>V121/'2022a_250206_1736'!L115</f>
        <v>8.1680938038701301E-2</v>
      </c>
    </row>
    <row r="122" spans="1:23" x14ac:dyDescent="0.25">
      <c r="A122">
        <v>121</v>
      </c>
      <c r="B122">
        <v>145</v>
      </c>
      <c r="C122" t="s">
        <v>46</v>
      </c>
      <c r="D122" t="s">
        <v>17</v>
      </c>
      <c r="E122" t="s">
        <v>50</v>
      </c>
      <c r="F122" t="s">
        <v>19</v>
      </c>
      <c r="G122" t="s">
        <v>26</v>
      </c>
      <c r="H122" t="s">
        <v>21</v>
      </c>
      <c r="I122" t="s">
        <v>22</v>
      </c>
      <c r="J122" t="s">
        <v>23</v>
      </c>
      <c r="K122">
        <v>355</v>
      </c>
      <c r="L122" s="4">
        <v>14.6143565</v>
      </c>
      <c r="M122" s="4">
        <v>95.813270481123411</v>
      </c>
      <c r="N122" s="4">
        <v>-3.2905329643915557E-2</v>
      </c>
      <c r="O122" s="1" t="str">
        <f>HYPERLINK(".\sm_car_250407_2318\sm_car_250407_2318_121_Ca145TrN_MaWOT_ode23t_1.png","figure")</f>
        <v>figure</v>
      </c>
      <c r="P122" t="s">
        <v>15</v>
      </c>
      <c r="T122">
        <f>K122-'2022a_250206_1736'!K116</f>
        <v>5</v>
      </c>
      <c r="U122" s="5">
        <f>T122/'2022a_250206_1736'!K116</f>
        <v>1.4285714285714285E-2</v>
      </c>
      <c r="V122" s="4">
        <f>L122-'2022a_250206_1736'!L116</f>
        <v>0.9567344999999996</v>
      </c>
      <c r="W122" s="5">
        <f>V122/'2022a_250206_1736'!L116</f>
        <v>7.0051323722387371E-2</v>
      </c>
    </row>
    <row r="123" spans="1:23" x14ac:dyDescent="0.25">
      <c r="A123">
        <v>122</v>
      </c>
      <c r="B123">
        <v>145</v>
      </c>
      <c r="C123" t="s">
        <v>46</v>
      </c>
      <c r="D123" t="s">
        <v>17</v>
      </c>
      <c r="E123" t="s">
        <v>50</v>
      </c>
      <c r="F123" t="s">
        <v>19</v>
      </c>
      <c r="G123" t="s">
        <v>26</v>
      </c>
      <c r="H123" t="s">
        <v>21</v>
      </c>
      <c r="I123" t="s">
        <v>24</v>
      </c>
      <c r="J123" t="s">
        <v>23</v>
      </c>
      <c r="K123">
        <v>440</v>
      </c>
      <c r="L123" s="4">
        <v>17.160688499999999</v>
      </c>
      <c r="M123" s="4">
        <v>25.011446616700042</v>
      </c>
      <c r="N123" s="4">
        <v>-4.935471578370388E-2</v>
      </c>
      <c r="O123" s="1" t="str">
        <f>HYPERLINK(".\sm_car_250407_2318\sm_car_250407_2318_122_Ca145TrN_MaLSS_ode23t_1.png","figure")</f>
        <v>figure</v>
      </c>
      <c r="P123" t="s">
        <v>15</v>
      </c>
      <c r="T123">
        <f>K123-'2022a_250206_1736'!K117</f>
        <v>-25</v>
      </c>
      <c r="U123" s="5">
        <f>T123/'2022a_250206_1736'!K117</f>
        <v>-5.3763440860215055E-2</v>
      </c>
      <c r="V123" s="4">
        <f>L123-'2022a_250206_1736'!L117</f>
        <v>1.025094499999998</v>
      </c>
      <c r="W123" s="5">
        <f>V123/'2022a_250206_1736'!L117</f>
        <v>6.3530013211784947E-2</v>
      </c>
    </row>
    <row r="124" spans="1:23" x14ac:dyDescent="0.25">
      <c r="A124">
        <v>123</v>
      </c>
      <c r="B124">
        <v>146</v>
      </c>
      <c r="C124" t="s">
        <v>46</v>
      </c>
      <c r="D124" t="s">
        <v>17</v>
      </c>
      <c r="E124" t="s">
        <v>49</v>
      </c>
      <c r="F124" t="s">
        <v>19</v>
      </c>
      <c r="G124" t="s">
        <v>26</v>
      </c>
      <c r="H124" t="s">
        <v>21</v>
      </c>
      <c r="I124" t="s">
        <v>22</v>
      </c>
      <c r="J124" t="s">
        <v>23</v>
      </c>
      <c r="K124">
        <v>331</v>
      </c>
      <c r="L124" s="4">
        <v>10.3679676</v>
      </c>
      <c r="M124" s="4">
        <v>113.97863618706485</v>
      </c>
      <c r="N124" s="4">
        <v>0.53219527101974229</v>
      </c>
      <c r="O124" s="1" t="str">
        <f>HYPERLINK(".\sm_car_250407_2318\sm_car_250407_2318_123_Ca146TrN_MaWOT_ode23t_1.png","figure")</f>
        <v>figure</v>
      </c>
      <c r="P124" t="s">
        <v>15</v>
      </c>
      <c r="T124">
        <f>K124-'2022a_250206_1736'!K118</f>
        <v>-15</v>
      </c>
      <c r="U124" s="5">
        <f>T124/'2022a_250206_1736'!K118</f>
        <v>-4.3352601156069363E-2</v>
      </c>
      <c r="V124" s="4">
        <f>L124-'2022a_250206_1736'!L118</f>
        <v>-0.76937230000000056</v>
      </c>
      <c r="W124" s="5">
        <f>V124/'2022a_250206_1736'!L118</f>
        <v>-6.9080436343691057E-2</v>
      </c>
    </row>
    <row r="125" spans="1:23" x14ac:dyDescent="0.25">
      <c r="A125">
        <v>124</v>
      </c>
      <c r="B125">
        <v>146</v>
      </c>
      <c r="C125" t="s">
        <v>46</v>
      </c>
      <c r="D125" t="s">
        <v>17</v>
      </c>
      <c r="E125" t="s">
        <v>49</v>
      </c>
      <c r="F125" t="s">
        <v>19</v>
      </c>
      <c r="G125" t="s">
        <v>26</v>
      </c>
      <c r="H125" t="s">
        <v>21</v>
      </c>
      <c r="I125" t="s">
        <v>24</v>
      </c>
      <c r="J125" t="s">
        <v>23</v>
      </c>
      <c r="K125">
        <v>465</v>
      </c>
      <c r="L125" s="4">
        <v>12.712377800000001</v>
      </c>
      <c r="M125" s="4">
        <v>35.597980021977932</v>
      </c>
      <c r="N125" s="4">
        <v>-2.8393483347908331E-2</v>
      </c>
      <c r="O125" s="1" t="str">
        <f>HYPERLINK(".\sm_car_250407_2318\sm_car_250407_2318_124_Ca146TrN_MaLSS_ode23t_1.png","figure")</f>
        <v>figure</v>
      </c>
      <c r="P125" t="s">
        <v>15</v>
      </c>
      <c r="T125">
        <f>K125-'2022a_250206_1736'!K119</f>
        <v>-16</v>
      </c>
      <c r="U125" s="5">
        <f>T125/'2022a_250206_1736'!K119</f>
        <v>-3.3264033264033266E-2</v>
      </c>
      <c r="V125" s="4">
        <f>L125-'2022a_250206_1736'!L119</f>
        <v>-0.52646149999999992</v>
      </c>
      <c r="W125" s="5">
        <f>V125/'2022a_250206_1736'!L119</f>
        <v>-3.9766439343364483E-2</v>
      </c>
    </row>
    <row r="126" spans="1:23" x14ac:dyDescent="0.25">
      <c r="A126">
        <v>125</v>
      </c>
      <c r="B126">
        <v>146</v>
      </c>
      <c r="C126" t="s">
        <v>46</v>
      </c>
      <c r="D126" t="s">
        <v>17</v>
      </c>
      <c r="E126" t="s">
        <v>49</v>
      </c>
      <c r="F126" t="s">
        <v>19</v>
      </c>
      <c r="G126" t="s">
        <v>26</v>
      </c>
      <c r="H126" t="s">
        <v>21</v>
      </c>
      <c r="I126" t="s">
        <v>22</v>
      </c>
      <c r="J126" t="s">
        <v>23</v>
      </c>
      <c r="K126">
        <v>331</v>
      </c>
      <c r="L126" s="4">
        <v>10.3361538</v>
      </c>
      <c r="M126" s="4">
        <v>113.97863618706485</v>
      </c>
      <c r="N126" s="4">
        <v>0.53219527101974229</v>
      </c>
      <c r="O126" s="1" t="str">
        <f>HYPERLINK(".\sm_car_250407_2318\sm_car_250407_2318_125_Ca146TrN_MaWOT_ode23t_1.png","figure")</f>
        <v>figure</v>
      </c>
      <c r="P126" t="s">
        <v>15</v>
      </c>
      <c r="T126">
        <f>K126-'2022a_250206_1736'!K120</f>
        <v>-15</v>
      </c>
      <c r="U126" s="5">
        <f>T126/'2022a_250206_1736'!K120</f>
        <v>-4.3352601156069363E-2</v>
      </c>
      <c r="V126" s="4">
        <f>L126-'2022a_250206_1736'!L120</f>
        <v>-0.44239999999999924</v>
      </c>
      <c r="W126" s="5">
        <f>V126/'2022a_250206_1736'!L120</f>
        <v>-4.1044467394132159E-2</v>
      </c>
    </row>
    <row r="127" spans="1:23" x14ac:dyDescent="0.25">
      <c r="A127">
        <v>126</v>
      </c>
      <c r="B127">
        <v>146</v>
      </c>
      <c r="C127" t="s">
        <v>46</v>
      </c>
      <c r="D127" t="s">
        <v>17</v>
      </c>
      <c r="E127" t="s">
        <v>49</v>
      </c>
      <c r="F127" t="s">
        <v>19</v>
      </c>
      <c r="G127" t="s">
        <v>26</v>
      </c>
      <c r="H127" t="s">
        <v>21</v>
      </c>
      <c r="I127" t="s">
        <v>24</v>
      </c>
      <c r="J127" t="s">
        <v>23</v>
      </c>
      <c r="K127">
        <v>465</v>
      </c>
      <c r="L127" s="4">
        <v>12.8573922</v>
      </c>
      <c r="M127" s="4">
        <v>35.597980021977932</v>
      </c>
      <c r="N127" s="4">
        <v>-2.8393483347908331E-2</v>
      </c>
      <c r="O127" s="1" t="str">
        <f>HYPERLINK(".\sm_car_250407_2318\sm_car_250407_2318_126_Ca146TrN_MaLSS_ode23t_1.png","figure")</f>
        <v>figure</v>
      </c>
      <c r="P127" t="s">
        <v>15</v>
      </c>
      <c r="T127">
        <f>K127-'2022a_250206_1736'!K121</f>
        <v>-16</v>
      </c>
      <c r="U127" s="5">
        <f>T127/'2022a_250206_1736'!K121</f>
        <v>-3.3264033264033266E-2</v>
      </c>
      <c r="V127" s="4">
        <f>L127-'2022a_250206_1736'!L121</f>
        <v>-0.78940650000000012</v>
      </c>
      <c r="W127" s="5">
        <f>V127/'2022a_250206_1736'!L121</f>
        <v>-5.7845544391301101E-2</v>
      </c>
    </row>
    <row r="128" spans="1:23" x14ac:dyDescent="0.25">
      <c r="A128">
        <v>127</v>
      </c>
      <c r="B128">
        <v>161</v>
      </c>
      <c r="C128" t="s">
        <v>45</v>
      </c>
      <c r="D128" t="s">
        <v>51</v>
      </c>
      <c r="E128" t="s">
        <v>49</v>
      </c>
      <c r="F128" t="s">
        <v>19</v>
      </c>
      <c r="G128" t="s">
        <v>26</v>
      </c>
      <c r="H128" t="s">
        <v>21</v>
      </c>
      <c r="I128" t="s">
        <v>22</v>
      </c>
      <c r="J128" t="s">
        <v>23</v>
      </c>
      <c r="K128">
        <v>586</v>
      </c>
      <c r="L128" s="4">
        <v>28.8976258</v>
      </c>
      <c r="M128" s="4">
        <v>179.77368251100341</v>
      </c>
      <c r="N128" s="4">
        <v>0.28585834454907955</v>
      </c>
      <c r="O128" s="1" t="str">
        <f>HYPERLINK(".\sm_car_250407_2318\sm_car_250407_2318_127_Ca161TrN_MaWOT_ode23t_1.png","figure")</f>
        <v>figure</v>
      </c>
      <c r="P128" t="s">
        <v>15</v>
      </c>
      <c r="T128">
        <f>K128-'2022a_250206_1736'!K122</f>
        <v>45</v>
      </c>
      <c r="U128" s="5">
        <f>T128/'2022a_250206_1736'!K122</f>
        <v>8.3179297597042512E-2</v>
      </c>
      <c r="V128" s="4">
        <f>L128-'2022a_250206_1736'!L122</f>
        <v>3.1145835999999996</v>
      </c>
      <c r="W128" s="5">
        <f>V128/'2022a_250206_1736'!L122</f>
        <v>0.12079969368393616</v>
      </c>
    </row>
    <row r="129" spans="1:23" x14ac:dyDescent="0.25">
      <c r="A129">
        <v>128</v>
      </c>
      <c r="B129">
        <v>161</v>
      </c>
      <c r="C129" t="s">
        <v>45</v>
      </c>
      <c r="D129" t="s">
        <v>51</v>
      </c>
      <c r="E129" t="s">
        <v>49</v>
      </c>
      <c r="F129" t="s">
        <v>19</v>
      </c>
      <c r="G129" t="s">
        <v>26</v>
      </c>
      <c r="H129" t="s">
        <v>21</v>
      </c>
      <c r="I129" t="s">
        <v>24</v>
      </c>
      <c r="J129" t="s">
        <v>23</v>
      </c>
      <c r="K129">
        <v>695</v>
      </c>
      <c r="L129" s="4">
        <v>30.871386699999999</v>
      </c>
      <c r="M129" s="4">
        <v>154.15270280725747</v>
      </c>
      <c r="N129" s="4">
        <v>-0.57873351397133865</v>
      </c>
      <c r="O129" s="1" t="str">
        <f>HYPERLINK(".\sm_car_250407_2318\sm_car_250407_2318_128_Ca161TrN_MaLSS_ode23t_1.png","figure")</f>
        <v>figure</v>
      </c>
      <c r="P129" t="s">
        <v>15</v>
      </c>
      <c r="T129">
        <f>K129-'2022a_250206_1736'!K123</f>
        <v>-6</v>
      </c>
      <c r="U129" s="5">
        <f>T129/'2022a_250206_1736'!K123</f>
        <v>-8.5592011412268191E-3</v>
      </c>
      <c r="V129" s="4">
        <f>L129-'2022a_250206_1736'!L123</f>
        <v>0.47388889999999861</v>
      </c>
      <c r="W129" s="5">
        <f>V129/'2022a_250206_1736'!L123</f>
        <v>1.5589733836579096E-2</v>
      </c>
    </row>
    <row r="130" spans="1:23" x14ac:dyDescent="0.25">
      <c r="A130">
        <v>129</v>
      </c>
      <c r="B130">
        <v>163</v>
      </c>
      <c r="C130" t="s">
        <v>45</v>
      </c>
      <c r="D130" t="s">
        <v>52</v>
      </c>
      <c r="E130" t="s">
        <v>49</v>
      </c>
      <c r="F130" t="s">
        <v>19</v>
      </c>
      <c r="G130" t="s">
        <v>26</v>
      </c>
      <c r="H130" t="s">
        <v>21</v>
      </c>
      <c r="I130" t="s">
        <v>22</v>
      </c>
      <c r="J130" t="s">
        <v>23</v>
      </c>
      <c r="K130">
        <v>662</v>
      </c>
      <c r="L130" s="4">
        <v>35.299581500000002</v>
      </c>
      <c r="M130" s="4">
        <v>277.43997404278235</v>
      </c>
      <c r="N130" s="4">
        <v>0.71067065568857168</v>
      </c>
      <c r="O130" s="1" t="str">
        <f>HYPERLINK(".\sm_car_250407_2318\sm_car_250407_2318_129_Ca163TrN_MaWOT_ode23t_1.png","figure")</f>
        <v>figure</v>
      </c>
      <c r="P130" t="s">
        <v>15</v>
      </c>
      <c r="T130">
        <f>K130-'2022a_250206_1736'!K124</f>
        <v>45</v>
      </c>
      <c r="U130" s="5">
        <f>T130/'2022a_250206_1736'!K124</f>
        <v>7.2933549432739053E-2</v>
      </c>
      <c r="V130" s="4">
        <f>L130-'2022a_250206_1736'!L124</f>
        <v>4.6702542000000022</v>
      </c>
      <c r="W130" s="5">
        <f>V130/'2022a_250206_1736'!L124</f>
        <v>0.15247655145204583</v>
      </c>
    </row>
    <row r="131" spans="1:23" x14ac:dyDescent="0.25">
      <c r="A131">
        <v>130</v>
      </c>
      <c r="B131">
        <v>163</v>
      </c>
      <c r="C131" t="s">
        <v>45</v>
      </c>
      <c r="D131" t="s">
        <v>52</v>
      </c>
      <c r="E131" t="s">
        <v>49</v>
      </c>
      <c r="F131" t="s">
        <v>19</v>
      </c>
      <c r="G131" t="s">
        <v>26</v>
      </c>
      <c r="H131" t="s">
        <v>21</v>
      </c>
      <c r="I131" t="s">
        <v>24</v>
      </c>
      <c r="J131" t="s">
        <v>23</v>
      </c>
      <c r="K131">
        <v>803</v>
      </c>
      <c r="L131" s="4">
        <v>36.466972499999997</v>
      </c>
      <c r="M131" s="4">
        <v>256.38304883804221</v>
      </c>
      <c r="N131" s="4">
        <v>-0.85197310411527571</v>
      </c>
      <c r="O131" s="1" t="str">
        <f>HYPERLINK(".\sm_car_250407_2318\sm_car_250407_2318_130_Ca163TrN_MaLSS_ode23t_1.png","figure")</f>
        <v>figure</v>
      </c>
      <c r="P131" t="s">
        <v>15</v>
      </c>
      <c r="T131">
        <f>K131-'2022a_250206_1736'!K125</f>
        <v>-4</v>
      </c>
      <c r="U131" s="5">
        <f>T131/'2022a_250206_1736'!K125</f>
        <v>-4.9566294919454771E-3</v>
      </c>
      <c r="V131" s="4">
        <f>L131-'2022a_250206_1736'!L125</f>
        <v>-0.90463710000000219</v>
      </c>
      <c r="W131" s="5">
        <f>V131/'2022a_250206_1736'!L125</f>
        <v>-2.4206532972023829E-2</v>
      </c>
    </row>
    <row r="132" spans="1:23" x14ac:dyDescent="0.25">
      <c r="A132">
        <v>131</v>
      </c>
      <c r="B132">
        <v>184</v>
      </c>
      <c r="C132" t="s">
        <v>105</v>
      </c>
      <c r="D132" t="s">
        <v>120</v>
      </c>
      <c r="E132" t="s">
        <v>49</v>
      </c>
      <c r="F132" t="s">
        <v>19</v>
      </c>
      <c r="G132" t="s">
        <v>20</v>
      </c>
      <c r="H132" t="s">
        <v>21</v>
      </c>
      <c r="I132" t="s">
        <v>22</v>
      </c>
      <c r="J132" t="s">
        <v>23</v>
      </c>
      <c r="K132">
        <v>327</v>
      </c>
      <c r="L132" s="4">
        <v>16.225054100000001</v>
      </c>
      <c r="M132" s="4">
        <v>294.65354836640137</v>
      </c>
      <c r="N132" s="4">
        <v>-1.4165300479544265E-3</v>
      </c>
      <c r="O132" s="1" t="str">
        <f>HYPERLINK(".\sm_car_250407_2318\sm_car_250407_2318_131_Ca184TrN_MaWOT_ode23t_1.png","figure")</f>
        <v>figure</v>
      </c>
      <c r="P132" t="s">
        <v>15</v>
      </c>
      <c r="T132">
        <f>K132-'2022a_250206_1736'!K126</f>
        <v>15</v>
      </c>
      <c r="U132" s="5">
        <f>T132/'2022a_250206_1736'!K126</f>
        <v>4.807692307692308E-2</v>
      </c>
      <c r="V132" s="4">
        <f>L132-'2022a_250206_1736'!L126</f>
        <v>2.3143914000000017</v>
      </c>
      <c r="W132" s="5">
        <f>V132/'2022a_250206_1736'!L126</f>
        <v>0.16637535176523272</v>
      </c>
    </row>
    <row r="133" spans="1:23" x14ac:dyDescent="0.25">
      <c r="A133">
        <v>132</v>
      </c>
      <c r="B133">
        <v>184</v>
      </c>
      <c r="C133" t="s">
        <v>105</v>
      </c>
      <c r="D133" t="s">
        <v>120</v>
      </c>
      <c r="E133" t="s">
        <v>49</v>
      </c>
      <c r="F133" t="s">
        <v>19</v>
      </c>
      <c r="G133" t="s">
        <v>20</v>
      </c>
      <c r="H133" t="s">
        <v>21</v>
      </c>
      <c r="I133" t="s">
        <v>24</v>
      </c>
      <c r="J133" t="s">
        <v>23</v>
      </c>
      <c r="K133">
        <v>462</v>
      </c>
      <c r="L133" s="4">
        <v>11.562835</v>
      </c>
      <c r="M133" s="4">
        <v>103.56675900720097</v>
      </c>
      <c r="N133" s="4">
        <v>-0.2021218602270663</v>
      </c>
      <c r="O133" s="1" t="str">
        <f>HYPERLINK(".\sm_car_250407_2318\sm_car_250407_2318_132_Ca184TrN_MaLSS_ode23t_1.png","figure")</f>
        <v>figure</v>
      </c>
      <c r="P133" t="s">
        <v>15</v>
      </c>
      <c r="T133">
        <f>K133-'2022a_250206_1736'!K127</f>
        <v>-21</v>
      </c>
      <c r="U133" s="5">
        <f>T133/'2022a_250206_1736'!K127</f>
        <v>-4.3478260869565216E-2</v>
      </c>
      <c r="V133" s="4">
        <f>L133-'2022a_250206_1736'!L127</f>
        <v>-0.58560510000000043</v>
      </c>
      <c r="W133" s="5">
        <f>V133/'2022a_250206_1736'!L127</f>
        <v>-4.8204139393995156E-2</v>
      </c>
    </row>
    <row r="134" spans="1:23" x14ac:dyDescent="0.25">
      <c r="A134">
        <v>133</v>
      </c>
      <c r="B134">
        <v>217</v>
      </c>
      <c r="C134" t="s">
        <v>45</v>
      </c>
      <c r="D134" t="s">
        <v>17</v>
      </c>
      <c r="E134" t="s">
        <v>107</v>
      </c>
      <c r="F134" t="s">
        <v>119</v>
      </c>
      <c r="G134" t="s">
        <v>26</v>
      </c>
      <c r="H134" t="s">
        <v>21</v>
      </c>
      <c r="I134" t="s">
        <v>22</v>
      </c>
      <c r="J134" t="s">
        <v>23</v>
      </c>
      <c r="K134">
        <v>726</v>
      </c>
      <c r="L134" s="4">
        <v>32.301100900000002</v>
      </c>
      <c r="M134" s="4">
        <v>278.48962446443369</v>
      </c>
      <c r="N134" s="4">
        <v>0.7223043843761302</v>
      </c>
      <c r="O134" s="1" t="str">
        <f>HYPERLINK(".\sm_car_250407_2318\sm_car_250407_2318_133_Ca217TrN_MaWOT_ode23t_1.png","figure")</f>
        <v>figure</v>
      </c>
      <c r="P134" t="s">
        <v>15</v>
      </c>
      <c r="T134">
        <f>K134-'2022a_250206_1736'!K128</f>
        <v>-2</v>
      </c>
      <c r="U134" s="5">
        <f>T134/'2022a_250206_1736'!K128</f>
        <v>-2.7472527472527475E-3</v>
      </c>
      <c r="V134" s="4">
        <f>L134-'2022a_250206_1736'!L128</f>
        <v>-3.2054399999999816E-2</v>
      </c>
      <c r="W134" s="5">
        <f>V134/'2022a_250206_1736'!L128</f>
        <v>-9.913786545911222E-4</v>
      </c>
    </row>
    <row r="135" spans="1:23" x14ac:dyDescent="0.25">
      <c r="A135">
        <v>134</v>
      </c>
      <c r="B135">
        <v>217</v>
      </c>
      <c r="C135" t="s">
        <v>45</v>
      </c>
      <c r="D135" t="s">
        <v>17</v>
      </c>
      <c r="E135" t="s">
        <v>107</v>
      </c>
      <c r="F135" t="s">
        <v>119</v>
      </c>
      <c r="G135" t="s">
        <v>26</v>
      </c>
      <c r="H135" t="s">
        <v>21</v>
      </c>
      <c r="I135" t="s">
        <v>24</v>
      </c>
      <c r="J135" t="s">
        <v>23</v>
      </c>
      <c r="K135">
        <v>860</v>
      </c>
      <c r="L135" s="4">
        <v>35.383209100000002</v>
      </c>
      <c r="M135" s="4">
        <v>110.09845937806327</v>
      </c>
      <c r="N135" s="4">
        <v>-0.35152910314950886</v>
      </c>
      <c r="O135" s="1" t="str">
        <f>HYPERLINK(".\sm_car_250407_2318\sm_car_250407_2318_134_Ca217TrN_MaLSS_ode23t_1.png","figure")</f>
        <v>figure</v>
      </c>
      <c r="P135" t="s">
        <v>15</v>
      </c>
      <c r="T135">
        <f>K135-'2022a_250206_1736'!K129</f>
        <v>6</v>
      </c>
      <c r="U135" s="5">
        <f>T135/'2022a_250206_1736'!K129</f>
        <v>7.0257611241217799E-3</v>
      </c>
      <c r="V135" s="4">
        <f>L135-'2022a_250206_1736'!L129</f>
        <v>1.7451482000000027</v>
      </c>
      <c r="W135" s="5">
        <f>V135/'2022a_250206_1736'!L129</f>
        <v>5.1880166493188162E-2</v>
      </c>
    </row>
    <row r="136" spans="1:23" x14ac:dyDescent="0.25">
      <c r="A136">
        <v>135</v>
      </c>
      <c r="B136">
        <v>12</v>
      </c>
      <c r="C136" t="s">
        <v>16</v>
      </c>
      <c r="D136" t="s">
        <v>17</v>
      </c>
      <c r="E136" t="s">
        <v>49</v>
      </c>
      <c r="F136" t="s">
        <v>28</v>
      </c>
      <c r="G136" t="s">
        <v>20</v>
      </c>
      <c r="H136" t="s">
        <v>21</v>
      </c>
      <c r="I136" t="s">
        <v>53</v>
      </c>
      <c r="J136" t="s">
        <v>23</v>
      </c>
      <c r="K136">
        <v>785</v>
      </c>
      <c r="L136" s="4">
        <v>10.8170225</v>
      </c>
      <c r="M136" s="4">
        <v>253.81758089381447</v>
      </c>
      <c r="N136" s="4">
        <v>3.8457272094039041E-3</v>
      </c>
      <c r="O136" s="1" t="str">
        <f>HYPERLINK(".\sm_car_250407_2318\sm_car_250407_2318_135_Ca012TrN_MaDLC_ode23t_1.png","figure")</f>
        <v>figure</v>
      </c>
      <c r="P136" t="s">
        <v>15</v>
      </c>
      <c r="T136">
        <f>K136-'2022a_250206_1736'!K130</f>
        <v>-2</v>
      </c>
      <c r="U136" s="5">
        <f>T136/'2022a_250206_1736'!K130</f>
        <v>-2.5412960609911056E-3</v>
      </c>
      <c r="V136" s="4">
        <f>L136-'2022a_250206_1736'!L130</f>
        <v>-2.9251564999999999</v>
      </c>
      <c r="W136" s="5">
        <f>V136/'2022a_250206_1736'!L130</f>
        <v>-0.21285972915940041</v>
      </c>
    </row>
    <row r="137" spans="1:23" x14ac:dyDescent="0.25">
      <c r="A137">
        <v>136</v>
      </c>
      <c r="B137">
        <v>12</v>
      </c>
      <c r="C137" t="s">
        <v>16</v>
      </c>
      <c r="D137" t="s">
        <v>17</v>
      </c>
      <c r="E137" t="s">
        <v>49</v>
      </c>
      <c r="F137" t="s">
        <v>28</v>
      </c>
      <c r="G137" t="s">
        <v>20</v>
      </c>
      <c r="H137" t="s">
        <v>21</v>
      </c>
      <c r="I137" t="s">
        <v>54</v>
      </c>
      <c r="J137" t="s">
        <v>23</v>
      </c>
      <c r="K137">
        <v>935</v>
      </c>
      <c r="L137" s="4">
        <v>14.9348381</v>
      </c>
      <c r="M137" s="4">
        <v>74.817652203823968</v>
      </c>
      <c r="N137" s="4">
        <v>0.72079021945137101</v>
      </c>
      <c r="O137" s="1" t="str">
        <f>HYPERLINK(".\sm_car_250407_2318\sm_car_250407_2318_136_Ca012TrN_MaIPA_ode23t_1.png","figure")</f>
        <v>figure</v>
      </c>
      <c r="P137" t="s">
        <v>15</v>
      </c>
      <c r="T137">
        <f>K137-'2022a_250206_1736'!K131</f>
        <v>34</v>
      </c>
      <c r="U137" s="5">
        <f>T137/'2022a_250206_1736'!K131</f>
        <v>3.7735849056603772E-2</v>
      </c>
      <c r="V137" s="4">
        <f>L137-'2022a_250206_1736'!L131</f>
        <v>2.2049786000000005</v>
      </c>
      <c r="W137" s="5">
        <f>V137/'2022a_250206_1736'!L131</f>
        <v>0.17321311362470265</v>
      </c>
    </row>
    <row r="138" spans="1:23" x14ac:dyDescent="0.25">
      <c r="A138">
        <v>137</v>
      </c>
      <c r="B138">
        <v>142</v>
      </c>
      <c r="C138" t="s">
        <v>45</v>
      </c>
      <c r="D138" t="s">
        <v>17</v>
      </c>
      <c r="E138" t="s">
        <v>49</v>
      </c>
      <c r="F138" t="s">
        <v>28</v>
      </c>
      <c r="G138" t="s">
        <v>26</v>
      </c>
      <c r="H138" t="s">
        <v>21</v>
      </c>
      <c r="I138" t="s">
        <v>53</v>
      </c>
      <c r="J138" t="s">
        <v>23</v>
      </c>
      <c r="K138">
        <v>791</v>
      </c>
      <c r="L138" s="4">
        <v>15.6634087</v>
      </c>
      <c r="M138" s="4">
        <v>254.29791194781035</v>
      </c>
      <c r="N138" s="4">
        <v>-5.2329897543161863E-3</v>
      </c>
      <c r="O138" s="1" t="str">
        <f>HYPERLINK(".\sm_car_250407_2318\sm_car_250407_2318_137_Ca142TrN_MaDLC_ode23t_1.png","figure")</f>
        <v>figure</v>
      </c>
      <c r="P138" t="s">
        <v>15</v>
      </c>
      <c r="T138">
        <f>K138-'2022a_250206_1736'!K132</f>
        <v>38</v>
      </c>
      <c r="U138" s="5">
        <f>T138/'2022a_250206_1736'!K132</f>
        <v>5.0464807436918988E-2</v>
      </c>
      <c r="V138" s="4">
        <f>L138-'2022a_250206_1736'!L132</f>
        <v>-1.7747684999999986</v>
      </c>
      <c r="W138" s="5">
        <f>V138/'2022a_250206_1736'!L132</f>
        <v>-0.10177488619624755</v>
      </c>
    </row>
    <row r="139" spans="1:23" x14ac:dyDescent="0.25">
      <c r="A139">
        <v>138</v>
      </c>
      <c r="B139">
        <v>142</v>
      </c>
      <c r="C139" t="s">
        <v>45</v>
      </c>
      <c r="D139" t="s">
        <v>17</v>
      </c>
      <c r="E139" t="s">
        <v>49</v>
      </c>
      <c r="F139" t="s">
        <v>28</v>
      </c>
      <c r="G139" t="s">
        <v>26</v>
      </c>
      <c r="H139" t="s">
        <v>21</v>
      </c>
      <c r="I139" t="s">
        <v>54</v>
      </c>
      <c r="J139" t="s">
        <v>23</v>
      </c>
      <c r="K139">
        <v>2595</v>
      </c>
      <c r="L139" s="4">
        <v>107.46284559999999</v>
      </c>
      <c r="M139" s="4">
        <v>83.381429214661367</v>
      </c>
      <c r="N139" s="4">
        <v>0.85549869493204855</v>
      </c>
      <c r="O139" s="1" t="str">
        <f>HYPERLINK(".\sm_car_250407_2318\sm_car_250407_2318_138_Ca142TrN_MaIPA_ode23t_1.png","figure")</f>
        <v>figure</v>
      </c>
      <c r="P139" t="s">
        <v>15</v>
      </c>
      <c r="T139">
        <f>K139-'2022a_250206_1736'!K133</f>
        <v>-1343</v>
      </c>
      <c r="U139" s="5">
        <f>T139/'2022a_250206_1736'!K133</f>
        <v>-0.34103605891315386</v>
      </c>
      <c r="V139" s="4">
        <f>L139-'2022a_250206_1736'!L133</f>
        <v>-104.17781040000001</v>
      </c>
      <c r="W139" s="5">
        <f>V139/'2022a_250206_1736'!L133</f>
        <v>-0.49223912063474234</v>
      </c>
    </row>
    <row r="140" spans="1:23" x14ac:dyDescent="0.25">
      <c r="A140">
        <v>139</v>
      </c>
      <c r="B140">
        <v>145</v>
      </c>
      <c r="C140" t="s">
        <v>46</v>
      </c>
      <c r="D140" t="s">
        <v>17</v>
      </c>
      <c r="E140" t="s">
        <v>50</v>
      </c>
      <c r="F140" t="s">
        <v>19</v>
      </c>
      <c r="G140" t="s">
        <v>26</v>
      </c>
      <c r="H140" t="s">
        <v>21</v>
      </c>
      <c r="I140" t="s">
        <v>53</v>
      </c>
      <c r="J140" t="s">
        <v>23</v>
      </c>
      <c r="K140">
        <v>487</v>
      </c>
      <c r="L140" s="4">
        <v>16.749065000000002</v>
      </c>
      <c r="M140" s="4">
        <v>254.26090186541876</v>
      </c>
      <c r="N140" s="4">
        <v>4.5453762582539969E-2</v>
      </c>
      <c r="O140" s="1" t="str">
        <f>HYPERLINK(".\sm_car_250407_2318\sm_car_250407_2318_139_Ca145TrN_MaDLC_ode23t_1.png","figure")</f>
        <v>figure</v>
      </c>
      <c r="P140" t="s">
        <v>15</v>
      </c>
      <c r="T140">
        <f>K140-'2022a_250206_1736'!K134</f>
        <v>2</v>
      </c>
      <c r="U140" s="5">
        <f>T140/'2022a_250206_1736'!K134</f>
        <v>4.1237113402061857E-3</v>
      </c>
      <c r="V140" s="4">
        <f>L140-'2022a_250206_1736'!L134</f>
        <v>-4.2092829999999992</v>
      </c>
      <c r="W140" s="5">
        <f>V140/'2022a_250206_1736'!L134</f>
        <v>-0.20084040020711552</v>
      </c>
    </row>
    <row r="141" spans="1:23" x14ac:dyDescent="0.25">
      <c r="A141">
        <v>140</v>
      </c>
      <c r="B141">
        <v>145</v>
      </c>
      <c r="C141" t="s">
        <v>46</v>
      </c>
      <c r="D141" t="s">
        <v>17</v>
      </c>
      <c r="E141" t="s">
        <v>50</v>
      </c>
      <c r="F141" t="s">
        <v>19</v>
      </c>
      <c r="G141" t="s">
        <v>26</v>
      </c>
      <c r="H141" t="s">
        <v>21</v>
      </c>
      <c r="I141" t="s">
        <v>54</v>
      </c>
      <c r="J141" t="s">
        <v>23</v>
      </c>
      <c r="K141">
        <v>302</v>
      </c>
      <c r="L141" s="4">
        <v>12.0198079</v>
      </c>
      <c r="M141" s="4">
        <v>28.089341157783146</v>
      </c>
      <c r="N141" s="4">
        <v>1.5871783853396503E-2</v>
      </c>
      <c r="O141" s="1" t="str">
        <f>HYPERLINK(".\sm_car_250407_2318\sm_car_250407_2318_140_Ca145TrN_MaIPA_ode23t_1.png","figure")</f>
        <v>figure</v>
      </c>
      <c r="P141" t="s">
        <v>15</v>
      </c>
      <c r="T141">
        <f>K141-'2022a_250206_1736'!K135</f>
        <v>-21</v>
      </c>
      <c r="U141" s="5">
        <f>T141/'2022a_250206_1736'!K135</f>
        <v>-6.5015479876160992E-2</v>
      </c>
      <c r="V141" s="4">
        <f>L141-'2022a_250206_1736'!L135</f>
        <v>-2.2547599999999335E-2</v>
      </c>
      <c r="W141" s="5">
        <f>V141/'2022a_250206_1736'!L135</f>
        <v>-1.8723579452540938E-3</v>
      </c>
    </row>
    <row r="142" spans="1:23" x14ac:dyDescent="0.25">
      <c r="A142">
        <v>141</v>
      </c>
      <c r="B142">
        <v>184</v>
      </c>
      <c r="C142" t="s">
        <v>105</v>
      </c>
      <c r="D142" t="s">
        <v>120</v>
      </c>
      <c r="E142" t="s">
        <v>49</v>
      </c>
      <c r="F142" t="s">
        <v>19</v>
      </c>
      <c r="G142" t="s">
        <v>20</v>
      </c>
      <c r="H142" t="s">
        <v>21</v>
      </c>
      <c r="I142" t="s">
        <v>53</v>
      </c>
      <c r="J142" t="s">
        <v>23</v>
      </c>
      <c r="K142">
        <v>416</v>
      </c>
      <c r="L142" s="4">
        <v>12.016264400000001</v>
      </c>
      <c r="M142" s="4">
        <v>256.01721135516379</v>
      </c>
      <c r="N142" s="4">
        <v>1.0509321697621754E-2</v>
      </c>
      <c r="O142" s="1" t="str">
        <f>HYPERLINK(".\sm_car_250407_2318\sm_car_250407_2318_141_Ca184TrN_MaDLC_ode23t_1.png","figure")</f>
        <v>figure</v>
      </c>
      <c r="P142" t="s">
        <v>15</v>
      </c>
      <c r="T142">
        <f>K142-'2022a_250206_1736'!K136</f>
        <v>-18</v>
      </c>
      <c r="U142" s="5">
        <f>T142/'2022a_250206_1736'!K136</f>
        <v>-4.1474654377880185E-2</v>
      </c>
      <c r="V142" s="4">
        <f>L142-'2022a_250206_1736'!L136</f>
        <v>-2.6912322999999994</v>
      </c>
      <c r="W142" s="5">
        <f>V142/'2022a_250206_1736'!L136</f>
        <v>-0.18298370925352642</v>
      </c>
    </row>
    <row r="143" spans="1:23" x14ac:dyDescent="0.25">
      <c r="A143">
        <v>142</v>
      </c>
      <c r="B143">
        <v>184</v>
      </c>
      <c r="C143" t="s">
        <v>105</v>
      </c>
      <c r="D143" t="s">
        <v>120</v>
      </c>
      <c r="E143" t="s">
        <v>49</v>
      </c>
      <c r="F143" t="s">
        <v>19</v>
      </c>
      <c r="G143" t="s">
        <v>20</v>
      </c>
      <c r="H143" t="s">
        <v>21</v>
      </c>
      <c r="I143" t="s">
        <v>54</v>
      </c>
      <c r="J143" t="s">
        <v>23</v>
      </c>
      <c r="K143">
        <v>320</v>
      </c>
      <c r="L143" s="4">
        <v>12.9124993</v>
      </c>
      <c r="M143" s="4">
        <v>55.270088022912738</v>
      </c>
      <c r="N143" s="4">
        <v>5.7514496162795435E-3</v>
      </c>
      <c r="O143" s="1" t="str">
        <f>HYPERLINK(".\sm_car_250407_2318\sm_car_250407_2318_142_Ca184TrN_MaIPA_ode23t_1.png","figure")</f>
        <v>figure</v>
      </c>
      <c r="P143" t="s">
        <v>15</v>
      </c>
      <c r="T143">
        <f>K143-'2022a_250206_1736'!K137</f>
        <v>-70</v>
      </c>
      <c r="U143" s="5">
        <f>T143/'2022a_250206_1736'!K137</f>
        <v>-0.17948717948717949</v>
      </c>
      <c r="V143" s="4">
        <f>L143-'2022a_250206_1736'!L137</f>
        <v>-1.7379496999999997</v>
      </c>
      <c r="W143" s="5">
        <f>V143/'2022a_250206_1736'!L137</f>
        <v>-0.11862774308145775</v>
      </c>
    </row>
    <row r="144" spans="1:23" x14ac:dyDescent="0.25">
      <c r="A144">
        <v>143</v>
      </c>
      <c r="B144">
        <v>204</v>
      </c>
      <c r="C144" t="s">
        <v>105</v>
      </c>
      <c r="D144" t="s">
        <v>106</v>
      </c>
      <c r="E144" t="s">
        <v>18</v>
      </c>
      <c r="F144" t="s">
        <v>19</v>
      </c>
      <c r="G144" t="s">
        <v>20</v>
      </c>
      <c r="H144" t="s">
        <v>21</v>
      </c>
      <c r="I144" t="s">
        <v>53</v>
      </c>
      <c r="J144" t="s">
        <v>23</v>
      </c>
      <c r="K144">
        <v>1917</v>
      </c>
      <c r="L144" s="4">
        <v>24.559689800000001</v>
      </c>
      <c r="M144" s="4">
        <v>255.8402842133944</v>
      </c>
      <c r="N144" s="4">
        <v>1.4091679259728096E-2</v>
      </c>
      <c r="O144" s="1" t="str">
        <f>HYPERLINK(".\sm_car_250407_2318\sm_car_250407_2318_143_Ca204TrN_MaDLC_ode23t_1.png","figure")</f>
        <v>figure</v>
      </c>
      <c r="P144" t="s">
        <v>15</v>
      </c>
      <c r="T144">
        <f>K144-'2022a_250206_1736'!K138</f>
        <v>-47</v>
      </c>
      <c r="U144" s="5">
        <f>T144/'2022a_250206_1736'!K138</f>
        <v>-2.3930753564154784E-2</v>
      </c>
      <c r="V144" s="4">
        <f>L144-'2022a_250206_1736'!L138</f>
        <v>-1.7059610999999997</v>
      </c>
      <c r="W144" s="5">
        <f>V144/'2022a_250206_1736'!L138</f>
        <v>-6.4950269326849219E-2</v>
      </c>
    </row>
    <row r="145" spans="1:23" x14ac:dyDescent="0.25">
      <c r="A145">
        <v>144</v>
      </c>
      <c r="B145">
        <v>204</v>
      </c>
      <c r="C145" t="s">
        <v>105</v>
      </c>
      <c r="D145" t="s">
        <v>106</v>
      </c>
      <c r="E145" t="s">
        <v>18</v>
      </c>
      <c r="F145" t="s">
        <v>19</v>
      </c>
      <c r="G145" t="s">
        <v>20</v>
      </c>
      <c r="H145" t="s">
        <v>21</v>
      </c>
      <c r="I145" t="s">
        <v>54</v>
      </c>
      <c r="J145" t="s">
        <v>23</v>
      </c>
      <c r="K145">
        <v>704</v>
      </c>
      <c r="L145" s="4">
        <v>12.740974899999999</v>
      </c>
      <c r="M145" s="4">
        <v>26.038789796548116</v>
      </c>
      <c r="N145" s="4">
        <v>9.6602510694993385E-3</v>
      </c>
      <c r="O145" s="1" t="str">
        <f>HYPERLINK(".\sm_car_250407_2318\sm_car_250407_2318_144_Ca204TrN_MaIPA_ode23t_1.png","figure")</f>
        <v>figure</v>
      </c>
      <c r="P145" t="s">
        <v>15</v>
      </c>
      <c r="T145">
        <f>K145-'2022a_250206_1736'!K139</f>
        <v>3</v>
      </c>
      <c r="U145" s="5">
        <f>T145/'2022a_250206_1736'!K139</f>
        <v>4.2796005706134095E-3</v>
      </c>
      <c r="V145" s="4">
        <f>L145-'2022a_250206_1736'!L139</f>
        <v>1.1191962999999987</v>
      </c>
      <c r="W145" s="5">
        <f>V145/'2022a_250206_1736'!L139</f>
        <v>9.6301636653102193E-2</v>
      </c>
    </row>
    <row r="146" spans="1:23" x14ac:dyDescent="0.25">
      <c r="A146">
        <v>145</v>
      </c>
      <c r="B146">
        <v>12</v>
      </c>
      <c r="C146" t="s">
        <v>16</v>
      </c>
      <c r="D146" t="s">
        <v>17</v>
      </c>
      <c r="E146" t="s">
        <v>49</v>
      </c>
      <c r="F146" t="s">
        <v>28</v>
      </c>
      <c r="G146" t="s">
        <v>20</v>
      </c>
      <c r="H146" t="s">
        <v>21</v>
      </c>
      <c r="I146" t="s">
        <v>55</v>
      </c>
      <c r="J146" t="s">
        <v>23</v>
      </c>
      <c r="K146">
        <v>2717</v>
      </c>
      <c r="L146" s="4">
        <v>29.870776299999999</v>
      </c>
      <c r="M146" s="4">
        <v>-2.0435736462236259E-2</v>
      </c>
      <c r="N146" s="4">
        <v>-0.62220356781930297</v>
      </c>
      <c r="O146" s="1" t="str">
        <f>HYPERLINK(".\sm_car_250407_2318\sm_car_250407_2318_145_Ca012TrN_MaMPK_ode23t_1.png","figure")</f>
        <v>figure</v>
      </c>
      <c r="P146" t="s">
        <v>15</v>
      </c>
      <c r="T146">
        <f>K146-'2022a_250206_1736'!K140</f>
        <v>-20</v>
      </c>
      <c r="U146" s="5">
        <f>T146/'2022a_250206_1736'!K140</f>
        <v>-7.3072707343807084E-3</v>
      </c>
      <c r="V146" s="4">
        <f>L146-'2022a_250206_1736'!L140</f>
        <v>-0.83286130000000114</v>
      </c>
      <c r="W146" s="5">
        <f>V146/'2022a_250206_1736'!L140</f>
        <v>-2.7125818473052885E-2</v>
      </c>
    </row>
    <row r="147" spans="1:23" x14ac:dyDescent="0.25">
      <c r="A147">
        <v>146</v>
      </c>
      <c r="B147">
        <v>12</v>
      </c>
      <c r="C147" t="s">
        <v>16</v>
      </c>
      <c r="D147" t="s">
        <v>17</v>
      </c>
      <c r="E147" t="s">
        <v>49</v>
      </c>
      <c r="F147" t="s">
        <v>28</v>
      </c>
      <c r="G147" t="s">
        <v>20</v>
      </c>
      <c r="H147" t="s">
        <v>21</v>
      </c>
      <c r="I147" t="s">
        <v>56</v>
      </c>
      <c r="J147" t="s">
        <v>23</v>
      </c>
      <c r="K147">
        <v>3135</v>
      </c>
      <c r="L147" s="4">
        <v>30.275187500000001</v>
      </c>
      <c r="M147" s="4">
        <v>0.78855059453045051</v>
      </c>
      <c r="N147" s="4">
        <v>-0.32243149630317375</v>
      </c>
      <c r="O147" s="1" t="str">
        <f>HYPERLINK(".\sm_car_250407_2318\sm_car_250407_2318_146_Ca012TrN_MaMPC_ode23t_1.png","figure")</f>
        <v>figure</v>
      </c>
      <c r="P147" t="s">
        <v>15</v>
      </c>
      <c r="T147">
        <f>K147-'2022a_250206_1736'!K141</f>
        <v>-319</v>
      </c>
      <c r="U147" s="5">
        <f>T147/'2022a_250206_1736'!K141</f>
        <v>-9.2356687898089165E-2</v>
      </c>
      <c r="V147" s="4">
        <f>L147-'2022a_250206_1736'!L141</f>
        <v>-14.694248600000002</v>
      </c>
      <c r="W147" s="5">
        <f>V147/'2022a_250206_1736'!L141</f>
        <v>-0.32676079298223626</v>
      </c>
    </row>
    <row r="148" spans="1:23" x14ac:dyDescent="0.25">
      <c r="A148">
        <v>147</v>
      </c>
      <c r="B148">
        <v>142</v>
      </c>
      <c r="C148" t="s">
        <v>45</v>
      </c>
      <c r="D148" t="s">
        <v>17</v>
      </c>
      <c r="E148" t="s">
        <v>49</v>
      </c>
      <c r="F148" t="s">
        <v>28</v>
      </c>
      <c r="G148" t="s">
        <v>26</v>
      </c>
      <c r="H148" t="s">
        <v>21</v>
      </c>
      <c r="I148" t="s">
        <v>55</v>
      </c>
      <c r="J148" t="s">
        <v>23</v>
      </c>
      <c r="K148">
        <v>2586</v>
      </c>
      <c r="L148" s="4">
        <v>59.338064699999997</v>
      </c>
      <c r="M148" s="4">
        <v>-1.9815123823286082E-2</v>
      </c>
      <c r="N148" s="4">
        <v>-0.54637650258071002</v>
      </c>
      <c r="O148" s="1" t="str">
        <f>HYPERLINK(".\sm_car_250407_2318\sm_car_250407_2318_147_Ca142TrN_MaMPK_ode23t_1.png","figure")</f>
        <v>figure</v>
      </c>
      <c r="P148" t="s">
        <v>15</v>
      </c>
      <c r="T148">
        <f>K148-'2022a_250206_1736'!K142</f>
        <v>-63</v>
      </c>
      <c r="U148" s="5">
        <f>T148/'2022a_250206_1736'!K142</f>
        <v>-2.3782559456398639E-2</v>
      </c>
      <c r="V148" s="4">
        <f>L148-'2022a_250206_1736'!L142</f>
        <v>0.3585435999999973</v>
      </c>
      <c r="W148" s="5">
        <f>V148/'2022a_250206_1736'!L142</f>
        <v>6.0791202321240495E-3</v>
      </c>
    </row>
    <row r="149" spans="1:23" x14ac:dyDescent="0.25">
      <c r="A149">
        <v>148</v>
      </c>
      <c r="B149">
        <v>142</v>
      </c>
      <c r="C149" t="s">
        <v>45</v>
      </c>
      <c r="D149" t="s">
        <v>17</v>
      </c>
      <c r="E149" t="s">
        <v>49</v>
      </c>
      <c r="F149" t="s">
        <v>28</v>
      </c>
      <c r="G149" t="s">
        <v>26</v>
      </c>
      <c r="H149" t="s">
        <v>21</v>
      </c>
      <c r="I149" t="s">
        <v>56</v>
      </c>
      <c r="J149" t="s">
        <v>23</v>
      </c>
      <c r="K149">
        <v>3177</v>
      </c>
      <c r="L149" s="4">
        <v>70.071499000000003</v>
      </c>
      <c r="M149" s="4">
        <v>0.78825586542910386</v>
      </c>
      <c r="N149" s="4">
        <v>-0.36601259297028976</v>
      </c>
      <c r="O149" s="1" t="str">
        <f>HYPERLINK(".\sm_car_250407_2318\sm_car_250407_2318_148_Ca142TrN_MaMPC_ode23t_1.png","figure")</f>
        <v>figure</v>
      </c>
      <c r="P149" t="s">
        <v>15</v>
      </c>
      <c r="T149">
        <f>K149-'2022a_250206_1736'!K143</f>
        <v>-332</v>
      </c>
      <c r="U149" s="5">
        <f>T149/'2022a_250206_1736'!K143</f>
        <v>-9.4613850099743518E-2</v>
      </c>
      <c r="V149" s="4">
        <f>L149-'2022a_250206_1736'!L143</f>
        <v>-19.210109500000002</v>
      </c>
      <c r="W149" s="5">
        <f>V149/'2022a_250206_1736'!L143</f>
        <v>-0.21516312063306969</v>
      </c>
    </row>
    <row r="150" spans="1:23" x14ac:dyDescent="0.25">
      <c r="A150">
        <v>149</v>
      </c>
      <c r="B150">
        <v>116</v>
      </c>
      <c r="C150" t="s">
        <v>16</v>
      </c>
      <c r="D150" t="s">
        <v>35</v>
      </c>
      <c r="E150" t="s">
        <v>18</v>
      </c>
      <c r="F150" t="s">
        <v>28</v>
      </c>
      <c r="G150" t="s">
        <v>20</v>
      </c>
      <c r="H150" t="s">
        <v>21</v>
      </c>
      <c r="I150" t="s">
        <v>55</v>
      </c>
      <c r="J150" t="s">
        <v>23</v>
      </c>
      <c r="K150">
        <v>2867</v>
      </c>
      <c r="L150" s="4">
        <v>14.0291037</v>
      </c>
      <c r="M150" s="4">
        <v>-1.8748056612318806E-2</v>
      </c>
      <c r="N150" s="4">
        <v>-0.52485375561885361</v>
      </c>
      <c r="O150" s="1" t="str">
        <f>HYPERLINK(".\sm_car_250407_2318\sm_car_250407_2318_149_Ca116TrN_MaMPK_ode23t_1.png","figure")</f>
        <v>figure</v>
      </c>
      <c r="P150" t="s">
        <v>15</v>
      </c>
      <c r="T150">
        <f>K150-'2022a_250206_1736'!K144</f>
        <v>-33</v>
      </c>
      <c r="U150" s="5">
        <f>T150/'2022a_250206_1736'!K144</f>
        <v>-1.1379310344827587E-2</v>
      </c>
      <c r="V150" s="4">
        <f>L150-'2022a_250206_1736'!L144</f>
        <v>-3.1774498999999992</v>
      </c>
      <c r="W150" s="5">
        <f>V150/'2022a_250206_1736'!L144</f>
        <v>-0.18466509760560065</v>
      </c>
    </row>
    <row r="151" spans="1:23" x14ac:dyDescent="0.25">
      <c r="A151">
        <v>150</v>
      </c>
      <c r="B151">
        <v>116</v>
      </c>
      <c r="C151" t="s">
        <v>16</v>
      </c>
      <c r="D151" t="s">
        <v>35</v>
      </c>
      <c r="E151" t="s">
        <v>18</v>
      </c>
      <c r="F151" t="s">
        <v>28</v>
      </c>
      <c r="G151" t="s">
        <v>20</v>
      </c>
      <c r="H151" t="s">
        <v>21</v>
      </c>
      <c r="I151" t="s">
        <v>56</v>
      </c>
      <c r="J151" t="s">
        <v>23</v>
      </c>
      <c r="K151">
        <v>3382</v>
      </c>
      <c r="L151" s="4">
        <v>14.5882092</v>
      </c>
      <c r="M151" s="4">
        <v>0.78621076958378922</v>
      </c>
      <c r="N151" s="4">
        <v>-0.35485414854532044</v>
      </c>
      <c r="O151" s="1" t="str">
        <f>HYPERLINK(".\sm_car_250407_2318\sm_car_250407_2318_150_Ca116TrN_MaMPC_ode23t_1.png","figure")</f>
        <v>figure</v>
      </c>
      <c r="P151" t="s">
        <v>15</v>
      </c>
      <c r="T151">
        <f>K151-'2022a_250206_1736'!K145</f>
        <v>-138</v>
      </c>
      <c r="U151" s="5">
        <f>T151/'2022a_250206_1736'!K145</f>
        <v>-3.9204545454545457E-2</v>
      </c>
      <c r="V151" s="4">
        <f>L151-'2022a_250206_1736'!L145</f>
        <v>-5.435384400000002</v>
      </c>
      <c r="W151" s="5">
        <f>V151/'2022a_250206_1736'!L145</f>
        <v>-0.27144899704716347</v>
      </c>
    </row>
    <row r="152" spans="1:23" x14ac:dyDescent="0.25">
      <c r="A152">
        <v>151</v>
      </c>
      <c r="B152">
        <v>143</v>
      </c>
      <c r="C152" t="s">
        <v>46</v>
      </c>
      <c r="D152" t="s">
        <v>17</v>
      </c>
      <c r="E152" t="s">
        <v>47</v>
      </c>
      <c r="F152" t="s">
        <v>19</v>
      </c>
      <c r="G152" t="s">
        <v>26</v>
      </c>
      <c r="H152" t="s">
        <v>21</v>
      </c>
      <c r="I152" t="s">
        <v>55</v>
      </c>
      <c r="J152" t="s">
        <v>23</v>
      </c>
      <c r="K152">
        <v>2731</v>
      </c>
      <c r="L152" s="4">
        <v>51.239668399999999</v>
      </c>
      <c r="M152" s="4">
        <v>-1.6083066117766942E-2</v>
      </c>
      <c r="N152" s="4">
        <v>-0.38996664430829719</v>
      </c>
      <c r="O152" s="1" t="str">
        <f>HYPERLINK(".\sm_car_250407_2318\sm_car_250407_2318_151_Ca143TrN_MaMPK_ode23t_1.png","figure")</f>
        <v>figure</v>
      </c>
      <c r="P152" t="s">
        <v>15</v>
      </c>
      <c r="T152">
        <f>K152-'2022a_250206_1736'!K146</f>
        <v>-30</v>
      </c>
      <c r="U152" s="5">
        <f>T152/'2022a_250206_1736'!K146</f>
        <v>-1.0865628395508874E-2</v>
      </c>
      <c r="V152" s="4">
        <f>L152-'2022a_250206_1736'!L146</f>
        <v>-10.1596957</v>
      </c>
      <c r="W152" s="5">
        <f>V152/'2022a_250206_1736'!L146</f>
        <v>-0.16546907038732669</v>
      </c>
    </row>
    <row r="153" spans="1:23" x14ac:dyDescent="0.25">
      <c r="A153">
        <v>152</v>
      </c>
      <c r="B153">
        <v>143</v>
      </c>
      <c r="C153" t="s">
        <v>46</v>
      </c>
      <c r="D153" t="s">
        <v>17</v>
      </c>
      <c r="E153" t="s">
        <v>47</v>
      </c>
      <c r="F153" t="s">
        <v>19</v>
      </c>
      <c r="G153" t="s">
        <v>26</v>
      </c>
      <c r="H153" t="s">
        <v>21</v>
      </c>
      <c r="I153" t="s">
        <v>56</v>
      </c>
      <c r="J153" t="s">
        <v>23</v>
      </c>
      <c r="K153">
        <v>2895</v>
      </c>
      <c r="L153" s="4">
        <v>63.201603599999999</v>
      </c>
      <c r="M153" s="4">
        <v>0.78871580090862459</v>
      </c>
      <c r="N153" s="4">
        <v>-0.25852033012785275</v>
      </c>
      <c r="O153" s="1" t="str">
        <f>HYPERLINK(".\sm_car_250407_2318\sm_car_250407_2318_152_Ca143TrN_MaMPC_ode23t_1.png","figure")</f>
        <v>figure</v>
      </c>
      <c r="P153" t="s">
        <v>15</v>
      </c>
      <c r="T153">
        <f>K153-'2022a_250206_1736'!K147</f>
        <v>-232</v>
      </c>
      <c r="U153" s="5">
        <f>T153/'2022a_250206_1736'!K147</f>
        <v>-7.4192516789254884E-2</v>
      </c>
      <c r="V153" s="4">
        <f>L153-'2022a_250206_1736'!L147</f>
        <v>-24.134324399999997</v>
      </c>
      <c r="W153" s="5">
        <f>V153/'2022a_250206_1736'!L147</f>
        <v>-0.27633901594312937</v>
      </c>
    </row>
    <row r="154" spans="1:23" x14ac:dyDescent="0.25">
      <c r="A154">
        <v>153</v>
      </c>
      <c r="B154">
        <v>166</v>
      </c>
      <c r="C154" t="s">
        <v>45</v>
      </c>
      <c r="D154" t="s">
        <v>57</v>
      </c>
      <c r="E154" t="s">
        <v>18</v>
      </c>
      <c r="F154" t="s">
        <v>19</v>
      </c>
      <c r="G154" t="s">
        <v>26</v>
      </c>
      <c r="H154" t="s">
        <v>21</v>
      </c>
      <c r="I154" t="s">
        <v>55</v>
      </c>
      <c r="J154" t="s">
        <v>23</v>
      </c>
      <c r="K154">
        <v>3176</v>
      </c>
      <c r="L154" s="4">
        <v>40.4320126</v>
      </c>
      <c r="M154" s="4">
        <v>-9.2642823793954443E-3</v>
      </c>
      <c r="N154" s="4">
        <v>-0.55585398713345502</v>
      </c>
      <c r="O154" s="1" t="str">
        <f>HYPERLINK(".\sm_car_250407_2318\sm_car_250407_2318_153_Ca166TrN_MaMPK_ode23t_1.png","figure")</f>
        <v>figure</v>
      </c>
      <c r="P154" t="s">
        <v>15</v>
      </c>
      <c r="T154">
        <f>K154-'2022a_250206_1736'!K148</f>
        <v>-15</v>
      </c>
      <c r="U154" s="5">
        <f>T154/'2022a_250206_1736'!K148</f>
        <v>-4.700720777185835E-3</v>
      </c>
      <c r="V154" s="4">
        <f>L154-'2022a_250206_1736'!L148</f>
        <v>-2.1041890999999993</v>
      </c>
      <c r="W154" s="5">
        <f>V154/'2022a_250206_1736'!L148</f>
        <v>-4.9468194523818974E-2</v>
      </c>
    </row>
    <row r="155" spans="1:23" x14ac:dyDescent="0.25">
      <c r="A155">
        <v>154</v>
      </c>
      <c r="B155">
        <v>166</v>
      </c>
      <c r="C155" t="s">
        <v>45</v>
      </c>
      <c r="D155" t="s">
        <v>57</v>
      </c>
      <c r="E155" t="s">
        <v>18</v>
      </c>
      <c r="F155" t="s">
        <v>19</v>
      </c>
      <c r="G155" t="s">
        <v>26</v>
      </c>
      <c r="H155" t="s">
        <v>21</v>
      </c>
      <c r="I155" t="s">
        <v>56</v>
      </c>
      <c r="J155" t="s">
        <v>23</v>
      </c>
      <c r="K155">
        <v>3544</v>
      </c>
      <c r="L155" s="4">
        <v>45.0465005</v>
      </c>
      <c r="M155" s="4">
        <v>0.78762936439009223</v>
      </c>
      <c r="N155" s="4">
        <v>-0.35631966520561259</v>
      </c>
      <c r="O155" s="1" t="str">
        <f>HYPERLINK(".\sm_car_250407_2318\sm_car_250407_2318_154_Ca166TrN_MaMPC_ode23t_1.png","figure")</f>
        <v>figure</v>
      </c>
      <c r="P155" t="s">
        <v>15</v>
      </c>
      <c r="T155">
        <f>K155-'2022a_250206_1736'!K149</f>
        <v>-156</v>
      </c>
      <c r="U155" s="5">
        <f>T155/'2022a_250206_1736'!K149</f>
        <v>-4.2162162162162162E-2</v>
      </c>
      <c r="V155" s="4">
        <f>L155-'2022a_250206_1736'!L149</f>
        <v>-7.9212018999999998</v>
      </c>
      <c r="W155" s="5">
        <f>V155/'2022a_250206_1736'!L149</f>
        <v>-0.14954777234211314</v>
      </c>
    </row>
    <row r="156" spans="1:23" x14ac:dyDescent="0.25">
      <c r="A156">
        <v>155</v>
      </c>
      <c r="B156">
        <v>169</v>
      </c>
      <c r="C156" t="s">
        <v>45</v>
      </c>
      <c r="D156" t="s">
        <v>58</v>
      </c>
      <c r="E156" t="s">
        <v>49</v>
      </c>
      <c r="F156" t="s">
        <v>19</v>
      </c>
      <c r="G156" t="s">
        <v>26</v>
      </c>
      <c r="H156" t="s">
        <v>21</v>
      </c>
      <c r="I156" t="s">
        <v>55</v>
      </c>
      <c r="J156" t="s">
        <v>23</v>
      </c>
      <c r="K156">
        <v>3135</v>
      </c>
      <c r="L156" s="4">
        <v>38.877569100000002</v>
      </c>
      <c r="M156" s="4">
        <v>-1.8251272314233777E-2</v>
      </c>
      <c r="N156" s="4">
        <v>-0.55644529683997068</v>
      </c>
      <c r="O156" s="1" t="str">
        <f>HYPERLINK(".\sm_car_250407_2318\sm_car_250407_2318_155_Ca169TrN_MaMPK_ode23t_1.png","figure")</f>
        <v>figure</v>
      </c>
      <c r="P156" t="s">
        <v>15</v>
      </c>
      <c r="T156">
        <f>K156-'2022a_250206_1736'!K150</f>
        <v>-46</v>
      </c>
      <c r="U156" s="5">
        <f>T156/'2022a_250206_1736'!K150</f>
        <v>-1.4460861364350833E-2</v>
      </c>
      <c r="V156" s="4">
        <f>L156-'2022a_250206_1736'!L150</f>
        <v>-1.7119745999999978</v>
      </c>
      <c r="W156" s="5">
        <f>V156/'2022a_250206_1736'!L150</f>
        <v>-4.2177724703024874E-2</v>
      </c>
    </row>
    <row r="157" spans="1:23" x14ac:dyDescent="0.25">
      <c r="A157">
        <v>156</v>
      </c>
      <c r="B157">
        <v>169</v>
      </c>
      <c r="C157" t="s">
        <v>45</v>
      </c>
      <c r="D157" t="s">
        <v>58</v>
      </c>
      <c r="E157" t="s">
        <v>49</v>
      </c>
      <c r="F157" t="s">
        <v>19</v>
      </c>
      <c r="G157" t="s">
        <v>26</v>
      </c>
      <c r="H157" t="s">
        <v>21</v>
      </c>
      <c r="I157" t="s">
        <v>56</v>
      </c>
      <c r="J157" t="s">
        <v>23</v>
      </c>
      <c r="K157">
        <v>3383</v>
      </c>
      <c r="L157" s="4">
        <v>40.096563799999998</v>
      </c>
      <c r="M157" s="4">
        <v>0.78171431703059469</v>
      </c>
      <c r="N157" s="4">
        <v>-0.35554686689857495</v>
      </c>
      <c r="O157" s="1" t="str">
        <f>HYPERLINK(".\sm_car_250407_2318\sm_car_250407_2318_156_Ca169TrN_MaMPC_ode23t_1.png","figure")</f>
        <v>figure</v>
      </c>
      <c r="P157" t="s">
        <v>15</v>
      </c>
      <c r="T157">
        <f>K157-'2022a_250206_1736'!K151</f>
        <v>-177</v>
      </c>
      <c r="U157" s="5">
        <f>T157/'2022a_250206_1736'!K151</f>
        <v>-4.9719101123595504E-2</v>
      </c>
      <c r="V157" s="4">
        <f>L157-'2022a_250206_1736'!L151</f>
        <v>-4.7961492000000021</v>
      </c>
      <c r="W157" s="5">
        <f>V157/'2022a_250206_1736'!L151</f>
        <v>-0.1068358065149683</v>
      </c>
    </row>
    <row r="158" spans="1:23" x14ac:dyDescent="0.25">
      <c r="A158">
        <v>157</v>
      </c>
      <c r="B158">
        <v>184</v>
      </c>
      <c r="C158" t="s">
        <v>105</v>
      </c>
      <c r="D158" t="s">
        <v>120</v>
      </c>
      <c r="E158" t="s">
        <v>49</v>
      </c>
      <c r="F158" t="s">
        <v>19</v>
      </c>
      <c r="G158" t="s">
        <v>20</v>
      </c>
      <c r="H158" t="s">
        <v>21</v>
      </c>
      <c r="I158" t="s">
        <v>55</v>
      </c>
      <c r="J158" t="s">
        <v>23</v>
      </c>
      <c r="K158">
        <v>2106</v>
      </c>
      <c r="L158" s="4">
        <v>51.745292599999999</v>
      </c>
      <c r="M158" s="4">
        <v>-1.990709640849278E-2</v>
      </c>
      <c r="N158" s="4">
        <v>-0.69661197649317685</v>
      </c>
      <c r="O158" s="1" t="str">
        <f>HYPERLINK(".\sm_car_250407_2318\sm_car_250407_2318_157_Ca184TrN_MaMPK_ode23t_1.png","figure")</f>
        <v>figure</v>
      </c>
      <c r="P158" t="s">
        <v>15</v>
      </c>
      <c r="T158">
        <f>K158-'2022a_250206_1736'!K152</f>
        <v>-61</v>
      </c>
      <c r="U158" s="5">
        <f>T158/'2022a_250206_1736'!K152</f>
        <v>-2.814951545916013E-2</v>
      </c>
      <c r="V158" s="4">
        <f>L158-'2022a_250206_1736'!L152</f>
        <v>-4.3604892999999976</v>
      </c>
      <c r="W158" s="5">
        <f>V158/'2022a_250206_1736'!L152</f>
        <v>-7.7719071944704468E-2</v>
      </c>
    </row>
    <row r="159" spans="1:23" x14ac:dyDescent="0.25">
      <c r="A159">
        <v>158</v>
      </c>
      <c r="B159">
        <v>184</v>
      </c>
      <c r="C159" t="s">
        <v>105</v>
      </c>
      <c r="D159" t="s">
        <v>120</v>
      </c>
      <c r="E159" t="s">
        <v>49</v>
      </c>
      <c r="F159" t="s">
        <v>19</v>
      </c>
      <c r="G159" t="s">
        <v>20</v>
      </c>
      <c r="H159" t="s">
        <v>21</v>
      </c>
      <c r="I159" t="s">
        <v>56</v>
      </c>
      <c r="J159" t="s">
        <v>23</v>
      </c>
      <c r="K159">
        <v>2182</v>
      </c>
      <c r="L159" s="4">
        <v>52.322322300000003</v>
      </c>
      <c r="M159" s="4">
        <v>0.78853699487854279</v>
      </c>
      <c r="N159" s="4">
        <v>-0.32950889486527096</v>
      </c>
      <c r="O159" s="1" t="str">
        <f>HYPERLINK(".\sm_car_250407_2318\sm_car_250407_2318_158_Ca184TrN_MaMPC_ode23t_1.png","figure")</f>
        <v>figure</v>
      </c>
      <c r="P159" t="s">
        <v>15</v>
      </c>
      <c r="T159">
        <f>K159-'2022a_250206_1736'!K153</f>
        <v>-208</v>
      </c>
      <c r="U159" s="5">
        <f>T159/'2022a_250206_1736'!K153</f>
        <v>-8.7029288702928864E-2</v>
      </c>
      <c r="V159" s="4">
        <f>L159-'2022a_250206_1736'!L153</f>
        <v>-9.5278336999999951</v>
      </c>
      <c r="W159" s="5">
        <f>V159/'2022a_250206_1736'!L153</f>
        <v>-0.15404704395571767</v>
      </c>
    </row>
    <row r="160" spans="1:23" x14ac:dyDescent="0.25">
      <c r="A160">
        <v>159</v>
      </c>
      <c r="B160">
        <v>195</v>
      </c>
      <c r="C160" t="s">
        <v>45</v>
      </c>
      <c r="D160" t="s">
        <v>58</v>
      </c>
      <c r="E160" t="s">
        <v>107</v>
      </c>
      <c r="F160" t="s">
        <v>19</v>
      </c>
      <c r="G160" t="s">
        <v>26</v>
      </c>
      <c r="H160" t="s">
        <v>21</v>
      </c>
      <c r="I160" t="s">
        <v>55</v>
      </c>
      <c r="J160" t="s">
        <v>23</v>
      </c>
      <c r="K160">
        <v>3131</v>
      </c>
      <c r="L160" s="4">
        <v>33.546502799999999</v>
      </c>
      <c r="M160" s="4">
        <v>-1.9412394758023616E-2</v>
      </c>
      <c r="N160" s="4">
        <v>-0.55638443687371142</v>
      </c>
      <c r="O160" s="1" t="str">
        <f>HYPERLINK(".\sm_car_250407_2318\sm_car_250407_2318_159_Ca195TrN_MaMPK_ode23t_1.png","figure")</f>
        <v>figure</v>
      </c>
      <c r="P160" t="s">
        <v>15</v>
      </c>
      <c r="T160">
        <f>K160-'2022a_250206_1736'!K154</f>
        <v>-61</v>
      </c>
      <c r="U160" s="5">
        <f>T160/'2022a_250206_1736'!K154</f>
        <v>-1.9110275689223057E-2</v>
      </c>
      <c r="V160" s="4">
        <f>L160-'2022a_250206_1736'!L154</f>
        <v>-2.4463506000000024</v>
      </c>
      <c r="W160" s="5">
        <f>V160/'2022a_250206_1736'!L154</f>
        <v>-6.7967676049823886E-2</v>
      </c>
    </row>
    <row r="161" spans="1:23" x14ac:dyDescent="0.25">
      <c r="A161">
        <v>160</v>
      </c>
      <c r="B161">
        <v>195</v>
      </c>
      <c r="C161" t="s">
        <v>45</v>
      </c>
      <c r="D161" t="s">
        <v>58</v>
      </c>
      <c r="E161" t="s">
        <v>107</v>
      </c>
      <c r="F161" t="s">
        <v>19</v>
      </c>
      <c r="G161" t="s">
        <v>26</v>
      </c>
      <c r="H161" t="s">
        <v>21</v>
      </c>
      <c r="I161" t="s">
        <v>56</v>
      </c>
      <c r="J161" t="s">
        <v>23</v>
      </c>
      <c r="K161">
        <v>3380</v>
      </c>
      <c r="L161" s="4">
        <v>35.221313000000002</v>
      </c>
      <c r="M161" s="4">
        <v>0.78267989871100951</v>
      </c>
      <c r="N161" s="4">
        <v>-0.35555102610834277</v>
      </c>
      <c r="O161" s="1" t="str">
        <f>HYPERLINK(".\sm_car_250407_2318\sm_car_250407_2318_160_Ca195TrN_MaMPC_ode23t_1.png","figure")</f>
        <v>figure</v>
      </c>
      <c r="P161" t="s">
        <v>15</v>
      </c>
      <c r="T161">
        <f>K161-'2022a_250206_1736'!K155</f>
        <v>114</v>
      </c>
      <c r="U161" s="5">
        <f>T161/'2022a_250206_1736'!K155</f>
        <v>3.4905082669932641E-2</v>
      </c>
      <c r="V161" s="4">
        <f>L161-'2022a_250206_1736'!L155</f>
        <v>-4.5695428000000007</v>
      </c>
      <c r="W161" s="5">
        <f>V161/'2022a_250206_1736'!L155</f>
        <v>-0.11483901786299355</v>
      </c>
    </row>
    <row r="162" spans="1:23" x14ac:dyDescent="0.25">
      <c r="A162">
        <v>161</v>
      </c>
      <c r="B162">
        <v>198</v>
      </c>
      <c r="C162" t="s">
        <v>105</v>
      </c>
      <c r="D162" t="s">
        <v>120</v>
      </c>
      <c r="E162" t="s">
        <v>107</v>
      </c>
      <c r="F162" t="s">
        <v>19</v>
      </c>
      <c r="G162" t="s">
        <v>20</v>
      </c>
      <c r="H162" t="s">
        <v>21</v>
      </c>
      <c r="I162" t="s">
        <v>55</v>
      </c>
      <c r="J162" t="s">
        <v>23</v>
      </c>
      <c r="K162">
        <v>2157</v>
      </c>
      <c r="L162" s="4">
        <v>28.665057399999998</v>
      </c>
      <c r="M162" s="4">
        <v>-2.1806987239671061E-2</v>
      </c>
      <c r="N162" s="4">
        <v>-0.69682608861340012</v>
      </c>
      <c r="O162" s="1" t="str">
        <f>HYPERLINK(".\sm_car_250407_2318\sm_car_250407_2318_161_Ca198TrN_MaMPK_ode23t_1.png","figure")</f>
        <v>figure</v>
      </c>
      <c r="P162" t="s">
        <v>15</v>
      </c>
      <c r="T162">
        <f>K162-'2022a_250206_1736'!K156</f>
        <v>-120</v>
      </c>
      <c r="U162" s="5">
        <f>T162/'2022a_250206_1736'!K156</f>
        <v>-5.2700922266139656E-2</v>
      </c>
      <c r="V162" s="4">
        <f>L162-'2022a_250206_1736'!L156</f>
        <v>-2.4592188999999998</v>
      </c>
      <c r="W162" s="5">
        <f>V162/'2022a_250206_1736'!L156</f>
        <v>-7.9012886156649365E-2</v>
      </c>
    </row>
    <row r="163" spans="1:23" x14ac:dyDescent="0.25">
      <c r="A163">
        <v>162</v>
      </c>
      <c r="B163">
        <v>198</v>
      </c>
      <c r="C163" t="s">
        <v>105</v>
      </c>
      <c r="D163" t="s">
        <v>120</v>
      </c>
      <c r="E163" t="s">
        <v>107</v>
      </c>
      <c r="F163" t="s">
        <v>19</v>
      </c>
      <c r="G163" t="s">
        <v>20</v>
      </c>
      <c r="H163" t="s">
        <v>21</v>
      </c>
      <c r="I163" t="s">
        <v>56</v>
      </c>
      <c r="J163" t="s">
        <v>23</v>
      </c>
      <c r="K163">
        <v>2192</v>
      </c>
      <c r="L163" s="4">
        <v>30.310295499999999</v>
      </c>
      <c r="M163" s="4">
        <v>0.78898862372382439</v>
      </c>
      <c r="N163" s="4">
        <v>-0.3296698855405592</v>
      </c>
      <c r="O163" s="1" t="str">
        <f>HYPERLINK(".\sm_car_250407_2318\sm_car_250407_2318_162_Ca198TrN_MaMPC_ode23t_1.png","figure")</f>
        <v>figure</v>
      </c>
      <c r="P163" t="s">
        <v>15</v>
      </c>
      <c r="T163">
        <f>K163-'2022a_250206_1736'!K157</f>
        <v>-432</v>
      </c>
      <c r="U163" s="5">
        <f>T163/'2022a_250206_1736'!K157</f>
        <v>-0.16463414634146342</v>
      </c>
      <c r="V163" s="4">
        <f>L163-'2022a_250206_1736'!L157</f>
        <v>-9.0340146000000026</v>
      </c>
      <c r="W163" s="5">
        <f>V163/'2022a_250206_1736'!L157</f>
        <v>-0.2296142587591084</v>
      </c>
    </row>
    <row r="164" spans="1:23" x14ac:dyDescent="0.25">
      <c r="A164">
        <v>163</v>
      </c>
      <c r="B164">
        <v>151</v>
      </c>
      <c r="C164" t="s">
        <v>16</v>
      </c>
      <c r="D164" t="s">
        <v>17</v>
      </c>
      <c r="E164" t="s">
        <v>18</v>
      </c>
      <c r="F164" t="s">
        <v>19</v>
      </c>
      <c r="G164" t="s">
        <v>59</v>
      </c>
      <c r="H164" t="s">
        <v>21</v>
      </c>
      <c r="I164" t="s">
        <v>24</v>
      </c>
      <c r="J164" t="s">
        <v>23</v>
      </c>
      <c r="K164">
        <v>505</v>
      </c>
      <c r="L164" s="4">
        <v>12.095750300000001</v>
      </c>
      <c r="M164" s="4">
        <v>72.552557300489994</v>
      </c>
      <c r="N164" s="4">
        <v>-0.80249041544350219</v>
      </c>
      <c r="O164" s="1" t="str">
        <f>HYPERLINK(".\sm_car_250407_2318\sm_car_250407_2318_163_Ca151TrN_MaLSS_ode23t_1.png","figure")</f>
        <v>figure</v>
      </c>
      <c r="P164" t="s">
        <v>15</v>
      </c>
      <c r="T164">
        <f>K164-'2022a_250206_1736'!K158</f>
        <v>1</v>
      </c>
      <c r="U164" s="5">
        <f>T164/'2022a_250206_1736'!K158</f>
        <v>1.984126984126984E-3</v>
      </c>
      <c r="V164" s="4">
        <f>L164-'2022a_250206_1736'!L158</f>
        <v>-0.62729359999999978</v>
      </c>
      <c r="W164" s="5">
        <f>V164/'2022a_250206_1736'!L158</f>
        <v>-4.9303736191619978E-2</v>
      </c>
    </row>
    <row r="165" spans="1:23" x14ac:dyDescent="0.25">
      <c r="A165">
        <v>164</v>
      </c>
      <c r="B165">
        <v>152</v>
      </c>
      <c r="C165" t="s">
        <v>16</v>
      </c>
      <c r="D165" t="s">
        <v>17</v>
      </c>
      <c r="E165" t="s">
        <v>18</v>
      </c>
      <c r="F165" t="s">
        <v>19</v>
      </c>
      <c r="G165" t="s">
        <v>60</v>
      </c>
      <c r="H165" t="s">
        <v>21</v>
      </c>
      <c r="I165" t="s">
        <v>24</v>
      </c>
      <c r="J165" t="s">
        <v>23</v>
      </c>
      <c r="K165">
        <v>539</v>
      </c>
      <c r="L165" s="4">
        <v>12.968891599999999</v>
      </c>
      <c r="M165" s="4">
        <v>70.95575043741772</v>
      </c>
      <c r="N165" s="4">
        <v>-0.52983923792597942</v>
      </c>
      <c r="O165" s="1" t="str">
        <f>HYPERLINK(".\sm_car_250407_2318\sm_car_250407_2318_164_Ca152TrN_MaLSS_ode23t_1.png","figure")</f>
        <v>figure</v>
      </c>
      <c r="P165" t="s">
        <v>15</v>
      </c>
      <c r="T165">
        <f>K165-'2022a_250206_1736'!K159</f>
        <v>8</v>
      </c>
      <c r="U165" s="5">
        <f>T165/'2022a_250206_1736'!K159</f>
        <v>1.5065913370998116E-2</v>
      </c>
      <c r="V165" s="4">
        <f>L165-'2022a_250206_1736'!L159</f>
        <v>-0.44265270000000001</v>
      </c>
      <c r="W165" s="5">
        <f>V165/'2022a_250206_1736'!L159</f>
        <v>-3.3005348981324997E-2</v>
      </c>
    </row>
    <row r="166" spans="1:23" x14ac:dyDescent="0.25">
      <c r="A166">
        <v>165</v>
      </c>
      <c r="B166">
        <v>153</v>
      </c>
      <c r="C166" t="s">
        <v>16</v>
      </c>
      <c r="D166" t="s">
        <v>17</v>
      </c>
      <c r="E166" t="s">
        <v>18</v>
      </c>
      <c r="F166" t="s">
        <v>19</v>
      </c>
      <c r="G166" t="s">
        <v>61</v>
      </c>
      <c r="H166" t="s">
        <v>21</v>
      </c>
      <c r="I166" t="s">
        <v>24</v>
      </c>
      <c r="J166" t="s">
        <v>23</v>
      </c>
      <c r="K166">
        <v>552</v>
      </c>
      <c r="L166" s="4">
        <v>13.593239000000001</v>
      </c>
      <c r="M166" s="4">
        <v>70.796239337560166</v>
      </c>
      <c r="N166" s="4">
        <v>-0.86783590943986122</v>
      </c>
      <c r="O166" s="1" t="str">
        <f>HYPERLINK(".\sm_car_250407_2318\sm_car_250407_2318_165_Ca153TrN_MaLSS_ode23t_1.png","figure")</f>
        <v>figure</v>
      </c>
      <c r="P166" t="s">
        <v>15</v>
      </c>
      <c r="T166">
        <f>K166-'2022a_250206_1736'!K160</f>
        <v>0</v>
      </c>
      <c r="U166" s="5">
        <f>T166/'2022a_250206_1736'!K160</f>
        <v>0</v>
      </c>
      <c r="V166" s="4">
        <f>L166-'2022a_250206_1736'!L160</f>
        <v>6.2603000000009956E-3</v>
      </c>
      <c r="W166" s="5">
        <f>V166/'2022a_250206_1736'!L160</f>
        <v>4.6075732789667184E-4</v>
      </c>
    </row>
    <row r="167" spans="1:23" x14ac:dyDescent="0.25">
      <c r="A167">
        <v>166</v>
      </c>
      <c r="B167">
        <v>154</v>
      </c>
      <c r="C167" t="s">
        <v>16</v>
      </c>
      <c r="D167" t="s">
        <v>17</v>
      </c>
      <c r="E167" t="s">
        <v>18</v>
      </c>
      <c r="F167" t="s">
        <v>19</v>
      </c>
      <c r="G167" t="s">
        <v>108</v>
      </c>
      <c r="H167" t="s">
        <v>21</v>
      </c>
      <c r="I167" t="s">
        <v>24</v>
      </c>
      <c r="J167" t="s">
        <v>23</v>
      </c>
      <c r="K167">
        <v>478</v>
      </c>
      <c r="L167" s="4">
        <v>16.349553100000001</v>
      </c>
      <c r="M167" s="4">
        <v>70.991830962448176</v>
      </c>
      <c r="N167" s="4">
        <v>-0.36054406105194031</v>
      </c>
      <c r="O167" s="1" t="str">
        <f>HYPERLINK(".\sm_car_250407_2318\sm_car_250407_2318_166_Ca154TrN_MaLSS_ode23t_1.png","figure")</f>
        <v>figure</v>
      </c>
      <c r="P167" t="s">
        <v>15</v>
      </c>
      <c r="T167">
        <f>K167-'2022a_250206_1736'!K161</f>
        <v>-16</v>
      </c>
      <c r="U167" s="5">
        <f>T167/'2022a_250206_1736'!K161</f>
        <v>-3.2388663967611336E-2</v>
      </c>
      <c r="V167" s="4">
        <f>L167-'2022a_250206_1736'!L161</f>
        <v>-1.0719016000000003</v>
      </c>
      <c r="W167" s="5">
        <f>V167/'2022a_250206_1736'!L161</f>
        <v>-6.152767483877223E-2</v>
      </c>
    </row>
    <row r="168" spans="1:23" x14ac:dyDescent="0.25">
      <c r="A168">
        <v>167</v>
      </c>
      <c r="B168">
        <v>155</v>
      </c>
      <c r="C168" t="s">
        <v>16</v>
      </c>
      <c r="D168" t="s">
        <v>17</v>
      </c>
      <c r="E168" t="s">
        <v>18</v>
      </c>
      <c r="F168" t="s">
        <v>19</v>
      </c>
      <c r="G168" t="s">
        <v>62</v>
      </c>
      <c r="H168" t="s">
        <v>21</v>
      </c>
      <c r="I168" t="s">
        <v>24</v>
      </c>
      <c r="J168" t="s">
        <v>23</v>
      </c>
      <c r="K168">
        <v>560</v>
      </c>
      <c r="L168" s="4">
        <v>18.076639</v>
      </c>
      <c r="M168" s="4">
        <v>70.833576270499776</v>
      </c>
      <c r="N168" s="4">
        <v>-0.8457252501902347</v>
      </c>
      <c r="O168" s="1" t="str">
        <f>HYPERLINK(".\sm_car_250407_2318\sm_car_250407_2318_167_Ca155TrN_MaLSS_ode23t_1.png","figure")</f>
        <v>figure</v>
      </c>
      <c r="P168" t="s">
        <v>15</v>
      </c>
      <c r="T168">
        <f>K168-'2022a_250206_1736'!K162</f>
        <v>5</v>
      </c>
      <c r="U168" s="5">
        <f>T168/'2022a_250206_1736'!K162</f>
        <v>9.0090090090090089E-3</v>
      </c>
      <c r="V168" s="4">
        <f>L168-'2022a_250206_1736'!L162</f>
        <v>-0.79397009999999923</v>
      </c>
      <c r="W168" s="5">
        <f>V168/'2022a_250206_1736'!L162</f>
        <v>-4.2074428853491497E-2</v>
      </c>
    </row>
    <row r="169" spans="1:23" x14ac:dyDescent="0.25">
      <c r="A169">
        <v>168</v>
      </c>
      <c r="B169">
        <v>4</v>
      </c>
      <c r="C169" t="s">
        <v>16</v>
      </c>
      <c r="D169" t="s">
        <v>17</v>
      </c>
      <c r="E169" t="s">
        <v>18</v>
      </c>
      <c r="F169" t="s">
        <v>28</v>
      </c>
      <c r="G169" t="s">
        <v>20</v>
      </c>
      <c r="H169" t="s">
        <v>21</v>
      </c>
      <c r="I169" t="s">
        <v>22</v>
      </c>
      <c r="J169" t="s">
        <v>63</v>
      </c>
      <c r="K169">
        <v>3247</v>
      </c>
      <c r="L169" s="4">
        <v>8.7888575000000007</v>
      </c>
      <c r="M169" s="4">
        <v>231.38923252163076</v>
      </c>
      <c r="N169" s="4">
        <v>2.2944610708496901E-3</v>
      </c>
      <c r="O169" s="1" t="str">
        <f>HYPERLINK(".\sm_car_250407_2318\sm_car_250407_2318_168_Ca004TrN_MaWOT_ode3_1.png","figure")</f>
        <v>figure</v>
      </c>
      <c r="P169" t="s">
        <v>15</v>
      </c>
      <c r="T169">
        <f>K169-'2022a_250206_1736'!K163</f>
        <v>1</v>
      </c>
      <c r="U169" s="5">
        <f>T169/'2022a_250206_1736'!K163</f>
        <v>3.0807147258163895E-4</v>
      </c>
      <c r="V169" s="4">
        <f>L169-'2022a_250206_1736'!L163</f>
        <v>-0.29905759999999937</v>
      </c>
      <c r="W169" s="5">
        <f>V169/'2022a_250206_1736'!L163</f>
        <v>-3.2907173615651333E-2</v>
      </c>
    </row>
    <row r="170" spans="1:23" x14ac:dyDescent="0.25">
      <c r="A170">
        <v>169</v>
      </c>
      <c r="B170">
        <v>4</v>
      </c>
      <c r="C170" t="s">
        <v>16</v>
      </c>
      <c r="D170" t="s">
        <v>17</v>
      </c>
      <c r="E170" t="s">
        <v>18</v>
      </c>
      <c r="F170" t="s">
        <v>28</v>
      </c>
      <c r="G170" t="s">
        <v>20</v>
      </c>
      <c r="H170" t="s">
        <v>21</v>
      </c>
      <c r="I170" t="s">
        <v>24</v>
      </c>
      <c r="J170" t="s">
        <v>63</v>
      </c>
      <c r="K170">
        <v>2564</v>
      </c>
      <c r="L170" s="4">
        <v>6.8922885999999997</v>
      </c>
      <c r="M170" s="4">
        <v>71.253969951402098</v>
      </c>
      <c r="N170" s="4">
        <v>-0.54014322697826567</v>
      </c>
      <c r="O170" s="1" t="str">
        <f>HYPERLINK(".\sm_car_250407_2318\sm_car_250407_2318_169_Ca004TrN_MaLSS_ode3_1.png","figure")</f>
        <v>figure</v>
      </c>
      <c r="P170" t="s">
        <v>15</v>
      </c>
      <c r="T170">
        <f>K170-'2022a_250206_1736'!K164</f>
        <v>0</v>
      </c>
      <c r="U170" s="5">
        <f>T170/'2022a_250206_1736'!K164</f>
        <v>0</v>
      </c>
      <c r="V170" s="4">
        <f>L170-'2022a_250206_1736'!L164</f>
        <v>-0.29414840000000009</v>
      </c>
      <c r="W170" s="5">
        <f>V170/'2022a_250206_1736'!L164</f>
        <v>-4.093104830669219E-2</v>
      </c>
    </row>
    <row r="171" spans="1:23" x14ac:dyDescent="0.25">
      <c r="A171">
        <v>170</v>
      </c>
      <c r="B171">
        <v>4</v>
      </c>
      <c r="C171" t="s">
        <v>16</v>
      </c>
      <c r="D171" t="s">
        <v>17</v>
      </c>
      <c r="E171" t="s">
        <v>18</v>
      </c>
      <c r="F171" t="s">
        <v>28</v>
      </c>
      <c r="G171" t="s">
        <v>20</v>
      </c>
      <c r="H171" t="s">
        <v>21</v>
      </c>
      <c r="I171" t="s">
        <v>64</v>
      </c>
      <c r="J171" t="s">
        <v>63</v>
      </c>
      <c r="K171">
        <v>2562</v>
      </c>
      <c r="L171" s="4">
        <v>6.9895031000000003</v>
      </c>
      <c r="M171" s="4">
        <v>63.785889456714656</v>
      </c>
      <c r="N171" s="4">
        <v>-25.043861215377692</v>
      </c>
      <c r="O171" s="1" t="str">
        <f>HYPERLINK(".\sm_car_250407_2318\sm_car_250407_2318_170_Ca004TrN_MaTUR_ode3_1.png","figure")</f>
        <v>figure</v>
      </c>
      <c r="P171" t="s">
        <v>15</v>
      </c>
      <c r="T171">
        <f>K171-'2022a_250206_1736'!K165</f>
        <v>0</v>
      </c>
      <c r="U171" s="5">
        <f>T171/'2022a_250206_1736'!K165</f>
        <v>0</v>
      </c>
      <c r="V171" s="4">
        <f>L171-'2022a_250206_1736'!L165</f>
        <v>-0.17478429999999978</v>
      </c>
      <c r="W171" s="5">
        <f>V171/'2022a_250206_1736'!L165</f>
        <v>-2.4396606423131458E-2</v>
      </c>
    </row>
    <row r="172" spans="1:23" x14ac:dyDescent="0.25">
      <c r="A172">
        <v>171</v>
      </c>
      <c r="B172">
        <v>116</v>
      </c>
      <c r="C172" t="s">
        <v>16</v>
      </c>
      <c r="D172" t="s">
        <v>35</v>
      </c>
      <c r="E172" t="s">
        <v>18</v>
      </c>
      <c r="F172" t="s">
        <v>28</v>
      </c>
      <c r="G172" t="s">
        <v>20</v>
      </c>
      <c r="H172" t="s">
        <v>21</v>
      </c>
      <c r="I172" t="s">
        <v>22</v>
      </c>
      <c r="J172" t="s">
        <v>63</v>
      </c>
      <c r="K172">
        <v>3244</v>
      </c>
      <c r="L172" s="4">
        <v>3.8433909000000002</v>
      </c>
      <c r="M172" s="4">
        <v>242.70379428436041</v>
      </c>
      <c r="N172" s="4">
        <v>0.23327324309701689</v>
      </c>
      <c r="O172" s="1" t="str">
        <f>HYPERLINK(".\sm_car_250407_2318\sm_car_250407_2318_171_Ca116TrN_MaWOT_ode3_1.png","figure")</f>
        <v>figure</v>
      </c>
      <c r="P172" t="s">
        <v>15</v>
      </c>
      <c r="T172">
        <f>K172-'2022a_250206_1736'!K166</f>
        <v>0</v>
      </c>
      <c r="U172" s="5">
        <f>T172/'2022a_250206_1736'!K166</f>
        <v>0</v>
      </c>
      <c r="V172" s="4">
        <f>L172-'2022a_250206_1736'!L166</f>
        <v>0.12431370000000008</v>
      </c>
      <c r="W172" s="5">
        <f>V172/'2022a_250206_1736'!L166</f>
        <v>3.3425953083200337E-2</v>
      </c>
    </row>
    <row r="173" spans="1:23" x14ac:dyDescent="0.25">
      <c r="A173">
        <v>172</v>
      </c>
      <c r="B173">
        <v>116</v>
      </c>
      <c r="C173" t="s">
        <v>16</v>
      </c>
      <c r="D173" t="s">
        <v>35</v>
      </c>
      <c r="E173" t="s">
        <v>18</v>
      </c>
      <c r="F173" t="s">
        <v>28</v>
      </c>
      <c r="G173" t="s">
        <v>20</v>
      </c>
      <c r="H173" t="s">
        <v>21</v>
      </c>
      <c r="I173" t="s">
        <v>24</v>
      </c>
      <c r="J173" t="s">
        <v>63</v>
      </c>
      <c r="K173">
        <v>2564</v>
      </c>
      <c r="L173" s="4">
        <v>3.1640804</v>
      </c>
      <c r="M173" s="4">
        <v>74.659491982450774</v>
      </c>
      <c r="N173" s="4">
        <v>-0.34093758006291858</v>
      </c>
      <c r="O173" s="1" t="str">
        <f>HYPERLINK(".\sm_car_250407_2318\sm_car_250407_2318_172_Ca116TrN_MaLSS_ode3_1.png","figure")</f>
        <v>figure</v>
      </c>
      <c r="P173" t="s">
        <v>15</v>
      </c>
      <c r="T173">
        <f>K173-'2022a_250206_1736'!K167</f>
        <v>0</v>
      </c>
      <c r="U173" s="5">
        <f>T173/'2022a_250206_1736'!K167</f>
        <v>0</v>
      </c>
      <c r="V173" s="4">
        <f>L173-'2022a_250206_1736'!L167</f>
        <v>4.0227100000000071E-2</v>
      </c>
      <c r="W173" s="5">
        <f>V173/'2022a_250206_1736'!L167</f>
        <v>1.2877397283668882E-2</v>
      </c>
    </row>
    <row r="174" spans="1:23" x14ac:dyDescent="0.25">
      <c r="A174">
        <v>173</v>
      </c>
      <c r="B174">
        <v>116</v>
      </c>
      <c r="C174" t="s">
        <v>16</v>
      </c>
      <c r="D174" t="s">
        <v>35</v>
      </c>
      <c r="E174" t="s">
        <v>18</v>
      </c>
      <c r="F174" t="s">
        <v>28</v>
      </c>
      <c r="G174" t="s">
        <v>20</v>
      </c>
      <c r="H174" t="s">
        <v>21</v>
      </c>
      <c r="I174" t="s">
        <v>64</v>
      </c>
      <c r="J174" t="s">
        <v>63</v>
      </c>
      <c r="K174">
        <v>2563</v>
      </c>
      <c r="L174" s="4">
        <v>3.1353441000000002</v>
      </c>
      <c r="M174" s="4">
        <v>71.32397117118802</v>
      </c>
      <c r="N174" s="4">
        <v>-17.591551103430934</v>
      </c>
      <c r="O174" s="1" t="str">
        <f>HYPERLINK(".\sm_car_250407_2318\sm_car_250407_2318_173_Ca116TrN_MaTUR_ode3_1.png","figure")</f>
        <v>figure</v>
      </c>
      <c r="P174" t="s">
        <v>15</v>
      </c>
      <c r="T174">
        <f>K174-'2022a_250206_1736'!K168</f>
        <v>0</v>
      </c>
      <c r="U174" s="5">
        <f>T174/'2022a_250206_1736'!K168</f>
        <v>0</v>
      </c>
      <c r="V174" s="4">
        <f>L174-'2022a_250206_1736'!L168</f>
        <v>2.0158200000000015E-2</v>
      </c>
      <c r="W174" s="5">
        <f>V174/'2022a_250206_1736'!L168</f>
        <v>6.4709460838276184E-3</v>
      </c>
    </row>
    <row r="175" spans="1:23" x14ac:dyDescent="0.25">
      <c r="A175">
        <v>174</v>
      </c>
      <c r="B175">
        <v>124</v>
      </c>
      <c r="C175" t="s">
        <v>16</v>
      </c>
      <c r="D175" t="s">
        <v>35</v>
      </c>
      <c r="E175" t="s">
        <v>49</v>
      </c>
      <c r="F175" t="s">
        <v>28</v>
      </c>
      <c r="G175" t="s">
        <v>20</v>
      </c>
      <c r="H175" t="s">
        <v>21</v>
      </c>
      <c r="I175" t="s">
        <v>22</v>
      </c>
      <c r="J175" t="s">
        <v>63</v>
      </c>
      <c r="K175">
        <v>3244</v>
      </c>
      <c r="L175" s="4">
        <v>2.0607779000000002</v>
      </c>
      <c r="M175" s="4">
        <v>242.88013068819623</v>
      </c>
      <c r="N175" s="4">
        <v>0.23307974035338433</v>
      </c>
      <c r="O175" s="1" t="str">
        <f>HYPERLINK(".\sm_car_250407_2318\sm_car_250407_2318_174_Ca124TrN_MaWOT_ode3_1.png","figure")</f>
        <v>figure</v>
      </c>
      <c r="P175" t="s">
        <v>15</v>
      </c>
      <c r="T175">
        <f>K175-'2022a_250206_1736'!K169</f>
        <v>0</v>
      </c>
      <c r="U175" s="5">
        <f>T175/'2022a_250206_1736'!K169</f>
        <v>0</v>
      </c>
      <c r="V175" s="4">
        <f>L175-'2022a_250206_1736'!L169</f>
        <v>-4.4231399999999699E-2</v>
      </c>
      <c r="W175" s="5">
        <f>V175/'2022a_250206_1736'!L169</f>
        <v>-2.1012448733599278E-2</v>
      </c>
    </row>
    <row r="176" spans="1:23" x14ac:dyDescent="0.25">
      <c r="A176">
        <v>175</v>
      </c>
      <c r="B176">
        <v>124</v>
      </c>
      <c r="C176" t="s">
        <v>16</v>
      </c>
      <c r="D176" t="s">
        <v>35</v>
      </c>
      <c r="E176" t="s">
        <v>49</v>
      </c>
      <c r="F176" t="s">
        <v>28</v>
      </c>
      <c r="G176" t="s">
        <v>20</v>
      </c>
      <c r="H176" t="s">
        <v>21</v>
      </c>
      <c r="I176" t="s">
        <v>24</v>
      </c>
      <c r="J176" t="s">
        <v>63</v>
      </c>
      <c r="K176">
        <v>2565</v>
      </c>
      <c r="L176" s="4">
        <v>1.6495759999999999</v>
      </c>
      <c r="M176" s="4">
        <v>74.798394612599097</v>
      </c>
      <c r="N176" s="4">
        <v>-0.34251622055333664</v>
      </c>
      <c r="O176" s="1" t="str">
        <f>HYPERLINK(".\sm_car_250407_2318\sm_car_250407_2318_175_Ca124TrN_MaLSS_ode3_1.png","figure")</f>
        <v>figure</v>
      </c>
      <c r="P176" t="s">
        <v>15</v>
      </c>
      <c r="T176">
        <f>K176-'2022a_250206_1736'!K170</f>
        <v>0</v>
      </c>
      <c r="U176" s="5">
        <f>T176/'2022a_250206_1736'!K170</f>
        <v>0</v>
      </c>
      <c r="V176" s="4">
        <f>L176-'2022a_250206_1736'!L170</f>
        <v>1.4101099999999978E-2</v>
      </c>
      <c r="W176" s="5">
        <f>V176/'2022a_250206_1736'!L170</f>
        <v>8.6220216525487361E-3</v>
      </c>
    </row>
    <row r="177" spans="1:23" x14ac:dyDescent="0.25">
      <c r="A177">
        <v>176</v>
      </c>
      <c r="B177">
        <v>124</v>
      </c>
      <c r="C177" t="s">
        <v>16</v>
      </c>
      <c r="D177" t="s">
        <v>35</v>
      </c>
      <c r="E177" t="s">
        <v>49</v>
      </c>
      <c r="F177" t="s">
        <v>28</v>
      </c>
      <c r="G177" t="s">
        <v>20</v>
      </c>
      <c r="H177" t="s">
        <v>21</v>
      </c>
      <c r="I177" t="s">
        <v>64</v>
      </c>
      <c r="J177" t="s">
        <v>63</v>
      </c>
      <c r="K177">
        <v>2564</v>
      </c>
      <c r="L177" s="4">
        <v>1.737438</v>
      </c>
      <c r="M177" s="4">
        <v>71.449352968456878</v>
      </c>
      <c r="N177" s="4">
        <v>-17.63759605520924</v>
      </c>
      <c r="O177" s="1" t="str">
        <f>HYPERLINK(".\sm_car_250407_2318\sm_car_250407_2318_176_Ca124TrN_MaTUR_ode3_1.png","figure")</f>
        <v>figure</v>
      </c>
      <c r="P177" t="s">
        <v>15</v>
      </c>
      <c r="T177">
        <f>K177-'2022a_250206_1736'!K171</f>
        <v>0</v>
      </c>
      <c r="U177" s="5">
        <f>T177/'2022a_250206_1736'!K171</f>
        <v>0</v>
      </c>
      <c r="V177" s="4">
        <f>L177-'2022a_250206_1736'!L171</f>
        <v>0.11284479999999997</v>
      </c>
      <c r="W177" s="5">
        <f>V177/'2022a_250206_1736'!L171</f>
        <v>6.9460342441418549E-2</v>
      </c>
    </row>
    <row r="178" spans="1:23" x14ac:dyDescent="0.25">
      <c r="A178">
        <v>177</v>
      </c>
      <c r="B178">
        <v>141</v>
      </c>
      <c r="C178" t="s">
        <v>45</v>
      </c>
      <c r="D178" t="s">
        <v>17</v>
      </c>
      <c r="E178" t="s">
        <v>18</v>
      </c>
      <c r="F178" t="s">
        <v>28</v>
      </c>
      <c r="G178" t="s">
        <v>26</v>
      </c>
      <c r="H178" t="s">
        <v>21</v>
      </c>
      <c r="I178" t="s">
        <v>22</v>
      </c>
      <c r="J178" t="s">
        <v>63</v>
      </c>
      <c r="K178">
        <v>3837</v>
      </c>
      <c r="L178" s="4">
        <v>12.116375</v>
      </c>
      <c r="M178" s="4">
        <v>405.30632146139419</v>
      </c>
      <c r="N178" s="4">
        <v>1.5698091478697282</v>
      </c>
      <c r="O178" s="1" t="str">
        <f>HYPERLINK(".\sm_car_250407_2318\sm_car_250407_2318_177_Ca141TrN_MaWOT_ode3_1.png","figure")</f>
        <v>figure</v>
      </c>
      <c r="P178" t="s">
        <v>15</v>
      </c>
      <c r="T178">
        <f>K178-'2022a_250206_1736'!K172</f>
        <v>3</v>
      </c>
      <c r="U178" s="5">
        <f>T178/'2022a_250206_1736'!K172</f>
        <v>7.8247261345852897E-4</v>
      </c>
      <c r="V178" s="4">
        <f>L178-'2022a_250206_1736'!L172</f>
        <v>-0.61130029999999991</v>
      </c>
      <c r="W178" s="5">
        <f>V178/'2022a_250206_1736'!L172</f>
        <v>-4.8029218658650091E-2</v>
      </c>
    </row>
    <row r="179" spans="1:23" x14ac:dyDescent="0.25">
      <c r="A179">
        <v>178</v>
      </c>
      <c r="B179">
        <v>141</v>
      </c>
      <c r="C179" t="s">
        <v>45</v>
      </c>
      <c r="D179" t="s">
        <v>17</v>
      </c>
      <c r="E179" t="s">
        <v>18</v>
      </c>
      <c r="F179" t="s">
        <v>28</v>
      </c>
      <c r="G179" t="s">
        <v>26</v>
      </c>
      <c r="H179" t="s">
        <v>21</v>
      </c>
      <c r="I179" t="s">
        <v>24</v>
      </c>
      <c r="J179" t="s">
        <v>63</v>
      </c>
      <c r="K179">
        <v>3192</v>
      </c>
      <c r="L179" s="4">
        <v>9.9887458000000002</v>
      </c>
      <c r="M179" s="4">
        <v>154.47541570703356</v>
      </c>
      <c r="N179" s="4">
        <v>-0.58371013006078798</v>
      </c>
      <c r="O179" s="1" t="str">
        <f>HYPERLINK(".\sm_car_250407_2318\sm_car_250407_2318_178_Ca141TrN_MaLSS_ode3_1.png","figure")</f>
        <v>figure</v>
      </c>
      <c r="P179" t="s">
        <v>15</v>
      </c>
      <c r="T179">
        <f>K179-'2022a_250206_1736'!K173</f>
        <v>0</v>
      </c>
      <c r="U179" s="5">
        <f>T179/'2022a_250206_1736'!K173</f>
        <v>0</v>
      </c>
      <c r="V179" s="4">
        <f>L179-'2022a_250206_1736'!L173</f>
        <v>-0.11278210000000044</v>
      </c>
      <c r="W179" s="5">
        <f>V179/'2022a_250206_1736'!L173</f>
        <v>-1.116485556605753E-2</v>
      </c>
    </row>
    <row r="180" spans="1:23" x14ac:dyDescent="0.25">
      <c r="A180">
        <v>179</v>
      </c>
      <c r="B180">
        <v>141</v>
      </c>
      <c r="C180" t="s">
        <v>45</v>
      </c>
      <c r="D180" t="s">
        <v>17</v>
      </c>
      <c r="E180" t="s">
        <v>18</v>
      </c>
      <c r="F180" t="s">
        <v>28</v>
      </c>
      <c r="G180" t="s">
        <v>26</v>
      </c>
      <c r="H180" t="s">
        <v>21</v>
      </c>
      <c r="I180" t="s">
        <v>64</v>
      </c>
      <c r="J180" t="s">
        <v>63</v>
      </c>
      <c r="K180">
        <v>3160</v>
      </c>
      <c r="L180" s="4">
        <v>9.9360505999999997</v>
      </c>
      <c r="M180" s="4">
        <v>98.34609098441716</v>
      </c>
      <c r="N180" s="4">
        <v>-87.528834315745812</v>
      </c>
      <c r="O180" s="1" t="str">
        <f>HYPERLINK(".\sm_car_250407_2318\sm_car_250407_2318_179_Ca141TrN_MaTUR_ode3_1.png","figure")</f>
        <v>figure</v>
      </c>
      <c r="P180" t="s">
        <v>15</v>
      </c>
      <c r="T180">
        <f>K180-'2022a_250206_1736'!K174</f>
        <v>0</v>
      </c>
      <c r="U180" s="5">
        <f>T180/'2022a_250206_1736'!K174</f>
        <v>0</v>
      </c>
      <c r="V180" s="4">
        <f>L180-'2022a_250206_1736'!L174</f>
        <v>-0.11598790000000037</v>
      </c>
      <c r="W180" s="5">
        <f>V180/'2022a_250206_1736'!L174</f>
        <v>-1.1538744106481523E-2</v>
      </c>
    </row>
    <row r="181" spans="1:23" x14ac:dyDescent="0.25">
      <c r="A181">
        <v>180</v>
      </c>
      <c r="B181">
        <v>145</v>
      </c>
      <c r="C181" t="s">
        <v>46</v>
      </c>
      <c r="D181" t="s">
        <v>17</v>
      </c>
      <c r="E181" t="s">
        <v>50</v>
      </c>
      <c r="F181" t="s">
        <v>19</v>
      </c>
      <c r="G181" t="s">
        <v>26</v>
      </c>
      <c r="H181" t="s">
        <v>21</v>
      </c>
      <c r="I181" t="s">
        <v>22</v>
      </c>
      <c r="J181" t="s">
        <v>63</v>
      </c>
      <c r="K181">
        <v>2852</v>
      </c>
      <c r="L181" s="4">
        <v>7.5782490999999998</v>
      </c>
      <c r="M181" s="4">
        <v>96.209184494552233</v>
      </c>
      <c r="N181" s="4">
        <v>-6.2658213780580313E-2</v>
      </c>
      <c r="O181" s="1" t="str">
        <f>HYPERLINK(".\sm_car_250407_2318\sm_car_250407_2318_180_Ca145TrN_MaWOT_ode3_1.png","figure")</f>
        <v>figure</v>
      </c>
      <c r="P181" t="s">
        <v>15</v>
      </c>
      <c r="T181">
        <f>K181-'2022a_250206_1736'!K175</f>
        <v>0</v>
      </c>
      <c r="U181" s="5">
        <f>T181/'2022a_250206_1736'!K175</f>
        <v>0</v>
      </c>
      <c r="V181" s="4">
        <f>L181-'2022a_250206_1736'!L175</f>
        <v>6.3837200000000038E-2</v>
      </c>
      <c r="W181" s="5">
        <f>V181/'2022a_250206_1736'!L175</f>
        <v>8.4953022072159819E-3</v>
      </c>
    </row>
    <row r="182" spans="1:23" x14ac:dyDescent="0.25">
      <c r="A182">
        <v>181</v>
      </c>
      <c r="B182">
        <v>145</v>
      </c>
      <c r="C182" t="s">
        <v>46</v>
      </c>
      <c r="D182" t="s">
        <v>17</v>
      </c>
      <c r="E182" t="s">
        <v>50</v>
      </c>
      <c r="F182" t="s">
        <v>19</v>
      </c>
      <c r="G182" t="s">
        <v>26</v>
      </c>
      <c r="H182" t="s">
        <v>21</v>
      </c>
      <c r="I182" t="s">
        <v>24</v>
      </c>
      <c r="J182" t="s">
        <v>63</v>
      </c>
      <c r="K182">
        <v>2379</v>
      </c>
      <c r="L182" s="4">
        <v>6.3005357000000002</v>
      </c>
      <c r="M182" s="4">
        <v>25.34577185651434</v>
      </c>
      <c r="N182" s="4">
        <v>-5.5557779286251149E-2</v>
      </c>
      <c r="O182" s="1" t="str">
        <f>HYPERLINK(".\sm_car_250407_2318\sm_car_250407_2318_181_Ca145TrN_MaLSS_ode3_1.png","figure")</f>
        <v>figure</v>
      </c>
      <c r="P182" t="s">
        <v>15</v>
      </c>
      <c r="T182">
        <f>K182-'2022a_250206_1736'!K176</f>
        <v>-1</v>
      </c>
      <c r="U182" s="5">
        <f>T182/'2022a_250206_1736'!K176</f>
        <v>-4.2016806722689078E-4</v>
      </c>
      <c r="V182" s="4">
        <f>L182-'2022a_250206_1736'!L176</f>
        <v>0.15280320000000014</v>
      </c>
      <c r="W182" s="5">
        <f>V182/'2022a_250206_1736'!L176</f>
        <v>2.4855212877268187E-2</v>
      </c>
    </row>
    <row r="183" spans="1:23" x14ac:dyDescent="0.25">
      <c r="A183">
        <v>182</v>
      </c>
      <c r="B183">
        <v>145</v>
      </c>
      <c r="C183" t="s">
        <v>46</v>
      </c>
      <c r="D183" t="s">
        <v>17</v>
      </c>
      <c r="E183" t="s">
        <v>50</v>
      </c>
      <c r="F183" t="s">
        <v>19</v>
      </c>
      <c r="G183" t="s">
        <v>26</v>
      </c>
      <c r="H183" t="s">
        <v>21</v>
      </c>
      <c r="I183" t="s">
        <v>64</v>
      </c>
      <c r="J183" t="s">
        <v>63</v>
      </c>
      <c r="K183">
        <v>2381</v>
      </c>
      <c r="L183" s="4">
        <v>6.2908891000000002</v>
      </c>
      <c r="M183" s="4">
        <v>25.187072900127831</v>
      </c>
      <c r="N183" s="4">
        <v>-2.6264773257736613</v>
      </c>
      <c r="O183" s="1" t="str">
        <f>HYPERLINK(".\sm_car_250407_2318\sm_car_250407_2318_182_Ca145TrN_MaTUR_ode3_1.png","figure")</f>
        <v>figure</v>
      </c>
      <c r="P183" t="s">
        <v>15</v>
      </c>
      <c r="T183">
        <f>K183-'2022a_250206_1736'!K177</f>
        <v>0</v>
      </c>
      <c r="U183" s="5">
        <f>T183/'2022a_250206_1736'!K177</f>
        <v>0</v>
      </c>
      <c r="V183" s="4">
        <f>L183-'2022a_250206_1736'!L177</f>
        <v>-3.9441599999999966E-2</v>
      </c>
      <c r="W183" s="5">
        <f>V183/'2022a_250206_1736'!L177</f>
        <v>-6.2305749682240079E-3</v>
      </c>
    </row>
    <row r="184" spans="1:23" x14ac:dyDescent="0.25">
      <c r="A184">
        <v>183</v>
      </c>
      <c r="B184">
        <v>199</v>
      </c>
      <c r="C184" t="s">
        <v>46</v>
      </c>
      <c r="D184" t="s">
        <v>17</v>
      </c>
      <c r="E184" t="s">
        <v>109</v>
      </c>
      <c r="F184" t="s">
        <v>19</v>
      </c>
      <c r="G184" t="s">
        <v>26</v>
      </c>
      <c r="H184" t="s">
        <v>21</v>
      </c>
      <c r="I184" t="s">
        <v>22</v>
      </c>
      <c r="J184" t="s">
        <v>63</v>
      </c>
      <c r="K184">
        <v>2857</v>
      </c>
      <c r="L184" s="4">
        <v>8.3990234000000008</v>
      </c>
      <c r="M184" s="4">
        <v>96.879869854711799</v>
      </c>
      <c r="N184" s="4">
        <v>0.14649362080475317</v>
      </c>
      <c r="O184" s="1" t="str">
        <f>HYPERLINK(".\sm_car_250407_2318\sm_car_250407_2318_183_Ca199TrN_MaWOT_ode3_1.png","figure")</f>
        <v>figure</v>
      </c>
      <c r="P184" t="s">
        <v>15</v>
      </c>
      <c r="T184">
        <f>K184-'2022a_250206_1736'!K178</f>
        <v>3</v>
      </c>
      <c r="U184" s="5">
        <f>T184/'2022a_250206_1736'!K178</f>
        <v>1.0511562718990891E-3</v>
      </c>
      <c r="V184" s="4">
        <f>L184-'2022a_250206_1736'!L178</f>
        <v>0.25633180000000166</v>
      </c>
      <c r="W184" s="5">
        <f>V184/'2022a_250206_1736'!L178</f>
        <v>3.1479983842198037E-2</v>
      </c>
    </row>
    <row r="185" spans="1:23" x14ac:dyDescent="0.25">
      <c r="A185">
        <v>184</v>
      </c>
      <c r="B185">
        <v>199</v>
      </c>
      <c r="C185" t="s">
        <v>46</v>
      </c>
      <c r="D185" t="s">
        <v>17</v>
      </c>
      <c r="E185" t="s">
        <v>109</v>
      </c>
      <c r="F185" t="s">
        <v>19</v>
      </c>
      <c r="G185" t="s">
        <v>26</v>
      </c>
      <c r="H185" t="s">
        <v>21</v>
      </c>
      <c r="I185" t="s">
        <v>24</v>
      </c>
      <c r="J185" t="s">
        <v>63</v>
      </c>
      <c r="K185">
        <v>2381</v>
      </c>
      <c r="L185" s="4">
        <v>7.2976410999999999</v>
      </c>
      <c r="M185" s="4">
        <v>25.961858178650331</v>
      </c>
      <c r="N185" s="4">
        <v>-2.8545665472503836E-2</v>
      </c>
      <c r="O185" s="1" t="str">
        <f>HYPERLINK(".\sm_car_250407_2318\sm_car_250407_2318_184_Ca199TrN_MaLSS_ode3_1.png","figure")</f>
        <v>figure</v>
      </c>
      <c r="P185" t="s">
        <v>15</v>
      </c>
      <c r="T185">
        <f>K185-'2022a_250206_1736'!K179</f>
        <v>0</v>
      </c>
      <c r="U185" s="5">
        <f>T185/'2022a_250206_1736'!K179</f>
        <v>0</v>
      </c>
      <c r="V185" s="4">
        <f>L185-'2022a_250206_1736'!L179</f>
        <v>5.1417899999999683E-2</v>
      </c>
      <c r="W185" s="5">
        <f>V185/'2022a_250206_1736'!L179</f>
        <v>7.0958206200437881E-3</v>
      </c>
    </row>
    <row r="186" spans="1:23" x14ac:dyDescent="0.25">
      <c r="A186">
        <v>185</v>
      </c>
      <c r="B186">
        <v>199</v>
      </c>
      <c r="C186" t="s">
        <v>46</v>
      </c>
      <c r="D186" t="s">
        <v>17</v>
      </c>
      <c r="E186" t="s">
        <v>109</v>
      </c>
      <c r="F186" t="s">
        <v>19</v>
      </c>
      <c r="G186" t="s">
        <v>26</v>
      </c>
      <c r="H186" t="s">
        <v>21</v>
      </c>
      <c r="I186" t="s">
        <v>64</v>
      </c>
      <c r="J186" t="s">
        <v>63</v>
      </c>
      <c r="K186">
        <v>2383</v>
      </c>
      <c r="L186" s="4">
        <v>7.0443559999999996</v>
      </c>
      <c r="M186" s="4">
        <v>25.754349123408758</v>
      </c>
      <c r="N186" s="4">
        <v>-2.6782060540286721</v>
      </c>
      <c r="O186" s="1" t="str">
        <f>HYPERLINK(".\sm_car_250407_2318\sm_car_250407_2318_185_Ca199TrN_MaTUR_ode3_1.png","figure")</f>
        <v>figure</v>
      </c>
      <c r="P186" t="s">
        <v>15</v>
      </c>
      <c r="T186">
        <f>K186-'2022a_250206_1736'!K180</f>
        <v>-2</v>
      </c>
      <c r="U186" s="5">
        <f>T186/'2022a_250206_1736'!K180</f>
        <v>-8.3857442348008382E-4</v>
      </c>
      <c r="V186" s="4">
        <f>L186-'2022a_250206_1736'!L180</f>
        <v>7.5764099999999779E-2</v>
      </c>
      <c r="W186" s="5">
        <f>V186/'2022a_250206_1736'!L180</f>
        <v>1.0872225133459141E-2</v>
      </c>
    </row>
    <row r="187" spans="1:23" x14ac:dyDescent="0.25">
      <c r="A187">
        <v>186</v>
      </c>
      <c r="B187">
        <v>139</v>
      </c>
      <c r="C187" t="s">
        <v>45</v>
      </c>
      <c r="D187" t="s">
        <v>17</v>
      </c>
      <c r="E187" t="s">
        <v>18</v>
      </c>
      <c r="F187" t="s">
        <v>19</v>
      </c>
      <c r="G187" t="s">
        <v>26</v>
      </c>
      <c r="H187" t="s">
        <v>21</v>
      </c>
      <c r="I187" t="s">
        <v>53</v>
      </c>
      <c r="J187" t="s">
        <v>23</v>
      </c>
      <c r="K187">
        <v>589</v>
      </c>
      <c r="L187" s="4">
        <v>11.6068958</v>
      </c>
      <c r="M187" s="4">
        <v>253.66716402312341</v>
      </c>
      <c r="N187" s="4">
        <v>-6.7269590350349517E-3</v>
      </c>
      <c r="O187" s="1" t="str">
        <f>HYPERLINK(".\sm_car_250407_2318\sm_car_250407_2318_186_Ca139TrN_MaDLC_ode23t_1.png","figure")</f>
        <v>figure</v>
      </c>
      <c r="P187" t="s">
        <v>15</v>
      </c>
      <c r="T187">
        <f>K187-'2022a_250206_1736'!K181</f>
        <v>23</v>
      </c>
      <c r="U187" s="5">
        <f>T187/'2022a_250206_1736'!K181</f>
        <v>4.0636042402826852E-2</v>
      </c>
      <c r="V187" s="4">
        <f>L187-'2022a_250206_1736'!L181</f>
        <v>-0.80648039999999988</v>
      </c>
      <c r="W187" s="5">
        <f>V187/'2022a_250206_1736'!L181</f>
        <v>-6.4968658566877224E-2</v>
      </c>
    </row>
    <row r="188" spans="1:23" x14ac:dyDescent="0.25">
      <c r="A188">
        <v>187</v>
      </c>
      <c r="B188">
        <v>139</v>
      </c>
      <c r="C188" t="s">
        <v>45</v>
      </c>
      <c r="D188" t="s">
        <v>17</v>
      </c>
      <c r="E188" t="s">
        <v>18</v>
      </c>
      <c r="F188" t="s">
        <v>19</v>
      </c>
      <c r="G188" t="s">
        <v>26</v>
      </c>
      <c r="H188" t="s">
        <v>65</v>
      </c>
      <c r="I188" t="s">
        <v>53</v>
      </c>
      <c r="J188" t="s">
        <v>23</v>
      </c>
      <c r="K188">
        <v>911</v>
      </c>
      <c r="L188" s="4">
        <v>30.638663000000001</v>
      </c>
      <c r="M188" s="4">
        <v>253.27020861302225</v>
      </c>
      <c r="N188" s="4">
        <v>0.18002810014204007</v>
      </c>
      <c r="O188" s="1" t="str">
        <f>HYPERLINK(".\sm_car_250407_2318\sm_car_250407_2318_187_Ca139TrE_MaDLC_ode23t_1.png","figure")</f>
        <v>figure</v>
      </c>
      <c r="P188" t="s">
        <v>15</v>
      </c>
      <c r="T188">
        <f>K188-'2022a_250206_1736'!K182</f>
        <v>3</v>
      </c>
      <c r="U188" s="5">
        <f>T188/'2022a_250206_1736'!K182</f>
        <v>3.3039647577092512E-3</v>
      </c>
      <c r="V188" s="4">
        <f>L188-'2022a_250206_1736'!L182</f>
        <v>-0.76968499999999906</v>
      </c>
      <c r="W188" s="5">
        <f>V188/'2022a_250206_1736'!L182</f>
        <v>-2.450574605197316E-2</v>
      </c>
    </row>
    <row r="189" spans="1:23" x14ac:dyDescent="0.25">
      <c r="A189">
        <v>188</v>
      </c>
      <c r="B189">
        <v>139</v>
      </c>
      <c r="C189" t="s">
        <v>45</v>
      </c>
      <c r="D189" t="s">
        <v>17</v>
      </c>
      <c r="E189" t="s">
        <v>18</v>
      </c>
      <c r="F189" t="s">
        <v>19</v>
      </c>
      <c r="G189" t="s">
        <v>26</v>
      </c>
      <c r="H189" t="s">
        <v>66</v>
      </c>
      <c r="I189" t="s">
        <v>53</v>
      </c>
      <c r="J189" t="s">
        <v>23</v>
      </c>
      <c r="K189">
        <v>1021</v>
      </c>
      <c r="L189" s="4">
        <v>36.563655199999999</v>
      </c>
      <c r="M189" s="4">
        <v>253.39459601151697</v>
      </c>
      <c r="N189" s="4">
        <v>-6.4681254662422027E-3</v>
      </c>
      <c r="O189" s="1" t="str">
        <f>HYPERLINK(".\sm_car_250407_2318\sm_car_250407_2318_188_Ca139TrT_MaDLC_ode23t_1.png","figure")</f>
        <v>figure</v>
      </c>
      <c r="P189" t="s">
        <v>15</v>
      </c>
      <c r="T189">
        <f>K189-'2022a_250206_1736'!K183</f>
        <v>74</v>
      </c>
      <c r="U189" s="5">
        <f>T189/'2022a_250206_1736'!K183</f>
        <v>7.8141499472016901E-2</v>
      </c>
      <c r="V189" s="4">
        <f>L189-'2022a_250206_1736'!L183</f>
        <v>3.2792732999999998</v>
      </c>
      <c r="W189" s="5">
        <f>V189/'2022a_250206_1736'!L183</f>
        <v>9.8522884091772775E-2</v>
      </c>
    </row>
    <row r="190" spans="1:23" x14ac:dyDescent="0.25">
      <c r="A190">
        <v>189</v>
      </c>
      <c r="B190">
        <v>139</v>
      </c>
      <c r="C190" t="s">
        <v>45</v>
      </c>
      <c r="D190" t="s">
        <v>17</v>
      </c>
      <c r="E190" t="s">
        <v>18</v>
      </c>
      <c r="F190" t="s">
        <v>19</v>
      </c>
      <c r="G190" t="s">
        <v>26</v>
      </c>
      <c r="H190" t="s">
        <v>65</v>
      </c>
      <c r="I190" t="s">
        <v>53</v>
      </c>
      <c r="J190" t="s">
        <v>23</v>
      </c>
      <c r="K190">
        <v>766</v>
      </c>
      <c r="L190" s="4">
        <v>19.416282599999999</v>
      </c>
      <c r="M190" s="4">
        <v>253.87757504944528</v>
      </c>
      <c r="N190" s="4">
        <v>1.1888006338824031E-2</v>
      </c>
      <c r="O190" s="1" t="str">
        <f>HYPERLINK(".\sm_car_250407_2318\sm_car_250407_2318_189_Ca139TrE_MaDLC_ode23t_1.png","figure")</f>
        <v>figure</v>
      </c>
      <c r="P190" t="s">
        <v>15</v>
      </c>
      <c r="T190">
        <f>K190-'2022a_250206_1736'!K184</f>
        <v>2</v>
      </c>
      <c r="U190" s="5">
        <f>T190/'2022a_250206_1736'!K184</f>
        <v>2.617801047120419E-3</v>
      </c>
      <c r="V190" s="4">
        <f>L190-'2022a_250206_1736'!L184</f>
        <v>-3.4593226000000001</v>
      </c>
      <c r="W190" s="5">
        <f>V190/'2022a_250206_1736'!L184</f>
        <v>-0.15122321659931429</v>
      </c>
    </row>
    <row r="191" spans="1:23" x14ac:dyDescent="0.25">
      <c r="A191">
        <v>190</v>
      </c>
      <c r="B191">
        <v>2</v>
      </c>
      <c r="C191" t="s">
        <v>16</v>
      </c>
      <c r="D191" t="s">
        <v>17</v>
      </c>
      <c r="E191" t="s">
        <v>18</v>
      </c>
      <c r="F191" t="s">
        <v>19</v>
      </c>
      <c r="G191" t="s">
        <v>26</v>
      </c>
      <c r="H191" t="s">
        <v>21</v>
      </c>
      <c r="I191" t="s">
        <v>53</v>
      </c>
      <c r="J191" t="s">
        <v>23</v>
      </c>
      <c r="K191">
        <v>634</v>
      </c>
      <c r="L191" s="4">
        <v>9.4930739000000006</v>
      </c>
      <c r="M191" s="4">
        <v>253.90000433336763</v>
      </c>
      <c r="N191" s="4">
        <v>3.3371282063554553E-3</v>
      </c>
      <c r="O191" s="1" t="str">
        <f>HYPERLINK(".\sm_car_250407_2318\sm_car_250407_2318_190_Ca002TrN_MaDLC_ode23t_1.png","figure")</f>
        <v>figure</v>
      </c>
      <c r="P191" t="s">
        <v>15</v>
      </c>
      <c r="T191">
        <f>K191-'2022a_250206_1736'!K185</f>
        <v>6</v>
      </c>
      <c r="U191" s="5">
        <f>T191/'2022a_250206_1736'!K185</f>
        <v>9.5541401273885346E-3</v>
      </c>
      <c r="V191" s="4">
        <f>L191-'2022a_250206_1736'!L185</f>
        <v>-1.2991611999999986</v>
      </c>
      <c r="W191" s="5">
        <f>V191/'2022a_250206_1736'!L185</f>
        <v>-0.12037925304277319</v>
      </c>
    </row>
    <row r="192" spans="1:23" x14ac:dyDescent="0.25">
      <c r="A192">
        <v>191</v>
      </c>
      <c r="B192">
        <v>2</v>
      </c>
      <c r="C192" t="s">
        <v>16</v>
      </c>
      <c r="D192" t="s">
        <v>17</v>
      </c>
      <c r="E192" t="s">
        <v>18</v>
      </c>
      <c r="F192" t="s">
        <v>19</v>
      </c>
      <c r="G192" t="s">
        <v>26</v>
      </c>
      <c r="H192" t="s">
        <v>65</v>
      </c>
      <c r="I192" t="s">
        <v>53</v>
      </c>
      <c r="J192" t="s">
        <v>23</v>
      </c>
      <c r="K192">
        <v>791</v>
      </c>
      <c r="L192" s="4">
        <v>22.2755519</v>
      </c>
      <c r="M192" s="4">
        <v>253.83997308275849</v>
      </c>
      <c r="N192" s="4">
        <v>3.3926734565241645E-3</v>
      </c>
      <c r="O192" s="1" t="str">
        <f>HYPERLINK(".\sm_car_250407_2318\sm_car_250407_2318_191_Ca002TrE_MaDLC_ode23t_1.png","figure")</f>
        <v>figure</v>
      </c>
      <c r="P192" t="s">
        <v>15</v>
      </c>
      <c r="T192">
        <f>K192-'2022a_250206_1736'!K186</f>
        <v>3</v>
      </c>
      <c r="U192" s="5">
        <f>T192/'2022a_250206_1736'!K186</f>
        <v>3.8071065989847717E-3</v>
      </c>
      <c r="V192" s="4">
        <f>L192-'2022a_250206_1736'!L186</f>
        <v>-1.9710536000000012</v>
      </c>
      <c r="W192" s="5">
        <f>V192/'2022a_250206_1736'!L186</f>
        <v>-8.1291940020222664E-2</v>
      </c>
    </row>
    <row r="193" spans="1:23" x14ac:dyDescent="0.25">
      <c r="A193">
        <v>192</v>
      </c>
      <c r="B193">
        <v>2</v>
      </c>
      <c r="C193" t="s">
        <v>16</v>
      </c>
      <c r="D193" t="s">
        <v>17</v>
      </c>
      <c r="E193" t="s">
        <v>18</v>
      </c>
      <c r="F193" t="s">
        <v>19</v>
      </c>
      <c r="G193" t="s">
        <v>26</v>
      </c>
      <c r="H193" t="s">
        <v>66</v>
      </c>
      <c r="I193" t="s">
        <v>53</v>
      </c>
      <c r="J193" t="s">
        <v>23</v>
      </c>
      <c r="K193">
        <v>916</v>
      </c>
      <c r="L193" s="4">
        <v>25.080868299999999</v>
      </c>
      <c r="M193" s="4">
        <v>253.58906424966762</v>
      </c>
      <c r="N193" s="4">
        <v>3.5312375439850996E-3</v>
      </c>
      <c r="O193" s="1" t="str">
        <f>HYPERLINK(".\sm_car_250407_2318\sm_car_250407_2318_192_Ca002TrT_MaDLC_ode23t_1.png","figure")</f>
        <v>figure</v>
      </c>
      <c r="P193" t="s">
        <v>15</v>
      </c>
      <c r="T193">
        <f>K193-'2022a_250206_1736'!K187</f>
        <v>-66</v>
      </c>
      <c r="U193" s="5">
        <f>T193/'2022a_250206_1736'!K187</f>
        <v>-6.720977596741344E-2</v>
      </c>
      <c r="V193" s="4">
        <f>L193-'2022a_250206_1736'!L187</f>
        <v>-8.2645557000000025</v>
      </c>
      <c r="W193" s="5">
        <f>V193/'2022a_250206_1736'!L187</f>
        <v>-0.24784677201885338</v>
      </c>
    </row>
    <row r="194" spans="1:23" x14ac:dyDescent="0.25">
      <c r="A194">
        <v>193</v>
      </c>
      <c r="B194">
        <v>2</v>
      </c>
      <c r="C194" t="s">
        <v>16</v>
      </c>
      <c r="D194" t="s">
        <v>17</v>
      </c>
      <c r="E194" t="s">
        <v>18</v>
      </c>
      <c r="F194" t="s">
        <v>19</v>
      </c>
      <c r="G194" t="s">
        <v>26</v>
      </c>
      <c r="H194" t="s">
        <v>65</v>
      </c>
      <c r="I194" t="s">
        <v>53</v>
      </c>
      <c r="J194" t="s">
        <v>23</v>
      </c>
      <c r="K194">
        <v>793</v>
      </c>
      <c r="L194" s="4">
        <v>16.5477989</v>
      </c>
      <c r="M194" s="4">
        <v>253.84061674016567</v>
      </c>
      <c r="N194" s="4">
        <v>3.3896351311888395E-3</v>
      </c>
      <c r="O194" s="1" t="str">
        <f>HYPERLINK(".\sm_car_250407_2318\sm_car_250407_2318_193_Ca002TrE_MaDLC_ode23t_1.png","figure")</f>
        <v>figure</v>
      </c>
      <c r="P194" t="s">
        <v>15</v>
      </c>
      <c r="T194">
        <f>K194-'2022a_250206_1736'!K188</f>
        <v>10</v>
      </c>
      <c r="U194" s="5">
        <f>T194/'2022a_250206_1736'!K188</f>
        <v>1.277139208173691E-2</v>
      </c>
      <c r="V194" s="4">
        <f>L194-'2022a_250206_1736'!L188</f>
        <v>-1.7747689000000015</v>
      </c>
      <c r="W194" s="5">
        <f>V194/'2022a_250206_1736'!L188</f>
        <v>-9.6862455053925434E-2</v>
      </c>
    </row>
    <row r="195" spans="1:23" x14ac:dyDescent="0.25">
      <c r="A195">
        <v>194</v>
      </c>
      <c r="B195">
        <v>145</v>
      </c>
      <c r="C195" t="s">
        <v>46</v>
      </c>
      <c r="D195" t="s">
        <v>17</v>
      </c>
      <c r="E195" t="s">
        <v>50</v>
      </c>
      <c r="F195" t="s">
        <v>19</v>
      </c>
      <c r="G195" t="s">
        <v>26</v>
      </c>
      <c r="H195" t="s">
        <v>21</v>
      </c>
      <c r="I195" t="s">
        <v>53</v>
      </c>
      <c r="J195" t="s">
        <v>23</v>
      </c>
      <c r="K195">
        <v>487</v>
      </c>
      <c r="L195" s="4">
        <v>17.852225799999999</v>
      </c>
      <c r="M195" s="4">
        <v>254.26090186541876</v>
      </c>
      <c r="N195" s="4">
        <v>4.5453762582539969E-2</v>
      </c>
      <c r="O195" s="1" t="str">
        <f>HYPERLINK(".\sm_car_250407_2318\sm_car_250407_2318_194_Ca145TrN_MaDLC_ode23t_1.png","figure")</f>
        <v>figure</v>
      </c>
      <c r="P195" t="s">
        <v>15</v>
      </c>
      <c r="T195">
        <f>K195-'2022a_250206_1736'!K189</f>
        <v>2</v>
      </c>
      <c r="U195" s="5">
        <f>T195/'2022a_250206_1736'!K189</f>
        <v>4.1237113402061857E-3</v>
      </c>
      <c r="V195" s="4">
        <f>L195-'2022a_250206_1736'!L189</f>
        <v>-3.1428104999999995</v>
      </c>
      <c r="W195" s="5">
        <f>V195/'2022a_250206_1736'!L189</f>
        <v>-0.14969302529855591</v>
      </c>
    </row>
    <row r="196" spans="1:23" x14ac:dyDescent="0.25">
      <c r="A196">
        <v>195</v>
      </c>
      <c r="B196">
        <v>145</v>
      </c>
      <c r="C196" t="s">
        <v>46</v>
      </c>
      <c r="D196" t="s">
        <v>17</v>
      </c>
      <c r="E196" t="s">
        <v>50</v>
      </c>
      <c r="F196" t="s">
        <v>19</v>
      </c>
      <c r="G196" t="s">
        <v>26</v>
      </c>
      <c r="H196" t="s">
        <v>65</v>
      </c>
      <c r="I196" t="s">
        <v>53</v>
      </c>
      <c r="J196" t="s">
        <v>23</v>
      </c>
      <c r="K196">
        <v>560</v>
      </c>
      <c r="L196" s="4">
        <v>31.9461379</v>
      </c>
      <c r="M196" s="4">
        <v>254.12654475752146</v>
      </c>
      <c r="N196" s="4">
        <v>4.6233497366684695E-2</v>
      </c>
      <c r="O196" s="1" t="str">
        <f>HYPERLINK(".\sm_car_250407_2318\sm_car_250407_2318_195_Ca145TrE_MaDLC_ode23t_1.png","figure")</f>
        <v>figure</v>
      </c>
      <c r="P196" t="s">
        <v>15</v>
      </c>
      <c r="T196">
        <f>K196-'2022a_250206_1736'!K190</f>
        <v>0</v>
      </c>
      <c r="U196" s="5">
        <f>T196/'2022a_250206_1736'!K190</f>
        <v>0</v>
      </c>
      <c r="V196" s="4">
        <f>L196-'2022a_250206_1736'!L190</f>
        <v>-7.5508406999999984</v>
      </c>
      <c r="W196" s="5">
        <f>V196/'2022a_250206_1736'!L190</f>
        <v>-0.19117514725544091</v>
      </c>
    </row>
    <row r="197" spans="1:23" x14ac:dyDescent="0.25">
      <c r="A197">
        <v>196</v>
      </c>
      <c r="B197">
        <v>145</v>
      </c>
      <c r="C197" t="s">
        <v>46</v>
      </c>
      <c r="D197" t="s">
        <v>17</v>
      </c>
      <c r="E197" t="s">
        <v>50</v>
      </c>
      <c r="F197" t="s">
        <v>19</v>
      </c>
      <c r="G197" t="s">
        <v>26</v>
      </c>
      <c r="H197" t="s">
        <v>66</v>
      </c>
      <c r="I197" t="s">
        <v>53</v>
      </c>
      <c r="J197" t="s">
        <v>23</v>
      </c>
      <c r="K197">
        <v>600</v>
      </c>
      <c r="L197" s="4">
        <v>34.074208300000002</v>
      </c>
      <c r="M197" s="4">
        <v>253.25960144675213</v>
      </c>
      <c r="N197" s="4">
        <v>4.9207530333350125E-2</v>
      </c>
      <c r="O197" s="1" t="str">
        <f>HYPERLINK(".\sm_car_250407_2318\sm_car_250407_2318_196_Ca145TrT_MaDLC_ode23t_1.png","figure")</f>
        <v>figure</v>
      </c>
      <c r="P197" t="s">
        <v>15</v>
      </c>
      <c r="T197">
        <f>K197-'2022a_250206_1736'!K191</f>
        <v>-39</v>
      </c>
      <c r="U197" s="5">
        <f>T197/'2022a_250206_1736'!K191</f>
        <v>-6.1032863849765258E-2</v>
      </c>
      <c r="V197" s="4">
        <f>L197-'2022a_250206_1736'!L191</f>
        <v>-6.9353982999999957</v>
      </c>
      <c r="W197" s="5">
        <f>V197/'2022a_250206_1736'!L191</f>
        <v>-0.16911643088036832</v>
      </c>
    </row>
    <row r="198" spans="1:23" x14ac:dyDescent="0.25">
      <c r="A198">
        <v>197</v>
      </c>
      <c r="B198">
        <v>145</v>
      </c>
      <c r="C198" t="s">
        <v>46</v>
      </c>
      <c r="D198" t="s">
        <v>17</v>
      </c>
      <c r="E198" t="s">
        <v>50</v>
      </c>
      <c r="F198" t="s">
        <v>19</v>
      </c>
      <c r="G198" t="s">
        <v>26</v>
      </c>
      <c r="H198" t="s">
        <v>65</v>
      </c>
      <c r="I198" t="s">
        <v>53</v>
      </c>
      <c r="J198" t="s">
        <v>23</v>
      </c>
      <c r="K198">
        <v>560</v>
      </c>
      <c r="L198" s="4">
        <v>28.253225100000002</v>
      </c>
      <c r="M198" s="4">
        <v>253.30384111675301</v>
      </c>
      <c r="N198" s="4">
        <v>4.9397216514333486E-2</v>
      </c>
      <c r="O198" s="1" t="str">
        <f>HYPERLINK(".\sm_car_250407_2318\sm_car_250407_2318_197_Ca145TrE_MaDLC_ode23t_1.png","figure")</f>
        <v>figure</v>
      </c>
      <c r="P198" t="s">
        <v>15</v>
      </c>
      <c r="T198">
        <f>K198-'2022a_250206_1736'!K192</f>
        <v>7</v>
      </c>
      <c r="U198" s="5">
        <f>T198/'2022a_250206_1736'!K192</f>
        <v>1.2658227848101266E-2</v>
      </c>
      <c r="V198" s="4">
        <f>L198-'2022a_250206_1736'!L192</f>
        <v>-4.5156068000000005</v>
      </c>
      <c r="W198" s="5">
        <f>V198/'2022a_250206_1736'!L192</f>
        <v>-0.13780188484533684</v>
      </c>
    </row>
    <row r="199" spans="1:23" x14ac:dyDescent="0.25">
      <c r="A199">
        <v>198</v>
      </c>
      <c r="B199">
        <v>199</v>
      </c>
      <c r="C199" t="s">
        <v>46</v>
      </c>
      <c r="D199" t="s">
        <v>17</v>
      </c>
      <c r="E199" t="s">
        <v>109</v>
      </c>
      <c r="F199" t="s">
        <v>19</v>
      </c>
      <c r="G199" t="s">
        <v>26</v>
      </c>
      <c r="H199" t="s">
        <v>21</v>
      </c>
      <c r="I199" t="s">
        <v>53</v>
      </c>
      <c r="J199" t="s">
        <v>23</v>
      </c>
      <c r="K199">
        <v>483</v>
      </c>
      <c r="L199" s="4">
        <v>7.2170899000000004</v>
      </c>
      <c r="M199" s="4">
        <v>255.3453297362725</v>
      </c>
      <c r="N199" s="4">
        <v>4.1324330178382773E-2</v>
      </c>
      <c r="O199" s="1" t="str">
        <f>HYPERLINK(".\sm_car_250407_2318\sm_car_250407_2318_198_Ca199TrN_MaDLC_ode23t_1.png","figure")</f>
        <v>figure</v>
      </c>
      <c r="P199" t="s">
        <v>15</v>
      </c>
      <c r="T199">
        <f>K199-'2022a_250206_1736'!K193</f>
        <v>-8</v>
      </c>
      <c r="U199" s="5">
        <f>T199/'2022a_250206_1736'!K193</f>
        <v>-1.6293279022403257E-2</v>
      </c>
      <c r="V199" s="4">
        <f>L199-'2022a_250206_1736'!L193</f>
        <v>-1.254259499999999</v>
      </c>
      <c r="W199" s="5">
        <f>V199/'2022a_250206_1736'!L193</f>
        <v>-0.14805899754294152</v>
      </c>
    </row>
    <row r="200" spans="1:23" x14ac:dyDescent="0.25">
      <c r="A200">
        <v>199</v>
      </c>
      <c r="B200">
        <v>199</v>
      </c>
      <c r="C200" t="s">
        <v>46</v>
      </c>
      <c r="D200" t="s">
        <v>17</v>
      </c>
      <c r="E200" t="s">
        <v>109</v>
      </c>
      <c r="F200" t="s">
        <v>19</v>
      </c>
      <c r="G200" t="s">
        <v>26</v>
      </c>
      <c r="H200" t="s">
        <v>65</v>
      </c>
      <c r="I200" t="s">
        <v>53</v>
      </c>
      <c r="J200" t="s">
        <v>23</v>
      </c>
      <c r="K200">
        <v>552</v>
      </c>
      <c r="L200" s="4">
        <v>17.407291600000001</v>
      </c>
      <c r="M200" s="4">
        <v>254.12773276408967</v>
      </c>
      <c r="N200" s="4">
        <v>4.6188562379163134E-2</v>
      </c>
      <c r="O200" s="1" t="str">
        <f>HYPERLINK(".\sm_car_250407_2318\sm_car_250407_2318_199_Ca199TrE_MaDLC_ode23t_1.png","figure")</f>
        <v>figure</v>
      </c>
      <c r="P200" t="s">
        <v>15</v>
      </c>
      <c r="T200">
        <f>K200-'2022a_250206_1736'!K194</f>
        <v>-11</v>
      </c>
      <c r="U200" s="5">
        <f>T200/'2022a_250206_1736'!K194</f>
        <v>-1.9538188277087035E-2</v>
      </c>
      <c r="V200" s="4">
        <f>L200-'2022a_250206_1736'!L194</f>
        <v>-2.655619999999999</v>
      </c>
      <c r="W200" s="5">
        <f>V200/'2022a_250206_1736'!L194</f>
        <v>-0.13236463644688537</v>
      </c>
    </row>
    <row r="201" spans="1:23" x14ac:dyDescent="0.25">
      <c r="A201">
        <v>200</v>
      </c>
      <c r="B201">
        <v>199</v>
      </c>
      <c r="C201" t="s">
        <v>46</v>
      </c>
      <c r="D201" t="s">
        <v>17</v>
      </c>
      <c r="E201" t="s">
        <v>109</v>
      </c>
      <c r="F201" t="s">
        <v>19</v>
      </c>
      <c r="G201" t="s">
        <v>26</v>
      </c>
      <c r="H201" t="s">
        <v>66</v>
      </c>
      <c r="I201" t="s">
        <v>53</v>
      </c>
      <c r="J201" t="s">
        <v>23</v>
      </c>
      <c r="K201">
        <v>611</v>
      </c>
      <c r="L201" s="4">
        <v>15.6578088</v>
      </c>
      <c r="M201" s="4">
        <v>254.5418190974296</v>
      </c>
      <c r="N201" s="4">
        <v>4.4317152094191403E-2</v>
      </c>
      <c r="O201" s="1" t="str">
        <f>HYPERLINK(".\sm_car_250407_2318\sm_car_250407_2318_200_Ca199TrT_MaDLC_ode23t_1.png","figure")</f>
        <v>figure</v>
      </c>
      <c r="P201" t="s">
        <v>15</v>
      </c>
      <c r="T201">
        <f>K201-'2022a_250206_1736'!K195</f>
        <v>-34</v>
      </c>
      <c r="U201" s="5">
        <f>T201/'2022a_250206_1736'!K195</f>
        <v>-5.2713178294573643E-2</v>
      </c>
      <c r="V201" s="4">
        <f>L201-'2022a_250206_1736'!L195</f>
        <v>-3.0052781</v>
      </c>
      <c r="W201" s="5">
        <f>V201/'2022a_250206_1736'!L195</f>
        <v>-0.16102792191360368</v>
      </c>
    </row>
    <row r="202" spans="1:23" x14ac:dyDescent="0.25">
      <c r="A202">
        <v>201</v>
      </c>
      <c r="B202">
        <v>199</v>
      </c>
      <c r="C202" t="s">
        <v>46</v>
      </c>
      <c r="D202" t="s">
        <v>17</v>
      </c>
      <c r="E202" t="s">
        <v>109</v>
      </c>
      <c r="F202" t="s">
        <v>19</v>
      </c>
      <c r="G202" t="s">
        <v>26</v>
      </c>
      <c r="H202" t="s">
        <v>65</v>
      </c>
      <c r="I202" t="s">
        <v>53</v>
      </c>
      <c r="J202" t="s">
        <v>23</v>
      </c>
      <c r="K202">
        <v>562</v>
      </c>
      <c r="L202" s="4">
        <v>12.4347501</v>
      </c>
      <c r="M202" s="4">
        <v>254.12796142054214</v>
      </c>
      <c r="N202" s="4">
        <v>4.623680946304054E-2</v>
      </c>
      <c r="O202" s="1" t="str">
        <f>HYPERLINK(".\sm_car_250407_2318\sm_car_250407_2318_201_Ca199TrE_MaDLC_ode23t_1.png","figure")</f>
        <v>figure</v>
      </c>
      <c r="P202" t="s">
        <v>15</v>
      </c>
      <c r="T202">
        <f>K202-'2022a_250206_1736'!K196</f>
        <v>3</v>
      </c>
      <c r="U202" s="5">
        <f>T202/'2022a_250206_1736'!K196</f>
        <v>5.3667262969588547E-3</v>
      </c>
      <c r="V202" s="4">
        <f>L202-'2022a_250206_1736'!L196</f>
        <v>-1.9560607999999995</v>
      </c>
      <c r="W202" s="5">
        <f>V202/'2022a_250206_1736'!L196</f>
        <v>-0.13592429318906549</v>
      </c>
    </row>
    <row r="203" spans="1:23" x14ac:dyDescent="0.25">
      <c r="A203">
        <v>202</v>
      </c>
      <c r="B203">
        <v>139</v>
      </c>
      <c r="C203" t="s">
        <v>45</v>
      </c>
      <c r="D203" t="s">
        <v>17</v>
      </c>
      <c r="E203" t="s">
        <v>18</v>
      </c>
      <c r="F203" t="s">
        <v>19</v>
      </c>
      <c r="G203" t="s">
        <v>26</v>
      </c>
      <c r="H203" t="s">
        <v>65</v>
      </c>
      <c r="I203" t="s">
        <v>67</v>
      </c>
      <c r="J203" t="s">
        <v>23</v>
      </c>
      <c r="K203">
        <v>479</v>
      </c>
      <c r="L203" s="4">
        <v>13.922285</v>
      </c>
      <c r="M203" s="4">
        <v>261.53010238192445</v>
      </c>
      <c r="N203" s="4">
        <v>1.2837713662765537E-3</v>
      </c>
      <c r="O203" s="1" t="str">
        <f>HYPERLINK(".\sm_car_250407_2318\sm_car_250407_2318_202_Ca139TrE_MaTRD_ode23t_1.png","figure")</f>
        <v>figure</v>
      </c>
      <c r="P203" t="s">
        <v>15</v>
      </c>
      <c r="T203">
        <f>K203-'2022a_250206_1736'!K197</f>
        <v>19</v>
      </c>
      <c r="U203" s="5">
        <f>T203/'2022a_250206_1736'!K197</f>
        <v>4.1304347826086954E-2</v>
      </c>
      <c r="V203" s="4">
        <f>L203-'2022a_250206_1736'!L197</f>
        <v>-1.5880144999999999</v>
      </c>
      <c r="W203" s="5">
        <f>V203/'2022a_250206_1736'!L197</f>
        <v>-0.10238451552789163</v>
      </c>
    </row>
    <row r="204" spans="1:23" x14ac:dyDescent="0.25">
      <c r="A204">
        <v>203</v>
      </c>
      <c r="B204">
        <v>139</v>
      </c>
      <c r="C204" t="s">
        <v>45</v>
      </c>
      <c r="D204" t="s">
        <v>17</v>
      </c>
      <c r="E204" t="s">
        <v>18</v>
      </c>
      <c r="F204" t="s">
        <v>19</v>
      </c>
      <c r="G204" t="s">
        <v>26</v>
      </c>
      <c r="H204" t="s">
        <v>65</v>
      </c>
      <c r="I204" t="s">
        <v>67</v>
      </c>
      <c r="J204" t="s">
        <v>23</v>
      </c>
      <c r="K204">
        <v>535</v>
      </c>
      <c r="L204" s="4">
        <v>13.1088676</v>
      </c>
      <c r="M204" s="4">
        <v>261.48576888485763</v>
      </c>
      <c r="N204" s="4">
        <v>1.4040220241970935E-3</v>
      </c>
      <c r="O204" s="1" t="str">
        <f>HYPERLINK(".\sm_car_250407_2318\sm_car_250407_2318_203_Ca139TrU_MaTRD_ode23t_1.png","figure")</f>
        <v>figure</v>
      </c>
      <c r="P204" t="s">
        <v>15</v>
      </c>
      <c r="T204">
        <f>K204-'2022a_250206_1736'!K198</f>
        <v>28</v>
      </c>
      <c r="U204" s="5">
        <f>T204/'2022a_250206_1736'!K198</f>
        <v>5.5226824457593686E-2</v>
      </c>
      <c r="V204" s="4">
        <f>L204-'2022a_250206_1736'!L198</f>
        <v>-2.4931236000000006</v>
      </c>
      <c r="W204" s="5">
        <f>V204/'2022a_250206_1736'!L198</f>
        <v>-0.15979521895897497</v>
      </c>
    </row>
    <row r="205" spans="1:23" x14ac:dyDescent="0.25">
      <c r="A205">
        <v>204</v>
      </c>
      <c r="B205">
        <v>149</v>
      </c>
      <c r="C205" t="s">
        <v>46</v>
      </c>
      <c r="D205" t="s">
        <v>17</v>
      </c>
      <c r="E205" t="s">
        <v>68</v>
      </c>
      <c r="F205" t="s">
        <v>19</v>
      </c>
      <c r="G205" t="s">
        <v>26</v>
      </c>
      <c r="H205" t="s">
        <v>21</v>
      </c>
      <c r="I205" t="s">
        <v>69</v>
      </c>
      <c r="J205" t="s">
        <v>23</v>
      </c>
      <c r="K205">
        <v>608</v>
      </c>
      <c r="L205" s="4">
        <v>10.9783569</v>
      </c>
      <c r="M205" s="4">
        <v>-5.5790165541211856E-3</v>
      </c>
      <c r="N205" s="4">
        <v>-1.9325177432828466E-3</v>
      </c>
      <c r="O205" s="1" t="str">
        <f>HYPERLINK(".\sm_car_250407_2318\sm_car_250407_2318_204_Ca149TrN_MaPST_ode23t_1.png","figure")</f>
        <v>figure</v>
      </c>
      <c r="P205" t="s">
        <v>15</v>
      </c>
      <c r="T205">
        <f>K205-'2022a_250206_1736'!K199</f>
        <v>-655</v>
      </c>
      <c r="U205" s="5">
        <f>T205/'2022a_250206_1736'!K199</f>
        <v>-0.51860649247822643</v>
      </c>
      <c r="V205" s="4">
        <f>L205-'2022a_250206_1736'!L199</f>
        <v>-1.4026560000000003</v>
      </c>
      <c r="W205" s="5">
        <f>V205/'2022a_250206_1736'!L199</f>
        <v>-0.11329089237924955</v>
      </c>
    </row>
    <row r="206" spans="1:23" x14ac:dyDescent="0.25">
      <c r="A206">
        <v>205</v>
      </c>
      <c r="B206">
        <v>139</v>
      </c>
      <c r="C206" t="s">
        <v>45</v>
      </c>
      <c r="D206" t="s">
        <v>17</v>
      </c>
      <c r="E206" t="s">
        <v>18</v>
      </c>
      <c r="F206" t="s">
        <v>19</v>
      </c>
      <c r="G206" t="s">
        <v>26</v>
      </c>
      <c r="H206" t="s">
        <v>21</v>
      </c>
      <c r="I206" t="s">
        <v>70</v>
      </c>
      <c r="J206" t="s">
        <v>23</v>
      </c>
      <c r="K206">
        <v>1577</v>
      </c>
      <c r="L206" s="4">
        <v>36.823458199999997</v>
      </c>
      <c r="M206" s="4">
        <v>37.051242257747774</v>
      </c>
      <c r="N206" s="4">
        <v>0.32458629373677744</v>
      </c>
      <c r="O206" s="1" t="str">
        <f>HYPERLINK(".\sm_car_250407_2318\sm_car_250407_2318_205_Ca139TrN_MaSKD_ode23t_1.png","figure")</f>
        <v>figure</v>
      </c>
      <c r="P206" t="s">
        <v>15</v>
      </c>
      <c r="T206">
        <f>K206-'2022a_250206_1736'!K200</f>
        <v>-126</v>
      </c>
      <c r="U206" s="5">
        <f>T206/'2022a_250206_1736'!K200</f>
        <v>-7.3987081620669401E-2</v>
      </c>
      <c r="V206" s="4">
        <f>L206-'2022a_250206_1736'!L200</f>
        <v>-6.207260600000005</v>
      </c>
      <c r="W206" s="5">
        <f>V206/'2022a_250206_1736'!L200</f>
        <v>-0.14425184549787268</v>
      </c>
    </row>
    <row r="207" spans="1:23" x14ac:dyDescent="0.25">
      <c r="A207">
        <v>206</v>
      </c>
      <c r="B207">
        <v>139</v>
      </c>
      <c r="C207" t="s">
        <v>45</v>
      </c>
      <c r="D207" t="s">
        <v>17</v>
      </c>
      <c r="E207" t="s">
        <v>18</v>
      </c>
      <c r="F207" t="s">
        <v>19</v>
      </c>
      <c r="G207" t="s">
        <v>26</v>
      </c>
      <c r="H207" t="s">
        <v>21</v>
      </c>
      <c r="I207" t="s">
        <v>71</v>
      </c>
      <c r="J207" t="s">
        <v>23</v>
      </c>
      <c r="K207">
        <v>1114</v>
      </c>
      <c r="L207" s="4">
        <v>32.237203899999997</v>
      </c>
      <c r="M207" s="4">
        <v>3.4996080076307798</v>
      </c>
      <c r="N207" s="4">
        <v>27.102867467534715</v>
      </c>
      <c r="O207" s="1" t="str">
        <f>HYPERLINK(".\sm_car_250407_2318\sm_car_250407_2318_206_Ca139TrN_MaRAD_ode23t_1.png","figure")</f>
        <v>figure</v>
      </c>
      <c r="P207" t="s">
        <v>15</v>
      </c>
      <c r="T207">
        <f>K207-'2022a_250206_1736'!K201</f>
        <v>-98</v>
      </c>
      <c r="U207" s="5">
        <f>T207/'2022a_250206_1736'!K201</f>
        <v>-8.0858085808580851E-2</v>
      </c>
      <c r="V207" s="4">
        <f>L207-'2022a_250206_1736'!L201</f>
        <v>-4.0424691000000053</v>
      </c>
      <c r="W207" s="5">
        <f>V207/'2022a_250206_1736'!L201</f>
        <v>-0.11142518015528985</v>
      </c>
    </row>
    <row r="208" spans="1:23" x14ac:dyDescent="0.25">
      <c r="A208">
        <v>207</v>
      </c>
      <c r="B208">
        <v>184</v>
      </c>
      <c r="C208" t="s">
        <v>105</v>
      </c>
      <c r="D208" t="s">
        <v>120</v>
      </c>
      <c r="E208" t="s">
        <v>49</v>
      </c>
      <c r="F208" t="s">
        <v>19</v>
      </c>
      <c r="G208" t="s">
        <v>20</v>
      </c>
      <c r="H208" t="s">
        <v>21</v>
      </c>
      <c r="I208" t="s">
        <v>70</v>
      </c>
      <c r="J208" t="s">
        <v>23</v>
      </c>
      <c r="K208">
        <v>1332</v>
      </c>
      <c r="L208" s="4">
        <v>49.2397463</v>
      </c>
      <c r="M208" s="4">
        <v>36.391780298168435</v>
      </c>
      <c r="N208" s="4">
        <v>0.24997603447338734</v>
      </c>
      <c r="O208" s="1" t="str">
        <f>HYPERLINK(".\sm_car_250407_2318\sm_car_250407_2318_207_Ca184TrN_MaSKD_ode23t_1.png","figure")</f>
        <v>figure</v>
      </c>
      <c r="P208" t="s">
        <v>15</v>
      </c>
      <c r="T208">
        <f>K208-'2022a_250206_1736'!K202</f>
        <v>-53</v>
      </c>
      <c r="U208" s="5">
        <f>T208/'2022a_250206_1736'!K202</f>
        <v>-3.8267148014440436E-2</v>
      </c>
      <c r="V208" s="4">
        <f>L208-'2022a_250206_1736'!L202</f>
        <v>-5.3952158000000026</v>
      </c>
      <c r="W208" s="5">
        <f>V208/'2022a_250206_1736'!L202</f>
        <v>-9.8750243298878437E-2</v>
      </c>
    </row>
    <row r="209" spans="1:23" x14ac:dyDescent="0.25">
      <c r="A209">
        <v>208</v>
      </c>
      <c r="B209">
        <v>184</v>
      </c>
      <c r="C209" t="s">
        <v>105</v>
      </c>
      <c r="D209" t="s">
        <v>120</v>
      </c>
      <c r="E209" t="s">
        <v>49</v>
      </c>
      <c r="F209" t="s">
        <v>19</v>
      </c>
      <c r="G209" t="s">
        <v>20</v>
      </c>
      <c r="H209" t="s">
        <v>21</v>
      </c>
      <c r="I209" t="s">
        <v>71</v>
      </c>
      <c r="J209" t="s">
        <v>23</v>
      </c>
      <c r="K209">
        <v>624</v>
      </c>
      <c r="L209" s="4">
        <v>21.8709633</v>
      </c>
      <c r="M209" s="4">
        <v>13.885022118108798</v>
      </c>
      <c r="N209" s="4">
        <v>23.763789220475395</v>
      </c>
      <c r="O209" s="1" t="str">
        <f>HYPERLINK(".\sm_car_250407_2318\sm_car_250407_2318_208_Ca184TrN_MaRAD_ode23t_1.png","figure")</f>
        <v>figure</v>
      </c>
      <c r="P209" t="s">
        <v>15</v>
      </c>
      <c r="T209">
        <f>K209-'2022a_250206_1736'!K203</f>
        <v>-91</v>
      </c>
      <c r="U209" s="5">
        <f>T209/'2022a_250206_1736'!K203</f>
        <v>-0.12727272727272726</v>
      </c>
      <c r="V209" s="4">
        <f>L209-'2022a_250206_1736'!L203</f>
        <v>-5.2734500000000004</v>
      </c>
      <c r="W209" s="5">
        <f>V209/'2022a_250206_1736'!L203</f>
        <v>-0.19427386187050139</v>
      </c>
    </row>
    <row r="210" spans="1:23" x14ac:dyDescent="0.25">
      <c r="A210">
        <v>209</v>
      </c>
      <c r="B210">
        <v>198</v>
      </c>
      <c r="C210" t="s">
        <v>105</v>
      </c>
      <c r="D210" t="s">
        <v>120</v>
      </c>
      <c r="E210" t="s">
        <v>107</v>
      </c>
      <c r="F210" t="s">
        <v>19</v>
      </c>
      <c r="G210" t="s">
        <v>20</v>
      </c>
      <c r="H210" t="s">
        <v>21</v>
      </c>
      <c r="I210" t="s">
        <v>70</v>
      </c>
      <c r="J210" t="s">
        <v>23</v>
      </c>
      <c r="K210">
        <v>1407</v>
      </c>
      <c r="L210" s="4">
        <v>29.946222200000001</v>
      </c>
      <c r="M210" s="4">
        <v>36.382982853984949</v>
      </c>
      <c r="N210" s="4">
        <v>0.25043340474825027</v>
      </c>
      <c r="O210" s="1" t="str">
        <f>HYPERLINK(".\sm_car_250407_2318\sm_car_250407_2318_209_Ca198TrN_MaSKD_ode23t_1.png","figure")</f>
        <v>figure</v>
      </c>
      <c r="P210" t="s">
        <v>15</v>
      </c>
      <c r="T210">
        <f>K210-'2022a_250206_1736'!K204</f>
        <v>-115</v>
      </c>
      <c r="U210" s="5">
        <f>T210/'2022a_250206_1736'!K204</f>
        <v>-7.5558475689881735E-2</v>
      </c>
      <c r="V210" s="4">
        <f>L210-'2022a_250206_1736'!L204</f>
        <v>-2.0647340000000014</v>
      </c>
      <c r="W210" s="5">
        <f>V210/'2022a_250206_1736'!L204</f>
        <v>-6.4500853617112539E-2</v>
      </c>
    </row>
    <row r="211" spans="1:23" x14ac:dyDescent="0.25">
      <c r="A211">
        <v>210</v>
      </c>
      <c r="B211">
        <v>198</v>
      </c>
      <c r="C211" t="s">
        <v>105</v>
      </c>
      <c r="D211" t="s">
        <v>120</v>
      </c>
      <c r="E211" t="s">
        <v>107</v>
      </c>
      <c r="F211" t="s">
        <v>19</v>
      </c>
      <c r="G211" t="s">
        <v>20</v>
      </c>
      <c r="H211" t="s">
        <v>21</v>
      </c>
      <c r="I211" t="s">
        <v>71</v>
      </c>
      <c r="J211" t="s">
        <v>23</v>
      </c>
      <c r="K211">
        <v>666</v>
      </c>
      <c r="L211" s="4">
        <v>13.823154799999999</v>
      </c>
      <c r="M211" s="4">
        <v>13.858444027024266</v>
      </c>
      <c r="N211" s="4">
        <v>23.71310075366155</v>
      </c>
      <c r="O211" s="1" t="str">
        <f>HYPERLINK(".\sm_car_250407_2318\sm_car_250407_2318_210_Ca198TrN_MaRAD_ode23t_1.png","figure")</f>
        <v>figure</v>
      </c>
      <c r="P211" t="s">
        <v>15</v>
      </c>
      <c r="T211">
        <f>K211-'2022a_250206_1736'!K205</f>
        <v>-95</v>
      </c>
      <c r="U211" s="5">
        <f>T211/'2022a_250206_1736'!K205</f>
        <v>-0.12483574244415244</v>
      </c>
      <c r="V211" s="4">
        <f>L211-'2022a_250206_1736'!L205</f>
        <v>-1.9105544999999999</v>
      </c>
      <c r="W211" s="5">
        <f>V211/'2022a_250206_1736'!L205</f>
        <v>-0.12143064699943325</v>
      </c>
    </row>
    <row r="212" spans="1:23" x14ac:dyDescent="0.25">
      <c r="A212">
        <v>211</v>
      </c>
      <c r="B212">
        <v>156</v>
      </c>
      <c r="C212" t="s">
        <v>45</v>
      </c>
      <c r="D212" t="s">
        <v>17</v>
      </c>
      <c r="E212" t="s">
        <v>18</v>
      </c>
      <c r="F212" t="s">
        <v>19</v>
      </c>
      <c r="G212" t="s">
        <v>38</v>
      </c>
      <c r="H212" t="s">
        <v>21</v>
      </c>
      <c r="I212" t="s">
        <v>54</v>
      </c>
      <c r="J212" t="s">
        <v>23</v>
      </c>
      <c r="K212">
        <v>24236</v>
      </c>
      <c r="L212" s="4">
        <v>350.83624270000001</v>
      </c>
      <c r="M212" s="4">
        <v>19.306141262901988</v>
      </c>
      <c r="N212" s="4">
        <v>2.7064044984825943</v>
      </c>
      <c r="O212" s="1" t="str">
        <f>HYPERLINK(".\sm_car_250407_2318\sm_car_250407_2318_211_Ca156TrN_MaIPA_ode23t.png","figure")</f>
        <v>figure</v>
      </c>
      <c r="P212" t="s">
        <v>15</v>
      </c>
      <c r="T212">
        <f>K212-'2022a_250206_1736'!K206</f>
        <v>-2433</v>
      </c>
      <c r="U212" s="5">
        <f>T212/'2022a_250206_1736'!K206</f>
        <v>-9.1229517417225986E-2</v>
      </c>
      <c r="V212" s="4">
        <f>L212-'2022a_250206_1736'!L206</f>
        <v>-46.96195019999999</v>
      </c>
      <c r="W212" s="5">
        <f>V212/'2022a_250206_1736'!L206</f>
        <v>-0.11805470974526387</v>
      </c>
    </row>
    <row r="213" spans="1:23" x14ac:dyDescent="0.25">
      <c r="A213">
        <v>212</v>
      </c>
      <c r="B213">
        <v>130</v>
      </c>
      <c r="C213" t="s">
        <v>16</v>
      </c>
      <c r="D213" t="s">
        <v>17</v>
      </c>
      <c r="E213" t="s">
        <v>18</v>
      </c>
      <c r="F213" t="s">
        <v>19</v>
      </c>
      <c r="G213" t="s">
        <v>38</v>
      </c>
      <c r="H213" t="s">
        <v>21</v>
      </c>
      <c r="I213" t="s">
        <v>54</v>
      </c>
      <c r="J213" t="s">
        <v>23</v>
      </c>
      <c r="K213">
        <v>18114</v>
      </c>
      <c r="L213" s="4">
        <v>261.4392904</v>
      </c>
      <c r="M213" s="4">
        <v>16.357748331297593</v>
      </c>
      <c r="N213" s="4">
        <v>0.56875642955866101</v>
      </c>
      <c r="O213" s="1" t="str">
        <f>HYPERLINK(".\sm_car_250407_2318\sm_car_250407_2318_212_Ca130TrN_MaIPA_ode23t.png","figure")</f>
        <v>figure</v>
      </c>
      <c r="P213" t="s">
        <v>15</v>
      </c>
      <c r="T213">
        <f>K213-'2022a_250206_1736'!K207</f>
        <v>-1290</v>
      </c>
      <c r="U213" s="5">
        <f>T213/'2022a_250206_1736'!K207</f>
        <v>-6.6481137909709331E-2</v>
      </c>
      <c r="V213" s="4">
        <f>L213-'2022a_250206_1736'!L207</f>
        <v>0.17059979999999086</v>
      </c>
      <c r="W213" s="5">
        <f>V213/'2022a_250206_1736'!L207</f>
        <v>6.5296687332956247E-4</v>
      </c>
    </row>
    <row r="214" spans="1:23" x14ac:dyDescent="0.25">
      <c r="A214">
        <v>213</v>
      </c>
      <c r="B214">
        <v>171</v>
      </c>
      <c r="C214" t="s">
        <v>45</v>
      </c>
      <c r="D214" t="s">
        <v>17</v>
      </c>
      <c r="E214" t="s">
        <v>72</v>
      </c>
      <c r="F214" t="s">
        <v>19</v>
      </c>
      <c r="G214" t="s">
        <v>26</v>
      </c>
      <c r="H214" t="s">
        <v>21</v>
      </c>
      <c r="I214" t="s">
        <v>73</v>
      </c>
      <c r="J214" t="s">
        <v>23</v>
      </c>
      <c r="K214">
        <v>1373</v>
      </c>
      <c r="L214" s="4">
        <v>23.536994700000001</v>
      </c>
      <c r="M214" s="4">
        <v>338.79376796852227</v>
      </c>
      <c r="N214" s="4">
        <v>0.66359458112487091</v>
      </c>
      <c r="O214" s="1" t="str">
        <f>HYPERLINK(".\sm_car_250407_2318\sm_car_250407_2318_213_Ca171TrN_MaRDP_ode23t_1.png","figure")</f>
        <v>figure</v>
      </c>
      <c r="P214" t="s">
        <v>15</v>
      </c>
      <c r="T214">
        <f>K214-'2022a_250206_1736'!K208</f>
        <v>12</v>
      </c>
      <c r="U214" s="5">
        <f>T214/'2022a_250206_1736'!K208</f>
        <v>8.8170462894930201E-3</v>
      </c>
      <c r="V214" s="4">
        <f>L214-'2022a_250206_1736'!L208</f>
        <v>-0.20174689999999984</v>
      </c>
      <c r="W214" s="5">
        <f>V214/'2022a_250206_1736'!L208</f>
        <v>-8.4986349908286567E-3</v>
      </c>
    </row>
    <row r="215" spans="1:23" x14ac:dyDescent="0.25">
      <c r="A215">
        <v>214</v>
      </c>
      <c r="B215">
        <v>172</v>
      </c>
      <c r="C215" t="s">
        <v>46</v>
      </c>
      <c r="D215" t="s">
        <v>17</v>
      </c>
      <c r="E215" t="s">
        <v>72</v>
      </c>
      <c r="F215" t="s">
        <v>19</v>
      </c>
      <c r="G215" t="s">
        <v>26</v>
      </c>
      <c r="H215" t="s">
        <v>21</v>
      </c>
      <c r="I215" t="s">
        <v>73</v>
      </c>
      <c r="J215" t="s">
        <v>23</v>
      </c>
      <c r="K215">
        <v>1227</v>
      </c>
      <c r="L215" s="4">
        <v>11.8210072</v>
      </c>
      <c r="M215" s="4">
        <v>137.93021495672815</v>
      </c>
      <c r="N215" s="4">
        <v>3.6787936739008563E-2</v>
      </c>
      <c r="O215" s="1" t="str">
        <f>HYPERLINK(".\sm_car_250407_2318\sm_car_250407_2318_214_Ca172TrN_MaRDP_ode23t_1.png","figure")</f>
        <v>figure</v>
      </c>
      <c r="P215" t="s">
        <v>15</v>
      </c>
      <c r="T215">
        <f>K215-'2022a_250206_1736'!K209</f>
        <v>-91</v>
      </c>
      <c r="U215" s="5">
        <f>T215/'2022a_250206_1736'!K209</f>
        <v>-6.9044006069802738E-2</v>
      </c>
      <c r="V215" s="4">
        <f>L215-'2022a_250206_1736'!L209</f>
        <v>8.2412800000000175E-2</v>
      </c>
      <c r="W215" s="5">
        <f>V215/'2022a_250206_1736'!L209</f>
        <v>7.0206702090328784E-3</v>
      </c>
    </row>
    <row r="216" spans="1:23" x14ac:dyDescent="0.25">
      <c r="A216">
        <v>215</v>
      </c>
      <c r="B216">
        <v>139</v>
      </c>
      <c r="C216" t="s">
        <v>45</v>
      </c>
      <c r="D216" t="s">
        <v>17</v>
      </c>
      <c r="E216" t="s">
        <v>18</v>
      </c>
      <c r="F216" t="s">
        <v>19</v>
      </c>
      <c r="G216" t="s">
        <v>26</v>
      </c>
      <c r="H216" t="s">
        <v>21</v>
      </c>
      <c r="I216" t="s">
        <v>74</v>
      </c>
      <c r="J216" t="s">
        <v>23</v>
      </c>
      <c r="K216">
        <v>1481</v>
      </c>
      <c r="L216" s="4">
        <v>19.399223500000002</v>
      </c>
      <c r="M216" s="4">
        <v>364.51483619541409</v>
      </c>
      <c r="N216" s="4">
        <v>0.84678797678643047</v>
      </c>
      <c r="O216" s="1" t="str">
        <f>HYPERLINK(".\sm_car_250407_2318\sm_car_250407_2318_215_Ca139TrN_MaZPL_ode23t_1.png","figure")</f>
        <v>figure</v>
      </c>
      <c r="P216" t="s">
        <v>15</v>
      </c>
      <c r="T216">
        <f>K216-'2022a_250206_1736'!K210</f>
        <v>8</v>
      </c>
      <c r="U216" s="5">
        <f>T216/'2022a_250206_1736'!K210</f>
        <v>5.4310930074677527E-3</v>
      </c>
      <c r="V216" s="4">
        <f>L216-'2022a_250206_1736'!L210</f>
        <v>1.0078731000000012</v>
      </c>
      <c r="W216" s="5">
        <f>V216/'2022a_250206_1736'!L210</f>
        <v>5.4801473414372075E-2</v>
      </c>
    </row>
    <row r="217" spans="1:23" x14ac:dyDescent="0.25">
      <c r="A217">
        <v>216</v>
      </c>
      <c r="B217">
        <v>165</v>
      </c>
      <c r="C217" t="s">
        <v>45</v>
      </c>
      <c r="D217" t="s">
        <v>35</v>
      </c>
      <c r="E217" t="s">
        <v>49</v>
      </c>
      <c r="F217" t="s">
        <v>19</v>
      </c>
      <c r="G217" t="s">
        <v>26</v>
      </c>
      <c r="H217" t="s">
        <v>21</v>
      </c>
      <c r="I217" t="s">
        <v>74</v>
      </c>
      <c r="J217" t="s">
        <v>23</v>
      </c>
      <c r="K217">
        <v>2105</v>
      </c>
      <c r="L217" s="4">
        <v>10.640362700000001</v>
      </c>
      <c r="M217" s="4">
        <v>397.68495803332058</v>
      </c>
      <c r="N217" s="4">
        <v>0.3348470775476588</v>
      </c>
      <c r="O217" s="1" t="str">
        <f>HYPERLINK(".\sm_car_250407_2318\sm_car_250407_2318_216_Ca165TrN_MaZPL_ode23t_1.png","figure")</f>
        <v>figure</v>
      </c>
      <c r="P217" t="s">
        <v>15</v>
      </c>
      <c r="T217">
        <f>K217-'2022a_250206_1736'!K211</f>
        <v>8</v>
      </c>
      <c r="U217" s="5">
        <f>T217/'2022a_250206_1736'!K211</f>
        <v>3.814973772055317E-3</v>
      </c>
      <c r="V217" s="4">
        <f>L217-'2022a_250206_1736'!L211</f>
        <v>9.1392200000001367E-2</v>
      </c>
      <c r="W217" s="5">
        <f>V217/'2022a_250206_1736'!L211</f>
        <v>8.6636131933444469E-3</v>
      </c>
    </row>
    <row r="218" spans="1:23" x14ac:dyDescent="0.25">
      <c r="A218">
        <v>217</v>
      </c>
      <c r="B218">
        <v>171</v>
      </c>
      <c r="C218" t="s">
        <v>45</v>
      </c>
      <c r="D218" t="s">
        <v>17</v>
      </c>
      <c r="E218" t="s">
        <v>72</v>
      </c>
      <c r="F218" t="s">
        <v>19</v>
      </c>
      <c r="G218" t="s">
        <v>26</v>
      </c>
      <c r="H218" t="s">
        <v>21</v>
      </c>
      <c r="I218" t="s">
        <v>74</v>
      </c>
      <c r="J218" t="s">
        <v>23</v>
      </c>
      <c r="K218">
        <v>1479</v>
      </c>
      <c r="L218" s="4">
        <v>24.065991499999999</v>
      </c>
      <c r="M218" s="4">
        <v>364.33389952807124</v>
      </c>
      <c r="N218" s="4">
        <v>0.73295852955730889</v>
      </c>
      <c r="O218" s="1" t="str">
        <f>HYPERLINK(".\sm_car_250407_2318\sm_car_250407_2318_217_Ca171TrN_MaZPL_ode23t_1.png","figure")</f>
        <v>figure</v>
      </c>
      <c r="P218" t="s">
        <v>15</v>
      </c>
      <c r="T218">
        <f>K218-'2022a_250206_1736'!K212</f>
        <v>3</v>
      </c>
      <c r="U218" s="5">
        <f>T218/'2022a_250206_1736'!K212</f>
        <v>2.0325203252032522E-3</v>
      </c>
      <c r="V218" s="4">
        <f>L218-'2022a_250206_1736'!L212</f>
        <v>-0.25185530000000256</v>
      </c>
      <c r="W218" s="5">
        <f>V218/'2022a_250206_1736'!L212</f>
        <v>-1.0356809222106068E-2</v>
      </c>
    </row>
    <row r="219" spans="1:23" x14ac:dyDescent="0.25">
      <c r="A219">
        <v>218</v>
      </c>
      <c r="B219">
        <v>165</v>
      </c>
      <c r="C219" t="s">
        <v>45</v>
      </c>
      <c r="D219" t="s">
        <v>35</v>
      </c>
      <c r="E219" t="s">
        <v>49</v>
      </c>
      <c r="F219" t="s">
        <v>19</v>
      </c>
      <c r="G219" t="s">
        <v>26</v>
      </c>
      <c r="H219" t="s">
        <v>21</v>
      </c>
      <c r="I219" t="s">
        <v>75</v>
      </c>
      <c r="J219" t="s">
        <v>23</v>
      </c>
      <c r="K219">
        <v>504</v>
      </c>
      <c r="L219" s="4">
        <v>4.9463869000000003</v>
      </c>
      <c r="M219" s="4">
        <v>378.33541155264504</v>
      </c>
      <c r="N219" s="4">
        <v>0.32213547291874578</v>
      </c>
      <c r="O219" s="1" t="str">
        <f>HYPERLINK(".\sm_car_250407_2318\sm_car_250407_2318_218_Ca165TrN_MaCPL_ode23t_1.png","figure")</f>
        <v>figure</v>
      </c>
      <c r="P219" t="s">
        <v>15</v>
      </c>
      <c r="T219">
        <f>K219-'2022a_250206_1736'!K213</f>
        <v>1</v>
      </c>
      <c r="U219" s="5">
        <f>T219/'2022a_250206_1736'!K213</f>
        <v>1.9880715705765406E-3</v>
      </c>
      <c r="V219" s="4">
        <f>L219-'2022a_250206_1736'!L213</f>
        <v>0.33835270000000062</v>
      </c>
      <c r="W219" s="5">
        <f>V219/'2022a_250206_1736'!L213</f>
        <v>7.3426690279338777E-2</v>
      </c>
    </row>
    <row r="220" spans="1:23" x14ac:dyDescent="0.25">
      <c r="A220">
        <v>219</v>
      </c>
      <c r="B220">
        <v>170</v>
      </c>
      <c r="C220" t="s">
        <v>45</v>
      </c>
      <c r="D220" t="s">
        <v>35</v>
      </c>
      <c r="E220" t="s">
        <v>49</v>
      </c>
      <c r="F220" t="s">
        <v>19</v>
      </c>
      <c r="G220" t="s">
        <v>20</v>
      </c>
      <c r="H220" t="s">
        <v>21</v>
      </c>
      <c r="I220" t="s">
        <v>75</v>
      </c>
      <c r="J220" t="s">
        <v>23</v>
      </c>
      <c r="K220">
        <v>465</v>
      </c>
      <c r="L220" s="4">
        <v>3.4259906999999998</v>
      </c>
      <c r="M220" s="4">
        <v>380.91793190860193</v>
      </c>
      <c r="N220" s="4">
        <v>0.32782964600872139</v>
      </c>
      <c r="O220" s="1" t="str">
        <f>HYPERLINK(".\sm_car_250407_2318\sm_car_250407_2318_219_Ca170TrN_MaCPL_ode23t_1.png","figure")</f>
        <v>figure</v>
      </c>
      <c r="P220" t="s">
        <v>15</v>
      </c>
      <c r="T220">
        <f>K220-'2022a_250206_1736'!K214</f>
        <v>0</v>
      </c>
      <c r="U220" s="5">
        <f>T220/'2022a_250206_1736'!K214</f>
        <v>0</v>
      </c>
      <c r="V220" s="4">
        <f>L220-'2022a_250206_1736'!L214</f>
        <v>0.27279969999999976</v>
      </c>
      <c r="W220" s="5">
        <f>V220/'2022a_250206_1736'!L214</f>
        <v>8.6515437853273008E-2</v>
      </c>
    </row>
    <row r="221" spans="1:23" x14ac:dyDescent="0.25">
      <c r="A221">
        <v>220</v>
      </c>
      <c r="B221">
        <v>171</v>
      </c>
      <c r="C221" t="s">
        <v>45</v>
      </c>
      <c r="D221" t="s">
        <v>17</v>
      </c>
      <c r="E221" t="s">
        <v>72</v>
      </c>
      <c r="F221" t="s">
        <v>19</v>
      </c>
      <c r="G221" t="s">
        <v>26</v>
      </c>
      <c r="H221" t="s">
        <v>21</v>
      </c>
      <c r="I221" t="s">
        <v>76</v>
      </c>
      <c r="J221" t="s">
        <v>23</v>
      </c>
      <c r="K221">
        <v>2475</v>
      </c>
      <c r="L221" s="4">
        <v>40.214175699999998</v>
      </c>
      <c r="M221" s="4">
        <v>152.36713650324597</v>
      </c>
      <c r="N221" s="4">
        <v>1.9120003695300746E-3</v>
      </c>
      <c r="O221" s="1" t="str">
        <f>HYPERLINK(".\sm_car_250407_2318\sm_car_250407_2318_220_Ca171TrN_MaRDR_ode23t_1.png","figure")</f>
        <v>figure</v>
      </c>
      <c r="P221" t="s">
        <v>15</v>
      </c>
      <c r="T221">
        <f>K221-'2022a_250206_1736'!K215</f>
        <v>-49</v>
      </c>
      <c r="U221" s="5">
        <f>T221/'2022a_250206_1736'!K215</f>
        <v>-1.9413629160063391E-2</v>
      </c>
      <c r="V221" s="4">
        <f>L221-'2022a_250206_1736'!L215</f>
        <v>-2.8069687999999999</v>
      </c>
      <c r="W221" s="5">
        <f>V221/'2022a_250206_1736'!L215</f>
        <v>-6.5246260475473869E-2</v>
      </c>
    </row>
    <row r="222" spans="1:23" x14ac:dyDescent="0.25">
      <c r="A222">
        <v>221</v>
      </c>
      <c r="B222">
        <v>172</v>
      </c>
      <c r="C222" t="s">
        <v>46</v>
      </c>
      <c r="D222" t="s">
        <v>17</v>
      </c>
      <c r="E222" t="s">
        <v>72</v>
      </c>
      <c r="F222" t="s">
        <v>19</v>
      </c>
      <c r="G222" t="s">
        <v>26</v>
      </c>
      <c r="H222" t="s">
        <v>21</v>
      </c>
      <c r="I222" t="s">
        <v>76</v>
      </c>
      <c r="J222" t="s">
        <v>23</v>
      </c>
      <c r="K222">
        <v>2952</v>
      </c>
      <c r="L222" s="4">
        <v>27.147753699999999</v>
      </c>
      <c r="M222" s="4">
        <v>146.50271367037044</v>
      </c>
      <c r="N222" s="4">
        <v>-4.8612575758399191E-3</v>
      </c>
      <c r="O222" s="1" t="str">
        <f>HYPERLINK(".\sm_car_250407_2318\sm_car_250407_2318_221_Ca172TrN_MaRDR_ode23t_1.png","figure")</f>
        <v>figure</v>
      </c>
      <c r="P222" t="s">
        <v>15</v>
      </c>
      <c r="T222">
        <f>K222-'2022a_250206_1736'!K216</f>
        <v>-14</v>
      </c>
      <c r="U222" s="5">
        <f>T222/'2022a_250206_1736'!K216</f>
        <v>-4.720161834120027E-3</v>
      </c>
      <c r="V222" s="4">
        <f>L222-'2022a_250206_1736'!L216</f>
        <v>-1.240613800000002</v>
      </c>
      <c r="W222" s="5">
        <f>V222/'2022a_250206_1736'!L216</f>
        <v>-4.3701484419630753E-2</v>
      </c>
    </row>
    <row r="223" spans="1:23" x14ac:dyDescent="0.25">
      <c r="A223">
        <v>222</v>
      </c>
      <c r="B223">
        <v>139</v>
      </c>
      <c r="C223" t="s">
        <v>45</v>
      </c>
      <c r="D223" t="s">
        <v>17</v>
      </c>
      <c r="E223" t="s">
        <v>18</v>
      </c>
      <c r="F223" t="s">
        <v>19</v>
      </c>
      <c r="G223" t="s">
        <v>26</v>
      </c>
      <c r="H223" t="s">
        <v>21</v>
      </c>
      <c r="I223" t="s">
        <v>77</v>
      </c>
      <c r="J223" t="s">
        <v>23</v>
      </c>
      <c r="K223">
        <v>2955</v>
      </c>
      <c r="L223" s="4">
        <v>33.617622500000003</v>
      </c>
      <c r="M223" s="4">
        <v>176.47842589639299</v>
      </c>
      <c r="N223" s="4">
        <v>8.1473434253469398E-4</v>
      </c>
      <c r="O223" s="1" t="str">
        <f>HYPERLINK(".\sm_car_250407_2318\sm_car_250407_2318_222_Ca139TrN_MaZRR_ode23t_1.png","figure")</f>
        <v>figure</v>
      </c>
      <c r="P223" t="s">
        <v>15</v>
      </c>
      <c r="T223">
        <f>K223-'2022a_250206_1736'!K217</f>
        <v>-93</v>
      </c>
      <c r="U223" s="5">
        <f>T223/'2022a_250206_1736'!K217</f>
        <v>-3.0511811023622049E-2</v>
      </c>
      <c r="V223" s="4">
        <f>L223-'2022a_250206_1736'!L217</f>
        <v>-1.7158367999999982</v>
      </c>
      <c r="W223" s="5">
        <f>V223/'2022a_250206_1736'!L217</f>
        <v>-4.8561245742502153E-2</v>
      </c>
    </row>
    <row r="224" spans="1:23" x14ac:dyDescent="0.25">
      <c r="A224">
        <v>223</v>
      </c>
      <c r="B224">
        <v>165</v>
      </c>
      <c r="C224" t="s">
        <v>45</v>
      </c>
      <c r="D224" t="s">
        <v>35</v>
      </c>
      <c r="E224" t="s">
        <v>49</v>
      </c>
      <c r="F224" t="s">
        <v>19</v>
      </c>
      <c r="G224" t="s">
        <v>26</v>
      </c>
      <c r="H224" t="s">
        <v>21</v>
      </c>
      <c r="I224" t="s">
        <v>77</v>
      </c>
      <c r="J224" t="s">
        <v>23</v>
      </c>
      <c r="K224">
        <v>3553</v>
      </c>
      <c r="L224" s="4">
        <v>20.263342699999999</v>
      </c>
      <c r="M224" s="4">
        <v>176.8146171468648</v>
      </c>
      <c r="N224" s="4">
        <v>8.1716243289086985E-5</v>
      </c>
      <c r="O224" s="1" t="str">
        <f>HYPERLINK(".\sm_car_250407_2318\sm_car_250407_2318_223_Ca165TrN_MaZRR_ode23t_1.png","figure")</f>
        <v>figure</v>
      </c>
      <c r="P224" t="s">
        <v>15</v>
      </c>
      <c r="T224">
        <f>K224-'2022a_250206_1736'!K218</f>
        <v>-2</v>
      </c>
      <c r="U224" s="5">
        <f>T224/'2022a_250206_1736'!K218</f>
        <v>-5.6258790436005627E-4</v>
      </c>
      <c r="V224" s="4">
        <f>L224-'2022a_250206_1736'!L218</f>
        <v>-1.3626244000000014</v>
      </c>
      <c r="W224" s="5">
        <f>V224/'2022a_250206_1736'!L218</f>
        <v>-6.3008715110826258E-2</v>
      </c>
    </row>
    <row r="225" spans="1:23" x14ac:dyDescent="0.25">
      <c r="A225">
        <v>224</v>
      </c>
      <c r="B225">
        <v>171</v>
      </c>
      <c r="C225" t="s">
        <v>45</v>
      </c>
      <c r="D225" t="s">
        <v>17</v>
      </c>
      <c r="E225" t="s">
        <v>72</v>
      </c>
      <c r="F225" t="s">
        <v>19</v>
      </c>
      <c r="G225" t="s">
        <v>26</v>
      </c>
      <c r="H225" t="s">
        <v>21</v>
      </c>
      <c r="I225" t="s">
        <v>77</v>
      </c>
      <c r="J225" t="s">
        <v>23</v>
      </c>
      <c r="K225">
        <v>2986</v>
      </c>
      <c r="L225" s="4">
        <v>50.391211800000001</v>
      </c>
      <c r="M225" s="4">
        <v>176.48396407176148</v>
      </c>
      <c r="N225" s="4">
        <v>8.4029405499591917E-4</v>
      </c>
      <c r="O225" s="1" t="str">
        <f>HYPERLINK(".\sm_car_250407_2318\sm_car_250407_2318_224_Ca171TrN_MaZRR_ode23t_1.png","figure")</f>
        <v>figure</v>
      </c>
      <c r="P225" t="s">
        <v>15</v>
      </c>
      <c r="T225">
        <f>K225-'2022a_250206_1736'!K219</f>
        <v>-26</v>
      </c>
      <c r="U225" s="5">
        <f>T225/'2022a_250206_1736'!K219</f>
        <v>-8.6321381142098266E-3</v>
      </c>
      <c r="V225" s="4">
        <f>L225-'2022a_250206_1736'!L219</f>
        <v>-3.2462483999999989</v>
      </c>
      <c r="W225" s="5">
        <f>V225/'2022a_250206_1736'!L219</f>
        <v>-6.0522037917074958E-2</v>
      </c>
    </row>
    <row r="226" spans="1:23" x14ac:dyDescent="0.25">
      <c r="A226">
        <v>225</v>
      </c>
      <c r="B226">
        <v>170</v>
      </c>
      <c r="C226" t="s">
        <v>45</v>
      </c>
      <c r="D226" t="s">
        <v>35</v>
      </c>
      <c r="E226" t="s">
        <v>49</v>
      </c>
      <c r="F226" t="s">
        <v>19</v>
      </c>
      <c r="G226" t="s">
        <v>20</v>
      </c>
      <c r="H226" t="s">
        <v>21</v>
      </c>
      <c r="I226" t="s">
        <v>78</v>
      </c>
      <c r="J226" t="s">
        <v>23</v>
      </c>
      <c r="K226">
        <v>5010</v>
      </c>
      <c r="L226" s="4">
        <v>17.7208097</v>
      </c>
      <c r="M226" s="4">
        <v>-5.9990719953370117</v>
      </c>
      <c r="N226" s="4">
        <v>2.9190648043425534E-3</v>
      </c>
      <c r="O226" s="1" t="str">
        <f>HYPERLINK(".\sm_car_250407_2318\sm_car_250407_2318_225_Ca170TrN_MaCMP_ode23t_1.png","figure")</f>
        <v>figure</v>
      </c>
      <c r="P226" t="s">
        <v>15</v>
      </c>
      <c r="T226">
        <f>K226-'2022a_250206_1736'!K220</f>
        <v>-61</v>
      </c>
      <c r="U226" s="5">
        <f>T226/'2022a_250206_1736'!K220</f>
        <v>-1.2029185564977321E-2</v>
      </c>
      <c r="V226" s="4">
        <f>L226-'2022a_250206_1736'!L220</f>
        <v>-2.3098822000000006</v>
      </c>
      <c r="W226" s="5">
        <f>V226/'2022a_250206_1736'!L220</f>
        <v>-0.11531714488604362</v>
      </c>
    </row>
    <row r="227" spans="1:23" x14ac:dyDescent="0.25">
      <c r="A227">
        <v>226</v>
      </c>
      <c r="B227">
        <v>170</v>
      </c>
      <c r="C227" t="s">
        <v>45</v>
      </c>
      <c r="D227" t="s">
        <v>35</v>
      </c>
      <c r="E227" t="s">
        <v>49</v>
      </c>
      <c r="F227" t="s">
        <v>19</v>
      </c>
      <c r="G227" t="s">
        <v>20</v>
      </c>
      <c r="H227" t="s">
        <v>21</v>
      </c>
      <c r="I227" t="s">
        <v>79</v>
      </c>
      <c r="J227" t="s">
        <v>23</v>
      </c>
      <c r="K227">
        <v>1829</v>
      </c>
      <c r="L227" s="4">
        <v>12.047383</v>
      </c>
      <c r="M227" s="4">
        <v>-5.9645297527751202</v>
      </c>
      <c r="N227" s="4">
        <v>2.7236971088541585E-3</v>
      </c>
      <c r="O227" s="1" t="str">
        <f>HYPERLINK(".\sm_car_250407_2318\sm_car_250407_2318_226_Ca170TrN_MaCMF_ode23t_1.png","figure")</f>
        <v>figure</v>
      </c>
      <c r="P227" t="s">
        <v>15</v>
      </c>
      <c r="T227">
        <f>K227-'2022a_250206_1736'!K221</f>
        <v>-14</v>
      </c>
      <c r="U227" s="5">
        <f>T227/'2022a_250206_1736'!K221</f>
        <v>-7.5963103635377106E-3</v>
      </c>
      <c r="V227" s="4">
        <f>L227-'2022a_250206_1736'!L221</f>
        <v>-1.8132724000000007</v>
      </c>
      <c r="W227" s="5">
        <f>V227/'2022a_250206_1736'!L221</f>
        <v>-0.13082154830860312</v>
      </c>
    </row>
    <row r="228" spans="1:23" x14ac:dyDescent="0.25">
      <c r="A228">
        <v>227</v>
      </c>
      <c r="B228">
        <v>170</v>
      </c>
      <c r="C228" t="s">
        <v>45</v>
      </c>
      <c r="D228" t="s">
        <v>35</v>
      </c>
      <c r="E228" t="s">
        <v>49</v>
      </c>
      <c r="F228" t="s">
        <v>19</v>
      </c>
      <c r="G228" t="s">
        <v>20</v>
      </c>
      <c r="H228" t="s">
        <v>21</v>
      </c>
      <c r="I228" t="s">
        <v>80</v>
      </c>
      <c r="J228" t="s">
        <v>23</v>
      </c>
      <c r="K228">
        <v>4609</v>
      </c>
      <c r="L228" s="4">
        <v>34.619478800000003</v>
      </c>
      <c r="M228" s="4">
        <v>-329.51009407332702</v>
      </c>
      <c r="N228" s="4">
        <v>6.0639136686986017</v>
      </c>
      <c r="O228" s="1" t="str">
        <f>HYPERLINK(".\sm_car_250407_2318\sm_car_250407_2318_227_Ca170TrN_MaMPO_ode23t_1.png","figure")</f>
        <v>figure</v>
      </c>
      <c r="P228" t="s">
        <v>15</v>
      </c>
      <c r="T228">
        <f>K228-'2022a_250206_1736'!K222</f>
        <v>-39</v>
      </c>
      <c r="U228" s="5">
        <f>T228/'2022a_250206_1736'!K222</f>
        <v>-8.3907056798623071E-3</v>
      </c>
      <c r="V228" s="4">
        <f>L228-'2022a_250206_1736'!L222</f>
        <v>-1.9488415999999944</v>
      </c>
      <c r="W228" s="5">
        <f>V228/'2022a_250206_1736'!L222</f>
        <v>-5.3293166836286925E-2</v>
      </c>
    </row>
    <row r="229" spans="1:23" x14ac:dyDescent="0.25">
      <c r="A229">
        <v>228</v>
      </c>
      <c r="B229">
        <v>170</v>
      </c>
      <c r="C229" t="s">
        <v>45</v>
      </c>
      <c r="D229" t="s">
        <v>35</v>
      </c>
      <c r="E229" t="s">
        <v>49</v>
      </c>
      <c r="F229" t="s">
        <v>19</v>
      </c>
      <c r="G229" t="s">
        <v>20</v>
      </c>
      <c r="H229" t="s">
        <v>21</v>
      </c>
      <c r="I229" t="s">
        <v>81</v>
      </c>
      <c r="J229" t="s">
        <v>23</v>
      </c>
      <c r="K229">
        <v>1204</v>
      </c>
      <c r="L229" s="4">
        <v>9.6673372999999998</v>
      </c>
      <c r="M229" s="4">
        <v>-13.897550707519279</v>
      </c>
      <c r="N229" s="4">
        <v>0.20769660102888565</v>
      </c>
      <c r="O229" s="1" t="str">
        <f>HYPERLINK(".\sm_car_250407_2318\sm_car_250407_2318_228_Ca170TrN_MaMCI_ode23t_1.png","figure")</f>
        <v>figure</v>
      </c>
      <c r="P229" t="s">
        <v>15</v>
      </c>
      <c r="T229">
        <f>K229-'2022a_250206_1736'!K223</f>
        <v>-38</v>
      </c>
      <c r="U229" s="5">
        <f>T229/'2022a_250206_1736'!K223</f>
        <v>-3.0595813204508857E-2</v>
      </c>
      <c r="V229" s="4">
        <f>L229-'2022a_250206_1736'!L223</f>
        <v>-0.70577410000000107</v>
      </c>
      <c r="W229" s="5">
        <f>V229/'2022a_250206_1736'!L223</f>
        <v>-6.8038804634837052E-2</v>
      </c>
    </row>
    <row r="230" spans="1:23" x14ac:dyDescent="0.25">
      <c r="A230">
        <v>229</v>
      </c>
      <c r="B230">
        <v>170</v>
      </c>
      <c r="C230" t="s">
        <v>45</v>
      </c>
      <c r="D230" t="s">
        <v>35</v>
      </c>
      <c r="E230" t="s">
        <v>49</v>
      </c>
      <c r="F230" t="s">
        <v>19</v>
      </c>
      <c r="G230" t="s">
        <v>20</v>
      </c>
      <c r="H230" t="s">
        <v>21</v>
      </c>
      <c r="I230" t="s">
        <v>110</v>
      </c>
      <c r="J230" t="s">
        <v>23</v>
      </c>
      <c r="K230">
        <v>6073</v>
      </c>
      <c r="L230" s="4">
        <v>18.6293945</v>
      </c>
      <c r="M230" s="4">
        <v>-5.9993972379445921</v>
      </c>
      <c r="N230" s="4">
        <v>-4.4752493875231912E-3</v>
      </c>
      <c r="O230" s="1" t="str">
        <f>HYPERLINK(".\sm_car_250407_2318\sm_car_250407_2318_229_Ca170TrN_MaCHO_ode23t_1.png","figure")</f>
        <v>figure</v>
      </c>
      <c r="P230" t="s">
        <v>15</v>
      </c>
      <c r="T230">
        <f>K230-'2022a_250206_1736'!K224</f>
        <v>-71</v>
      </c>
      <c r="U230" s="5">
        <f>T230/'2022a_250206_1736'!K224</f>
        <v>-1.1555989583333334E-2</v>
      </c>
      <c r="V230" s="4">
        <f>L230-'2022a_250206_1736'!L224</f>
        <v>-4.1918262999999989</v>
      </c>
      <c r="W230" s="5">
        <f>V230/'2022a_250206_1736'!L224</f>
        <v>-0.18368107196088296</v>
      </c>
    </row>
    <row r="231" spans="1:23" x14ac:dyDescent="0.25">
      <c r="A231">
        <v>230</v>
      </c>
      <c r="B231">
        <v>170</v>
      </c>
      <c r="C231" t="s">
        <v>45</v>
      </c>
      <c r="D231" t="s">
        <v>35</v>
      </c>
      <c r="E231" t="s">
        <v>49</v>
      </c>
      <c r="F231" t="s">
        <v>19</v>
      </c>
      <c r="G231" t="s">
        <v>20</v>
      </c>
      <c r="H231" t="s">
        <v>21</v>
      </c>
      <c r="I231" t="s">
        <v>111</v>
      </c>
      <c r="J231" t="s">
        <v>23</v>
      </c>
      <c r="K231">
        <v>3418</v>
      </c>
      <c r="L231" s="4">
        <v>16.989238499999999</v>
      </c>
      <c r="M231" s="4">
        <v>-5.9995710731965417</v>
      </c>
      <c r="N231" s="4">
        <v>-4.5022106862034304E-3</v>
      </c>
      <c r="O231" s="1" t="str">
        <f>HYPERLINK(".\sm_car_250407_2318\sm_car_250407_2318_230_Ca170TrN_MaCHF_ode23t_1.png","figure")</f>
        <v>figure</v>
      </c>
      <c r="P231" t="s">
        <v>15</v>
      </c>
      <c r="T231">
        <f>K231-'2022a_250206_1736'!K225</f>
        <v>-145</v>
      </c>
      <c r="U231" s="5">
        <f>T231/'2022a_250206_1736'!K225</f>
        <v>-4.0696042660679201E-2</v>
      </c>
      <c r="V231" s="4">
        <f>L231-'2022a_250206_1736'!L225</f>
        <v>-4.7713447000000002</v>
      </c>
      <c r="W231" s="5">
        <f>V231/'2022a_250206_1736'!L225</f>
        <v>-0.21926547906124136</v>
      </c>
    </row>
    <row r="232" spans="1:23" x14ac:dyDescent="0.25">
      <c r="A232">
        <v>231</v>
      </c>
      <c r="B232">
        <v>170</v>
      </c>
      <c r="C232" t="s">
        <v>45</v>
      </c>
      <c r="D232" t="s">
        <v>35</v>
      </c>
      <c r="E232" t="s">
        <v>49</v>
      </c>
      <c r="F232" t="s">
        <v>19</v>
      </c>
      <c r="G232" t="s">
        <v>20</v>
      </c>
      <c r="H232" t="s">
        <v>21</v>
      </c>
      <c r="I232" t="s">
        <v>82</v>
      </c>
      <c r="J232" t="s">
        <v>23</v>
      </c>
      <c r="K232">
        <v>7077</v>
      </c>
      <c r="L232" s="4">
        <v>29.7720734</v>
      </c>
      <c r="M232" s="4">
        <v>-751.82150146193067</v>
      </c>
      <c r="N232" s="4">
        <v>628.25551362628812</v>
      </c>
      <c r="O232" s="1" t="str">
        <f>HYPERLINK(".\sm_car_250407_2318\sm_car_250407_2318_231_Ca170TrN_MaCKY_ode23t_1.png","figure")</f>
        <v>figure</v>
      </c>
      <c r="P232" t="s">
        <v>15</v>
      </c>
      <c r="T232">
        <f>K232-'2022a_250206_1736'!K226</f>
        <v>-140</v>
      </c>
      <c r="U232" s="5">
        <f>T232/'2022a_250206_1736'!K226</f>
        <v>-1.9398642095053348E-2</v>
      </c>
      <c r="V232" s="4">
        <f>L232-'2022a_250206_1736'!L226</f>
        <v>-5.1386609000000014</v>
      </c>
      <c r="W232" s="5">
        <f>V232/'2022a_250206_1736'!L226</f>
        <v>-0.14719429433485165</v>
      </c>
    </row>
    <row r="233" spans="1:23" x14ac:dyDescent="0.25">
      <c r="A233">
        <v>232</v>
      </c>
      <c r="B233">
        <v>170</v>
      </c>
      <c r="C233" t="s">
        <v>45</v>
      </c>
      <c r="D233" t="s">
        <v>35</v>
      </c>
      <c r="E233" t="s">
        <v>49</v>
      </c>
      <c r="F233" t="s">
        <v>19</v>
      </c>
      <c r="G233" t="s">
        <v>20</v>
      </c>
      <c r="H233" t="s">
        <v>21</v>
      </c>
      <c r="I233" t="s">
        <v>83</v>
      </c>
      <c r="J233" t="s">
        <v>23</v>
      </c>
      <c r="K233">
        <v>2177</v>
      </c>
      <c r="L233" s="4">
        <v>15.1197546</v>
      </c>
      <c r="M233" s="4">
        <v>-758.45727781527444</v>
      </c>
      <c r="N233" s="4">
        <v>632.5649538544202</v>
      </c>
      <c r="O233" s="1" t="str">
        <f>HYPERLINK(".\sm_car_250407_2318\sm_car_250407_2318_232_Ca170TrN_MaCKF_ode23t_1.png","figure")</f>
        <v>figure</v>
      </c>
      <c r="P233" t="s">
        <v>15</v>
      </c>
      <c r="T233">
        <f>K233-'2022a_250206_1736'!K227</f>
        <v>-61</v>
      </c>
      <c r="U233" s="5">
        <f>T233/'2022a_250206_1736'!K227</f>
        <v>-2.7256478999106343E-2</v>
      </c>
      <c r="V233" s="4">
        <f>L233-'2022a_250206_1736'!L227</f>
        <v>-4.5896766999999983</v>
      </c>
      <c r="W233" s="5">
        <f>V233/'2022a_250206_1736'!L227</f>
        <v>-0.23286702848701671</v>
      </c>
    </row>
    <row r="234" spans="1:23" x14ac:dyDescent="0.25">
      <c r="A234">
        <v>233</v>
      </c>
      <c r="B234">
        <v>170</v>
      </c>
      <c r="C234" t="s">
        <v>45</v>
      </c>
      <c r="D234" t="s">
        <v>35</v>
      </c>
      <c r="E234" t="s">
        <v>49</v>
      </c>
      <c r="F234" t="s">
        <v>19</v>
      </c>
      <c r="G234" t="s">
        <v>20</v>
      </c>
      <c r="H234" t="s">
        <v>21</v>
      </c>
      <c r="I234" t="s">
        <v>84</v>
      </c>
      <c r="J234" t="s">
        <v>23</v>
      </c>
      <c r="K234">
        <v>2751</v>
      </c>
      <c r="L234" s="4">
        <v>16.486992699999998</v>
      </c>
      <c r="M234" s="4">
        <v>177.30517667750314</v>
      </c>
      <c r="N234" s="4">
        <v>288.17176479005514</v>
      </c>
      <c r="O234" s="1" t="str">
        <f>HYPERLINK(".\sm_car_250407_2318\sm_car_250407_2318_233_Ca170TrN_MaCNN_ode23t_1.png","figure")</f>
        <v>figure</v>
      </c>
      <c r="P234" t="s">
        <v>15</v>
      </c>
      <c r="T234">
        <f>K234-'2022a_250206_1736'!K228</f>
        <v>12</v>
      </c>
      <c r="U234" s="5">
        <f>T234/'2022a_250206_1736'!K228</f>
        <v>4.3811610076670317E-3</v>
      </c>
      <c r="V234" s="4">
        <f>L234-'2022a_250206_1736'!L228</f>
        <v>-0.25841270000000094</v>
      </c>
      <c r="W234" s="5">
        <f>V234/'2022a_250206_1736'!L228</f>
        <v>-1.5431856908044815E-2</v>
      </c>
    </row>
    <row r="235" spans="1:23" x14ac:dyDescent="0.25">
      <c r="A235">
        <v>234</v>
      </c>
      <c r="B235">
        <v>170</v>
      </c>
      <c r="C235" t="s">
        <v>45</v>
      </c>
      <c r="D235" t="s">
        <v>35</v>
      </c>
      <c r="E235" t="s">
        <v>49</v>
      </c>
      <c r="F235" t="s">
        <v>19</v>
      </c>
      <c r="G235" t="s">
        <v>20</v>
      </c>
      <c r="H235" t="s">
        <v>21</v>
      </c>
      <c r="I235" t="s">
        <v>85</v>
      </c>
      <c r="J235" t="s">
        <v>23</v>
      </c>
      <c r="K235">
        <v>4421</v>
      </c>
      <c r="L235" s="4">
        <v>68.693987699999994</v>
      </c>
      <c r="M235" s="4">
        <v>2995.8489756346107</v>
      </c>
      <c r="N235" s="4">
        <v>-3063.9311078288224</v>
      </c>
      <c r="O235" s="1" t="str">
        <f>HYPERLINK(".\sm_car_250407_2318\sm_car_250407_2318_234_Ca170TrN_MaCNF_ode23t_1.png","figure")</f>
        <v>figure</v>
      </c>
      <c r="P235" t="s">
        <v>15</v>
      </c>
      <c r="T235">
        <f>K235-'2022a_250206_1736'!K229</f>
        <v>-6</v>
      </c>
      <c r="U235" s="5">
        <f>T235/'2022a_250206_1736'!K229</f>
        <v>-1.3553196295459679E-3</v>
      </c>
      <c r="V235" s="4">
        <f>L235-'2022a_250206_1736'!L229</f>
        <v>-2.1808650000000114</v>
      </c>
      <c r="W235" s="5">
        <f>V235/'2022a_250206_1736'!L229</f>
        <v>-3.0770645961427319E-2</v>
      </c>
    </row>
    <row r="236" spans="1:23" x14ac:dyDescent="0.25">
      <c r="A236">
        <v>235</v>
      </c>
      <c r="B236">
        <v>170</v>
      </c>
      <c r="C236" t="s">
        <v>45</v>
      </c>
      <c r="D236" t="s">
        <v>35</v>
      </c>
      <c r="E236" t="s">
        <v>49</v>
      </c>
      <c r="F236" t="s">
        <v>19</v>
      </c>
      <c r="G236" t="s">
        <v>20</v>
      </c>
      <c r="H236" t="s">
        <v>21</v>
      </c>
      <c r="I236" t="s">
        <v>86</v>
      </c>
      <c r="J236" t="s">
        <v>23</v>
      </c>
      <c r="K236">
        <v>2939</v>
      </c>
      <c r="L236" s="4">
        <v>13.422751399999999</v>
      </c>
      <c r="M236" s="4">
        <v>522.30734507778118</v>
      </c>
      <c r="N236" s="4">
        <v>-164.27057997378705</v>
      </c>
      <c r="O236" s="1" t="str">
        <f>HYPERLINK(".\sm_car_250407_2318\sm_car_250407_2318_235_Ca170TrN_MaCSZ_ode23t_1.png","figure")</f>
        <v>figure</v>
      </c>
      <c r="P236" t="s">
        <v>15</v>
      </c>
      <c r="T236">
        <f>K236-'2022a_250206_1736'!K230</f>
        <v>16</v>
      </c>
      <c r="U236" s="5">
        <f>T236/'2022a_250206_1736'!K230</f>
        <v>5.473828258638385E-3</v>
      </c>
      <c r="V236" s="4">
        <f>L236-'2022a_250206_1736'!L230</f>
        <v>-0.29510780000000025</v>
      </c>
      <c r="W236" s="5">
        <f>V236/'2022a_250206_1736'!L230</f>
        <v>-2.1512671598203914E-2</v>
      </c>
    </row>
    <row r="237" spans="1:23" x14ac:dyDescent="0.25">
      <c r="A237">
        <v>236</v>
      </c>
      <c r="B237">
        <v>170</v>
      </c>
      <c r="C237" t="s">
        <v>45</v>
      </c>
      <c r="D237" t="s">
        <v>35</v>
      </c>
      <c r="E237" t="s">
        <v>49</v>
      </c>
      <c r="F237" t="s">
        <v>19</v>
      </c>
      <c r="G237" t="s">
        <v>20</v>
      </c>
      <c r="H237" t="s">
        <v>21</v>
      </c>
      <c r="I237" t="s">
        <v>87</v>
      </c>
      <c r="J237" t="s">
        <v>23</v>
      </c>
      <c r="K237">
        <v>5685</v>
      </c>
      <c r="L237" s="4">
        <v>78.485036500000007</v>
      </c>
      <c r="M237" s="4">
        <v>-8.9937960572226867</v>
      </c>
      <c r="N237" s="4">
        <v>1.0053205588384115E-2</v>
      </c>
      <c r="O237" s="1" t="str">
        <f>HYPERLINK(".\sm_car_250407_2318\sm_car_250407_2318_236_Ca170TrN_MaCSF_ode23t_1.png","figure")</f>
        <v>figure</v>
      </c>
      <c r="P237" t="s">
        <v>15</v>
      </c>
      <c r="T237">
        <f>K237-'2022a_250206_1736'!K231</f>
        <v>-350</v>
      </c>
      <c r="U237" s="5">
        <f>T237/'2022a_250206_1736'!K231</f>
        <v>-5.7995028997514499E-2</v>
      </c>
      <c r="V237" s="4">
        <f>L237-'2022a_250206_1736'!L231</f>
        <v>-6.949151999999998</v>
      </c>
      <c r="W237" s="5">
        <f>V237/'2022a_250206_1736'!L231</f>
        <v>-8.1339240437684937E-2</v>
      </c>
    </row>
    <row r="238" spans="1:23" x14ac:dyDescent="0.25">
      <c r="A238">
        <v>237</v>
      </c>
      <c r="B238">
        <v>170</v>
      </c>
      <c r="C238" t="s">
        <v>45</v>
      </c>
      <c r="D238" t="s">
        <v>35</v>
      </c>
      <c r="E238" t="s">
        <v>49</v>
      </c>
      <c r="F238" t="s">
        <v>19</v>
      </c>
      <c r="G238" t="s">
        <v>20</v>
      </c>
      <c r="H238" t="s">
        <v>21</v>
      </c>
      <c r="I238" t="s">
        <v>88</v>
      </c>
      <c r="J238" t="s">
        <v>23</v>
      </c>
      <c r="K238">
        <v>2035</v>
      </c>
      <c r="L238" s="4">
        <v>15.8090972</v>
      </c>
      <c r="M238" s="4">
        <v>208.95173271957245</v>
      </c>
      <c r="N238" s="4">
        <v>379.20664701615067</v>
      </c>
      <c r="O238" s="1" t="str">
        <f>HYPERLINK(".\sm_car_250407_2318\sm_car_250407_2318_237_Ca170TrN_MaCPU_ode23t_1.png","figure")</f>
        <v>figure</v>
      </c>
      <c r="P238" t="s">
        <v>15</v>
      </c>
      <c r="T238">
        <f>K238-'2022a_250206_1736'!K232</f>
        <v>-175</v>
      </c>
      <c r="U238" s="5">
        <f>T238/'2022a_250206_1736'!K232</f>
        <v>-7.9185520361990946E-2</v>
      </c>
      <c r="V238" s="4">
        <f>L238-'2022a_250206_1736'!L232</f>
        <v>-1.8928529000000012</v>
      </c>
      <c r="W238" s="5">
        <f>V238/'2022a_250206_1736'!L232</f>
        <v>-0.10692906088352384</v>
      </c>
    </row>
    <row r="239" spans="1:23" x14ac:dyDescent="0.25">
      <c r="A239">
        <v>238</v>
      </c>
      <c r="B239">
        <v>170</v>
      </c>
      <c r="C239" t="s">
        <v>45</v>
      </c>
      <c r="D239" t="s">
        <v>35</v>
      </c>
      <c r="E239" t="s">
        <v>49</v>
      </c>
      <c r="F239" t="s">
        <v>19</v>
      </c>
      <c r="G239" t="s">
        <v>20</v>
      </c>
      <c r="H239" t="s">
        <v>21</v>
      </c>
      <c r="I239" t="s">
        <v>89</v>
      </c>
      <c r="J239" t="s">
        <v>23</v>
      </c>
      <c r="K239">
        <v>2558</v>
      </c>
      <c r="L239" s="4">
        <v>18.655533200000001</v>
      </c>
      <c r="M239" s="4">
        <v>183.04745642911462</v>
      </c>
      <c r="N239" s="4">
        <v>-170.21937160498237</v>
      </c>
      <c r="O239" s="1" t="str">
        <f>HYPERLINK(".\sm_car_250407_2318\sm_car_250407_2318_238_Ca170TrN_MaCPD_ode23t_1.png","figure")</f>
        <v>figure</v>
      </c>
      <c r="P239" t="s">
        <v>15</v>
      </c>
      <c r="T239">
        <f>K239-'2022a_250206_1736'!K233</f>
        <v>-228</v>
      </c>
      <c r="U239" s="5">
        <f>T239/'2022a_250206_1736'!K233</f>
        <v>-8.183776022972003E-2</v>
      </c>
      <c r="V239" s="4">
        <f>L239-'2022a_250206_1736'!L233</f>
        <v>-7.014183899999999</v>
      </c>
      <c r="W239" s="5">
        <f>V239/'2022a_250206_1736'!L233</f>
        <v>-0.27324741728454804</v>
      </c>
    </row>
    <row r="240" spans="1:23" x14ac:dyDescent="0.25">
      <c r="A240">
        <v>239</v>
      </c>
      <c r="B240">
        <v>202</v>
      </c>
      <c r="C240" t="s">
        <v>45</v>
      </c>
      <c r="D240" t="s">
        <v>35</v>
      </c>
      <c r="E240" t="s">
        <v>107</v>
      </c>
      <c r="F240" t="s">
        <v>19</v>
      </c>
      <c r="G240" t="s">
        <v>20</v>
      </c>
      <c r="H240" t="s">
        <v>21</v>
      </c>
      <c r="I240" t="s">
        <v>79</v>
      </c>
      <c r="J240" t="s">
        <v>23</v>
      </c>
      <c r="K240">
        <v>1797</v>
      </c>
      <c r="L240" s="4">
        <v>3.7886147000000001</v>
      </c>
      <c r="M240" s="4">
        <v>-5.9732505400745399</v>
      </c>
      <c r="N240" s="4">
        <v>2.8077915143428587E-3</v>
      </c>
      <c r="O240" s="1" t="str">
        <f>HYPERLINK(".\sm_car_250407_2318\sm_car_250407_2318_239_Ca202TrN_MaCMF_ode23t_1.png","figure")</f>
        <v>figure</v>
      </c>
      <c r="P240" t="s">
        <v>15</v>
      </c>
      <c r="T240">
        <f>K240-'2022a_250206_1736'!K234</f>
        <v>-47</v>
      </c>
      <c r="U240" s="5">
        <f>T240/'2022a_250206_1736'!K234</f>
        <v>-2.5488069414316701E-2</v>
      </c>
      <c r="V240" s="4">
        <f>L240-'2022a_250206_1736'!L234</f>
        <v>-1.4619967999999997</v>
      </c>
      <c r="W240" s="5">
        <f>V240/'2022a_250206_1736'!L234</f>
        <v>-0.2784431489551264</v>
      </c>
    </row>
    <row r="241" spans="1:23" x14ac:dyDescent="0.25">
      <c r="A241">
        <v>240</v>
      </c>
      <c r="B241">
        <v>202</v>
      </c>
      <c r="C241" t="s">
        <v>45</v>
      </c>
      <c r="D241" t="s">
        <v>35</v>
      </c>
      <c r="E241" t="s">
        <v>107</v>
      </c>
      <c r="F241" t="s">
        <v>19</v>
      </c>
      <c r="G241" t="s">
        <v>20</v>
      </c>
      <c r="H241" t="s">
        <v>21</v>
      </c>
      <c r="I241" t="s">
        <v>80</v>
      </c>
      <c r="J241" t="s">
        <v>23</v>
      </c>
      <c r="K241">
        <v>4499</v>
      </c>
      <c r="L241" s="4">
        <v>21.964638600000001</v>
      </c>
      <c r="M241" s="4">
        <v>-329.50809157633853</v>
      </c>
      <c r="N241" s="4">
        <v>6.0587194077147268</v>
      </c>
      <c r="O241" s="1" t="str">
        <f>HYPERLINK(".\sm_car_250407_2318\sm_car_250407_2318_240_Ca202TrN_MaMPO_ode23t_1.png","figure")</f>
        <v>figure</v>
      </c>
      <c r="P241" t="s">
        <v>15</v>
      </c>
      <c r="T241">
        <f>K241-'2022a_250206_1736'!K235</f>
        <v>-39</v>
      </c>
      <c r="U241" s="5">
        <f>T241/'2022a_250206_1736'!K235</f>
        <v>-8.5940943146760682E-3</v>
      </c>
      <c r="V241" s="4">
        <f>L241-'2022a_250206_1736'!L235</f>
        <v>-1.9500001000000005</v>
      </c>
      <c r="W241" s="5">
        <f>V241/'2022a_250206_1736'!L235</f>
        <v>-8.1540019251890278E-2</v>
      </c>
    </row>
    <row r="242" spans="1:23" x14ac:dyDescent="0.25">
      <c r="A242">
        <v>241</v>
      </c>
      <c r="B242">
        <v>202</v>
      </c>
      <c r="C242" t="s">
        <v>45</v>
      </c>
      <c r="D242" t="s">
        <v>35</v>
      </c>
      <c r="E242" t="s">
        <v>107</v>
      </c>
      <c r="F242" t="s">
        <v>19</v>
      </c>
      <c r="G242" t="s">
        <v>20</v>
      </c>
      <c r="H242" t="s">
        <v>21</v>
      </c>
      <c r="I242" t="s">
        <v>81</v>
      </c>
      <c r="J242" t="s">
        <v>23</v>
      </c>
      <c r="K242">
        <v>1193</v>
      </c>
      <c r="L242" s="4">
        <v>5.6177299999999999</v>
      </c>
      <c r="M242" s="4">
        <v>-13.902917110453195</v>
      </c>
      <c r="N242" s="4">
        <v>0.2046734003144195</v>
      </c>
      <c r="O242" s="1" t="str">
        <f>HYPERLINK(".\sm_car_250407_2318\sm_car_250407_2318_241_Ca202TrN_MaMCI_ode23t_1.png","figure")</f>
        <v>figure</v>
      </c>
      <c r="P242" t="s">
        <v>15</v>
      </c>
      <c r="T242">
        <f>K242-'2022a_250206_1736'!K236</f>
        <v>-26</v>
      </c>
      <c r="U242" s="5">
        <f>T242/'2022a_250206_1736'!K236</f>
        <v>-2.1328958162428219E-2</v>
      </c>
      <c r="V242" s="4">
        <f>L242-'2022a_250206_1736'!L236</f>
        <v>-1.1567876999999998</v>
      </c>
      <c r="W242" s="5">
        <f>V242/'2022a_250206_1736'!L236</f>
        <v>-0.17075572774723133</v>
      </c>
    </row>
    <row r="243" spans="1:23" x14ac:dyDescent="0.25">
      <c r="A243">
        <v>242</v>
      </c>
      <c r="B243">
        <v>202</v>
      </c>
      <c r="C243" t="s">
        <v>45</v>
      </c>
      <c r="D243" t="s">
        <v>35</v>
      </c>
      <c r="E243" t="s">
        <v>107</v>
      </c>
      <c r="F243" t="s">
        <v>19</v>
      </c>
      <c r="G243" t="s">
        <v>20</v>
      </c>
      <c r="H243" t="s">
        <v>21</v>
      </c>
      <c r="I243" t="s">
        <v>83</v>
      </c>
      <c r="J243" t="s">
        <v>23</v>
      </c>
      <c r="K243">
        <v>3626</v>
      </c>
      <c r="L243" s="4">
        <v>8.8038974999999997</v>
      </c>
      <c r="M243" s="4">
        <v>-5.9908518780683089</v>
      </c>
      <c r="N243" s="4">
        <v>-7.1870564873795081E-3</v>
      </c>
      <c r="O243" s="1" t="str">
        <f>HYPERLINK(".\sm_car_250407_2318\sm_car_250407_2318_242_Ca202TrN_MaCKF_ode23t_1.png","figure")</f>
        <v>figure</v>
      </c>
      <c r="P243" t="s">
        <v>15</v>
      </c>
      <c r="T243">
        <f>K243-'2022a_250206_1736'!K237</f>
        <v>-197</v>
      </c>
      <c r="U243" s="5">
        <f>T243/'2022a_250206_1736'!K237</f>
        <v>-5.153021187549045E-2</v>
      </c>
      <c r="V243" s="4">
        <f>L243-'2022a_250206_1736'!L237</f>
        <v>-4.0702783</v>
      </c>
      <c r="W243" s="5">
        <f>V243/'2022a_250206_1736'!L237</f>
        <v>-0.31615835943455117</v>
      </c>
    </row>
    <row r="244" spans="1:23" x14ac:dyDescent="0.25">
      <c r="A244">
        <v>243</v>
      </c>
      <c r="B244">
        <v>202</v>
      </c>
      <c r="C244" t="s">
        <v>45</v>
      </c>
      <c r="D244" t="s">
        <v>35</v>
      </c>
      <c r="E244" t="s">
        <v>107</v>
      </c>
      <c r="F244" t="s">
        <v>19</v>
      </c>
      <c r="G244" t="s">
        <v>20</v>
      </c>
      <c r="H244" t="s">
        <v>21</v>
      </c>
      <c r="I244" t="s">
        <v>85</v>
      </c>
      <c r="J244" t="s">
        <v>23</v>
      </c>
      <c r="K244">
        <v>10227</v>
      </c>
      <c r="L244" s="4">
        <v>106.55722660000001</v>
      </c>
      <c r="M244" s="4">
        <v>-8.9984482519704176</v>
      </c>
      <c r="N244" s="4">
        <v>4.7059211791373567E-2</v>
      </c>
      <c r="O244" s="1" t="str">
        <f>HYPERLINK(".\sm_car_250407_2318\sm_car_250407_2318_243_Ca202TrN_MaCNF_ode23t_1.png","figure")</f>
        <v>figure</v>
      </c>
      <c r="P244" t="s">
        <v>15</v>
      </c>
      <c r="T244">
        <f>K244-'2022a_250206_1736'!K238</f>
        <v>-455</v>
      </c>
      <c r="U244" s="5">
        <f>T244/'2022a_250206_1736'!K238</f>
        <v>-4.2595019659239841E-2</v>
      </c>
      <c r="V244" s="4">
        <f>L244-'2022a_250206_1736'!L238</f>
        <v>-18.274870899999996</v>
      </c>
      <c r="W244" s="5">
        <f>V244/'2022a_250206_1736'!L238</f>
        <v>-0.14639560870953078</v>
      </c>
    </row>
    <row r="245" spans="1:23" x14ac:dyDescent="0.25">
      <c r="A245">
        <v>244</v>
      </c>
      <c r="B245">
        <v>202</v>
      </c>
      <c r="C245" t="s">
        <v>45</v>
      </c>
      <c r="D245" t="s">
        <v>35</v>
      </c>
      <c r="E245" t="s">
        <v>107</v>
      </c>
      <c r="F245" t="s">
        <v>19</v>
      </c>
      <c r="G245" t="s">
        <v>20</v>
      </c>
      <c r="H245" t="s">
        <v>21</v>
      </c>
      <c r="I245" t="s">
        <v>87</v>
      </c>
      <c r="J245" t="s">
        <v>23</v>
      </c>
      <c r="K245">
        <v>5745</v>
      </c>
      <c r="L245" s="4">
        <v>43.848185999999998</v>
      </c>
      <c r="M245" s="4">
        <v>-8.9431525670925076</v>
      </c>
      <c r="N245" s="4">
        <v>9.7566684280262807E-3</v>
      </c>
      <c r="O245" s="1" t="str">
        <f>HYPERLINK(".\sm_car_250407_2318\sm_car_250407_2318_244_Ca202TrN_MaCSF_ode23t_1.png","figure")</f>
        <v>figure</v>
      </c>
      <c r="P245" t="s">
        <v>15</v>
      </c>
      <c r="T245">
        <f>K245-'2022a_250206_1736'!K239</f>
        <v>-378</v>
      </c>
      <c r="U245" s="5">
        <f>T245/'2022a_250206_1736'!K239</f>
        <v>-6.1734443900048994E-2</v>
      </c>
      <c r="V245" s="4">
        <f>L245-'2022a_250206_1736'!L239</f>
        <v>-7.9018529000000015</v>
      </c>
      <c r="W245" s="5">
        <f>V245/'2022a_250206_1736'!L239</f>
        <v>-0.15269269488413856</v>
      </c>
    </row>
    <row r="246" spans="1:23" x14ac:dyDescent="0.25">
      <c r="A246">
        <v>245</v>
      </c>
      <c r="B246">
        <v>202</v>
      </c>
      <c r="C246" t="s">
        <v>45</v>
      </c>
      <c r="D246" t="s">
        <v>35</v>
      </c>
      <c r="E246" t="s">
        <v>107</v>
      </c>
      <c r="F246" t="s">
        <v>19</v>
      </c>
      <c r="G246" t="s">
        <v>20</v>
      </c>
      <c r="H246" t="s">
        <v>21</v>
      </c>
      <c r="I246" t="s">
        <v>78</v>
      </c>
      <c r="J246" t="s">
        <v>23</v>
      </c>
      <c r="K246">
        <v>5538</v>
      </c>
      <c r="L246" s="4">
        <v>18.7626457</v>
      </c>
      <c r="M246" s="4">
        <v>-5.999398283026526</v>
      </c>
      <c r="N246" s="4">
        <v>2.9353198212814595E-3</v>
      </c>
      <c r="O246" s="1" t="str">
        <f>HYPERLINK(".\sm_car_250407_2318\sm_car_250407_2318_245_Ca202TrN_MaCMP_ode23t_1.png","figure")</f>
        <v>figure</v>
      </c>
      <c r="P246" t="s">
        <v>15</v>
      </c>
      <c r="T246">
        <f>K246-'2022a_250206_1736'!K240</f>
        <v>47</v>
      </c>
      <c r="U246" s="5">
        <f>T246/'2022a_250206_1736'!K240</f>
        <v>8.5594609360772171E-3</v>
      </c>
      <c r="V246" s="4">
        <f>L246-'2022a_250206_1736'!L240</f>
        <v>-0.95073169999999863</v>
      </c>
      <c r="W246" s="5">
        <f>V246/'2022a_250206_1736'!L240</f>
        <v>-4.8227743055332499E-2</v>
      </c>
    </row>
    <row r="247" spans="1:23" x14ac:dyDescent="0.25">
      <c r="A247">
        <v>246</v>
      </c>
      <c r="B247">
        <v>202</v>
      </c>
      <c r="C247" t="s">
        <v>45</v>
      </c>
      <c r="D247" t="s">
        <v>35</v>
      </c>
      <c r="E247" t="s">
        <v>107</v>
      </c>
      <c r="F247" t="s">
        <v>19</v>
      </c>
      <c r="G247" t="s">
        <v>20</v>
      </c>
      <c r="H247" t="s">
        <v>21</v>
      </c>
      <c r="I247" t="s">
        <v>82</v>
      </c>
      <c r="J247" t="s">
        <v>23</v>
      </c>
      <c r="K247">
        <v>14905</v>
      </c>
      <c r="L247" s="4">
        <v>52.1280638</v>
      </c>
      <c r="M247" s="4">
        <v>-5.9990245248567993</v>
      </c>
      <c r="N247" s="4">
        <v>-8.8922096543663648E-3</v>
      </c>
      <c r="O247" s="1" t="str">
        <f>HYPERLINK(".\sm_car_250407_2318\sm_car_250407_2318_246_Ca202TrN_MaCKY_ode23t_1.png","figure")</f>
        <v>figure</v>
      </c>
      <c r="P247" t="s">
        <v>15</v>
      </c>
      <c r="T247">
        <f>K247-'2022a_250206_1736'!K241</f>
        <v>-229</v>
      </c>
      <c r="U247" s="5">
        <f>T247/'2022a_250206_1736'!K241</f>
        <v>-1.51314920047575E-2</v>
      </c>
      <c r="V247" s="4">
        <f>L247-'2022a_250206_1736'!L241</f>
        <v>-4.8928172000000032</v>
      </c>
      <c r="W247" s="5">
        <f>V247/'2022a_250206_1736'!L241</f>
        <v>-8.5807464111261333E-2</v>
      </c>
    </row>
    <row r="248" spans="1:23" x14ac:dyDescent="0.25">
      <c r="A248">
        <v>247</v>
      </c>
      <c r="B248">
        <v>202</v>
      </c>
      <c r="C248" t="s">
        <v>45</v>
      </c>
      <c r="D248" t="s">
        <v>35</v>
      </c>
      <c r="E248" t="s">
        <v>107</v>
      </c>
      <c r="F248" t="s">
        <v>19</v>
      </c>
      <c r="G248" t="s">
        <v>20</v>
      </c>
      <c r="H248" t="s">
        <v>21</v>
      </c>
      <c r="I248" t="s">
        <v>75</v>
      </c>
      <c r="J248" t="s">
        <v>23</v>
      </c>
      <c r="K248">
        <v>460</v>
      </c>
      <c r="L248" s="4">
        <v>2.540117</v>
      </c>
      <c r="M248" s="4">
        <v>381.37293638019747</v>
      </c>
      <c r="N248" s="4">
        <v>0.32912509632959175</v>
      </c>
      <c r="O248" s="1" t="str">
        <f>HYPERLINK(".\sm_car_250407_2318\sm_car_250407_2318_247_Ca202TrN_MaCPL_ode23t_1.png","figure")</f>
        <v>figure</v>
      </c>
      <c r="P248" t="s">
        <v>15</v>
      </c>
      <c r="T248">
        <f>K248-'2022a_250206_1736'!K242</f>
        <v>0</v>
      </c>
      <c r="U248" s="5">
        <f>T248/'2022a_250206_1736'!K242</f>
        <v>0</v>
      </c>
      <c r="V248" s="4">
        <f>L248-'2022a_250206_1736'!L242</f>
        <v>0.12344590000000011</v>
      </c>
      <c r="W248" s="5">
        <f>V248/'2022a_250206_1736'!L242</f>
        <v>5.1080968361809809E-2</v>
      </c>
    </row>
    <row r="249" spans="1:23" x14ac:dyDescent="0.25">
      <c r="A249">
        <v>248</v>
      </c>
      <c r="B249">
        <v>140</v>
      </c>
      <c r="C249" t="s">
        <v>45</v>
      </c>
      <c r="D249" t="s">
        <v>17</v>
      </c>
      <c r="E249" t="s">
        <v>49</v>
      </c>
      <c r="F249" t="s">
        <v>19</v>
      </c>
      <c r="G249" t="s">
        <v>26</v>
      </c>
      <c r="H249" t="s">
        <v>21</v>
      </c>
      <c r="I249" t="s">
        <v>112</v>
      </c>
      <c r="J249" t="s">
        <v>23</v>
      </c>
      <c r="K249">
        <v>2732</v>
      </c>
      <c r="L249" s="4">
        <v>40.851492800000003</v>
      </c>
      <c r="M249" s="4">
        <v>176.28155875832888</v>
      </c>
      <c r="N249" s="4">
        <v>7.2208190920120408E-4</v>
      </c>
      <c r="O249" s="1" t="str">
        <f>HYPERLINK(".\sm_car_250407_2318\sm_car_250407_2318_248_Ca140TrN_MaCRR_ode23t_1.png","figure")</f>
        <v>figure</v>
      </c>
      <c r="P249" t="s">
        <v>15</v>
      </c>
      <c r="T249">
        <f>K249-'2022a_250206_1736'!K243</f>
        <v>-75</v>
      </c>
      <c r="U249" s="5">
        <f>T249/'2022a_250206_1736'!K243</f>
        <v>-2.6718916993231208E-2</v>
      </c>
      <c r="V249" s="4">
        <f>L249-'2022a_250206_1736'!L243</f>
        <v>-4.0934601999999956</v>
      </c>
      <c r="W249" s="5">
        <f>V249/'2022a_250206_1736'!L243</f>
        <v>-9.1077193917635108E-2</v>
      </c>
    </row>
    <row r="250" spans="1:23" x14ac:dyDescent="0.25">
      <c r="A250">
        <v>249</v>
      </c>
      <c r="B250">
        <v>189</v>
      </c>
      <c r="C250" t="s">
        <v>45</v>
      </c>
      <c r="D250" t="s">
        <v>17</v>
      </c>
      <c r="E250" t="s">
        <v>107</v>
      </c>
      <c r="F250" t="s">
        <v>19</v>
      </c>
      <c r="G250" t="s">
        <v>26</v>
      </c>
      <c r="H250" t="s">
        <v>21</v>
      </c>
      <c r="I250" t="s">
        <v>112</v>
      </c>
      <c r="J250" t="s">
        <v>23</v>
      </c>
      <c r="K250">
        <v>3355</v>
      </c>
      <c r="L250" s="4">
        <v>36.3451916</v>
      </c>
      <c r="M250" s="4">
        <v>176.34114341350272</v>
      </c>
      <c r="N250" s="4">
        <v>7.5811201728804732E-4</v>
      </c>
      <c r="O250" s="1" t="str">
        <f>HYPERLINK(".\sm_car_250407_2318\sm_car_250407_2318_249_Ca189TrN_MaCRR_ode23t_1.png","figure")</f>
        <v>figure</v>
      </c>
      <c r="P250" t="s">
        <v>15</v>
      </c>
      <c r="T250">
        <f>K250-'2022a_250206_1736'!K244</f>
        <v>9</v>
      </c>
      <c r="U250" s="5">
        <f>T250/'2022a_250206_1736'!K244</f>
        <v>2.6897788404064557E-3</v>
      </c>
      <c r="V250" s="4">
        <f>L250-'2022a_250206_1736'!L244</f>
        <v>-2.1966584999999981</v>
      </c>
      <c r="W250" s="5">
        <f>V250/'2022a_250206_1736'!L244</f>
        <v>-5.6994111447701321E-2</v>
      </c>
    </row>
    <row r="251" spans="1:23" x14ac:dyDescent="0.25">
      <c r="A251">
        <v>250</v>
      </c>
      <c r="B251">
        <v>173</v>
      </c>
      <c r="C251" t="s">
        <v>45</v>
      </c>
      <c r="D251" t="s">
        <v>35</v>
      </c>
      <c r="E251" t="s">
        <v>49</v>
      </c>
      <c r="F251" t="s">
        <v>19</v>
      </c>
      <c r="G251" t="s">
        <v>90</v>
      </c>
      <c r="H251" t="s">
        <v>21</v>
      </c>
      <c r="I251" t="s">
        <v>91</v>
      </c>
      <c r="J251" t="s">
        <v>92</v>
      </c>
      <c r="K251">
        <v>1621</v>
      </c>
      <c r="L251" s="4">
        <v>61.759864100000001</v>
      </c>
      <c r="M251" s="4">
        <v>51.299282815384096</v>
      </c>
      <c r="N251" s="4">
        <v>9.0082522879582905E-3</v>
      </c>
      <c r="O251" s="1" t="str">
        <f>HYPERLINK(".\sm_car_250407_2318\sm_car_250407_2318_250_Ca173TrN_MaDCA_daessc_1.png","figure")</f>
        <v>figure</v>
      </c>
      <c r="P251" t="s">
        <v>15</v>
      </c>
      <c r="T251">
        <f>K251-'2022a_250206_1736'!K245</f>
        <v>0</v>
      </c>
      <c r="U251" s="5">
        <f>T251/'2022a_250206_1736'!K245</f>
        <v>0</v>
      </c>
      <c r="V251" s="4">
        <f>L251-'2022a_250206_1736'!L245</f>
        <v>0.7637556000000032</v>
      </c>
      <c r="W251" s="5">
        <f>V251/'2022a_250206_1736'!L245</f>
        <v>1.2521382409174567E-2</v>
      </c>
    </row>
    <row r="252" spans="1:23" x14ac:dyDescent="0.25">
      <c r="A252">
        <v>251</v>
      </c>
      <c r="B252">
        <v>173</v>
      </c>
      <c r="C252" t="s">
        <v>45</v>
      </c>
      <c r="D252" t="s">
        <v>35</v>
      </c>
      <c r="E252" t="s">
        <v>49</v>
      </c>
      <c r="F252" t="s">
        <v>19</v>
      </c>
      <c r="G252" t="s">
        <v>90</v>
      </c>
      <c r="H252" t="s">
        <v>21</v>
      </c>
      <c r="I252" t="s">
        <v>93</v>
      </c>
      <c r="J252" t="s">
        <v>92</v>
      </c>
      <c r="K252">
        <v>3974</v>
      </c>
      <c r="L252" s="4">
        <v>90.867857999999998</v>
      </c>
      <c r="M252" s="4">
        <v>980.46891898583885</v>
      </c>
      <c r="N252" s="4">
        <v>0.72232671950036975</v>
      </c>
      <c r="O252" s="1" t="str">
        <f>HYPERLINK(".\sm_car_250407_2318\sm_car_250407_2318_251_Ca173TrN_MaDC1_daessc_1.png","figure")</f>
        <v>figure</v>
      </c>
      <c r="P252" t="s">
        <v>15</v>
      </c>
      <c r="T252">
        <f>K252-'2022a_250206_1736'!K246</f>
        <v>-121</v>
      </c>
      <c r="U252" s="5">
        <f>T252/'2022a_250206_1736'!K246</f>
        <v>-2.9548229548229547E-2</v>
      </c>
      <c r="V252" s="4">
        <f>L252-'2022a_250206_1736'!L246</f>
        <v>-7.3411655000000025</v>
      </c>
      <c r="W252" s="5">
        <f>V252/'2022a_250206_1736'!L246</f>
        <v>-7.4750417409455275E-2</v>
      </c>
    </row>
    <row r="253" spans="1:23" x14ac:dyDescent="0.25">
      <c r="A253">
        <v>252</v>
      </c>
      <c r="B253">
        <v>165</v>
      </c>
      <c r="C253" t="s">
        <v>45</v>
      </c>
      <c r="D253" t="s">
        <v>35</v>
      </c>
      <c r="E253" t="s">
        <v>49</v>
      </c>
      <c r="F253" t="s">
        <v>19</v>
      </c>
      <c r="G253" t="s">
        <v>26</v>
      </c>
      <c r="H253" t="s">
        <v>21</v>
      </c>
      <c r="I253" t="s">
        <v>91</v>
      </c>
      <c r="J253" t="s">
        <v>23</v>
      </c>
      <c r="K253">
        <v>323</v>
      </c>
      <c r="L253" s="4">
        <v>3.8534212000000001</v>
      </c>
      <c r="M253" s="4">
        <v>53.509370062741581</v>
      </c>
      <c r="N253" s="4">
        <v>9.8722574662738535E-3</v>
      </c>
      <c r="O253" s="1" t="str">
        <f>HYPERLINK(".\sm_car_250407_2318\sm_car_250407_2318_252_Ca165TrN_MaDCA_ode23t_1.png","figure")</f>
        <v>figure</v>
      </c>
      <c r="P253" t="s">
        <v>15</v>
      </c>
      <c r="T253">
        <f>K253-'2022a_250206_1736'!K247</f>
        <v>0</v>
      </c>
      <c r="U253" s="5">
        <f>T253/'2022a_250206_1736'!K247</f>
        <v>0</v>
      </c>
      <c r="V253" s="4">
        <f>L253-'2022a_250206_1736'!L247</f>
        <v>0.32488859999999997</v>
      </c>
      <c r="W253" s="5">
        <f>V253/'2022a_250206_1736'!L247</f>
        <v>9.2074705502224907E-2</v>
      </c>
    </row>
    <row r="254" spans="1:23" x14ac:dyDescent="0.25">
      <c r="A254">
        <v>253</v>
      </c>
      <c r="B254">
        <v>165</v>
      </c>
      <c r="C254" t="s">
        <v>45</v>
      </c>
      <c r="D254" t="s">
        <v>35</v>
      </c>
      <c r="E254" t="s">
        <v>49</v>
      </c>
      <c r="F254" t="s">
        <v>19</v>
      </c>
      <c r="G254" t="s">
        <v>26</v>
      </c>
      <c r="H254" t="s">
        <v>21</v>
      </c>
      <c r="I254" t="s">
        <v>93</v>
      </c>
      <c r="J254" t="s">
        <v>23</v>
      </c>
      <c r="K254">
        <v>1194</v>
      </c>
      <c r="L254" s="4">
        <v>9.0891216000000004</v>
      </c>
      <c r="M254" s="4">
        <v>992.65424839007846</v>
      </c>
      <c r="N254" s="4">
        <v>0.78838705234437167</v>
      </c>
      <c r="O254" s="1" t="str">
        <f>HYPERLINK(".\sm_car_250407_2318\sm_car_250407_2318_253_Ca165TrN_MaDC1_ode23t_1.png","figure")</f>
        <v>figure</v>
      </c>
      <c r="P254" t="s">
        <v>15</v>
      </c>
      <c r="T254">
        <f>K254-'2022a_250206_1736'!K248</f>
        <v>2</v>
      </c>
      <c r="U254" s="5">
        <f>T254/'2022a_250206_1736'!K248</f>
        <v>1.6778523489932886E-3</v>
      </c>
      <c r="V254" s="4">
        <f>L254-'2022a_250206_1736'!L248</f>
        <v>1.6582310000000007</v>
      </c>
      <c r="W254" s="5">
        <f>V254/'2022a_250206_1736'!L248</f>
        <v>0.22315373610802461</v>
      </c>
    </row>
    <row r="255" spans="1:23" x14ac:dyDescent="0.25">
      <c r="A255">
        <v>254</v>
      </c>
      <c r="B255">
        <v>196</v>
      </c>
      <c r="C255" t="s">
        <v>45</v>
      </c>
      <c r="D255" t="s">
        <v>35</v>
      </c>
      <c r="E255" t="s">
        <v>107</v>
      </c>
      <c r="F255" t="s">
        <v>19</v>
      </c>
      <c r="G255" t="s">
        <v>90</v>
      </c>
      <c r="H255" t="s">
        <v>21</v>
      </c>
      <c r="I255" t="s">
        <v>93</v>
      </c>
      <c r="J255" t="s">
        <v>92</v>
      </c>
      <c r="K255">
        <v>4046</v>
      </c>
      <c r="L255" s="4">
        <v>47.737175700000002</v>
      </c>
      <c r="M255" s="4">
        <v>980.46234723362102</v>
      </c>
      <c r="N255" s="4">
        <v>0.72246119799137987</v>
      </c>
      <c r="O255" s="1" t="str">
        <f>HYPERLINK(".\sm_car_250407_2318\sm_car_250407_2318_254_Ca196TrN_MaDC1_daessc_1.png","figure")</f>
        <v>figure</v>
      </c>
      <c r="P255" t="s">
        <v>15</v>
      </c>
      <c r="T255">
        <f>K255-'2022a_250206_1736'!K249</f>
        <v>-49</v>
      </c>
      <c r="U255" s="5">
        <f>T255/'2022a_250206_1736'!K249</f>
        <v>-1.1965811965811967E-2</v>
      </c>
      <c r="V255" s="4">
        <f>L255-'2022a_250206_1736'!L249</f>
        <v>-2.403655999999998</v>
      </c>
      <c r="W255" s="5">
        <f>V255/'2022a_250206_1736'!L249</f>
        <v>-4.7938095929110768E-2</v>
      </c>
    </row>
    <row r="256" spans="1:23" x14ac:dyDescent="0.25">
      <c r="A256">
        <v>255</v>
      </c>
      <c r="B256">
        <v>179</v>
      </c>
      <c r="C256" t="s">
        <v>45</v>
      </c>
      <c r="D256" t="s">
        <v>57</v>
      </c>
      <c r="E256" t="s">
        <v>18</v>
      </c>
      <c r="F256" t="s">
        <v>19</v>
      </c>
      <c r="G256" t="s">
        <v>26</v>
      </c>
      <c r="H256" t="s">
        <v>21</v>
      </c>
      <c r="I256" t="s">
        <v>22</v>
      </c>
      <c r="J256" t="s">
        <v>23</v>
      </c>
      <c r="K256">
        <v>474</v>
      </c>
      <c r="L256" s="4">
        <v>4.8159770000000002</v>
      </c>
      <c r="M256" s="4">
        <v>147.8441993471184</v>
      </c>
      <c r="N256" s="4">
        <v>9.4943911169451042E-2</v>
      </c>
      <c r="O256" s="1" t="str">
        <f>HYPERLINK(".\sm_car_250407_2318\sm_car_250407_2318_255_Ca179TrN_MaWOT_ode23t_1.png","figure")</f>
        <v>figure</v>
      </c>
      <c r="P256" t="s">
        <v>15</v>
      </c>
      <c r="T256">
        <f>K256-'2022a_250206_1736'!K250</f>
        <v>-1</v>
      </c>
      <c r="U256" s="5">
        <f>T256/'2022a_250206_1736'!K250</f>
        <v>-2.1052631578947368E-3</v>
      </c>
      <c r="V256" s="4">
        <f>L256-'2022a_250206_1736'!L250</f>
        <v>-0.2119567</v>
      </c>
      <c r="W256" s="5">
        <f>V256/'2022a_250206_1736'!L250</f>
        <v>-4.2155826358649076E-2</v>
      </c>
    </row>
    <row r="257" spans="1:23" x14ac:dyDescent="0.25">
      <c r="A257">
        <v>256</v>
      </c>
      <c r="B257">
        <v>180</v>
      </c>
      <c r="C257" t="s">
        <v>45</v>
      </c>
      <c r="D257" t="s">
        <v>57</v>
      </c>
      <c r="E257" t="s">
        <v>49</v>
      </c>
      <c r="F257" t="s">
        <v>19</v>
      </c>
      <c r="G257" t="s">
        <v>26</v>
      </c>
      <c r="H257" t="s">
        <v>21</v>
      </c>
      <c r="I257" t="s">
        <v>22</v>
      </c>
      <c r="J257" t="s">
        <v>23</v>
      </c>
      <c r="K257">
        <v>519</v>
      </c>
      <c r="L257" s="4">
        <v>6.7374983999999998</v>
      </c>
      <c r="M257" s="4">
        <v>147.86626347806171</v>
      </c>
      <c r="N257" s="4">
        <v>9.4540839885179681E-2</v>
      </c>
      <c r="O257" s="1" t="str">
        <f>HYPERLINK(".\sm_car_250407_2318\sm_car_250407_2318_256_Ca180TrN_MaWOT_ode23t_1.png","figure")</f>
        <v>figure</v>
      </c>
      <c r="P257" t="s">
        <v>15</v>
      </c>
      <c r="T257">
        <f>K257-'2022a_250206_1736'!K251</f>
        <v>1</v>
      </c>
      <c r="U257" s="5">
        <f>T257/'2022a_250206_1736'!K251</f>
        <v>1.9305019305019305E-3</v>
      </c>
      <c r="V257" s="4">
        <f>L257-'2022a_250206_1736'!L251</f>
        <v>1.9877999999999396E-2</v>
      </c>
      <c r="W257" s="5">
        <f>V257/'2022a_250206_1736'!L251</f>
        <v>2.9590835469058946E-3</v>
      </c>
    </row>
    <row r="258" spans="1:23" x14ac:dyDescent="0.25">
      <c r="A258">
        <v>257</v>
      </c>
      <c r="B258">
        <v>197</v>
      </c>
      <c r="C258" t="s">
        <v>45</v>
      </c>
      <c r="D258" t="s">
        <v>57</v>
      </c>
      <c r="E258" t="s">
        <v>107</v>
      </c>
      <c r="F258" t="s">
        <v>19</v>
      </c>
      <c r="G258" t="s">
        <v>26</v>
      </c>
      <c r="H258" t="s">
        <v>21</v>
      </c>
      <c r="I258" t="s">
        <v>22</v>
      </c>
      <c r="J258" t="s">
        <v>23</v>
      </c>
      <c r="K258">
        <v>462</v>
      </c>
      <c r="L258" s="4">
        <v>2.1495023999999998</v>
      </c>
      <c r="M258" s="4">
        <v>147.86044572222826</v>
      </c>
      <c r="N258" s="4">
        <v>9.4504709432079073E-2</v>
      </c>
      <c r="O258" s="1" t="str">
        <f>HYPERLINK(".\sm_car_250407_2318\sm_car_250407_2318_257_Ca197TrN_MaWOT_ode23t_1.png","figure")</f>
        <v>figure</v>
      </c>
      <c r="P258" t="s">
        <v>15</v>
      </c>
      <c r="T258">
        <f>K258-'2022a_250206_1736'!K252</f>
        <v>-15</v>
      </c>
      <c r="U258" s="5">
        <f>T258/'2022a_250206_1736'!K252</f>
        <v>-3.1446540880503145E-2</v>
      </c>
      <c r="V258" s="4">
        <f>L258-'2022a_250206_1736'!L252</f>
        <v>7.5937999999999839E-2</v>
      </c>
      <c r="W258" s="5">
        <f>V258/'2022a_250206_1736'!L252</f>
        <v>3.6621963610100484E-2</v>
      </c>
    </row>
    <row r="259" spans="1:23" x14ac:dyDescent="0.25">
      <c r="A259">
        <v>258</v>
      </c>
      <c r="B259">
        <v>182</v>
      </c>
      <c r="C259" t="s">
        <v>45</v>
      </c>
      <c r="D259" t="s">
        <v>17</v>
      </c>
      <c r="E259" t="s">
        <v>49</v>
      </c>
      <c r="F259" t="s">
        <v>19</v>
      </c>
      <c r="G259" t="s">
        <v>26</v>
      </c>
      <c r="H259" t="s">
        <v>21</v>
      </c>
      <c r="I259" t="s">
        <v>64</v>
      </c>
      <c r="J259" t="s">
        <v>23</v>
      </c>
      <c r="K259">
        <v>421</v>
      </c>
      <c r="L259" s="4">
        <v>13.1865668</v>
      </c>
      <c r="M259" s="4">
        <v>62.248050675610131</v>
      </c>
      <c r="N259" s="4">
        <v>-24.542736932717091</v>
      </c>
      <c r="O259" s="1" t="str">
        <f>HYPERLINK(".\sm_car_250407_2318\sm_car_250407_2318_258_Ca182TrN_MaTUR_ode23t_1.png","figure")</f>
        <v>figure</v>
      </c>
      <c r="P259" t="s">
        <v>15</v>
      </c>
      <c r="T259">
        <f>K259-'2022a_250206_1736'!K253</f>
        <v>6</v>
      </c>
      <c r="U259" s="5">
        <f>T259/'2022a_250206_1736'!K253</f>
        <v>1.4457831325301205E-2</v>
      </c>
      <c r="V259" s="4">
        <f>L259-'2022a_250206_1736'!L253</f>
        <v>0.94732679999999903</v>
      </c>
      <c r="W259" s="5">
        <f>V259/'2022a_250206_1736'!L253</f>
        <v>7.740078632333372E-2</v>
      </c>
    </row>
    <row r="260" spans="1:23" x14ac:dyDescent="0.25">
      <c r="A260">
        <v>259</v>
      </c>
      <c r="B260">
        <v>203</v>
      </c>
      <c r="C260" t="s">
        <v>45</v>
      </c>
      <c r="D260" t="s">
        <v>17</v>
      </c>
      <c r="E260" t="s">
        <v>107</v>
      </c>
      <c r="F260" t="s">
        <v>19</v>
      </c>
      <c r="G260" t="s">
        <v>26</v>
      </c>
      <c r="H260" t="s">
        <v>21</v>
      </c>
      <c r="I260" t="s">
        <v>64</v>
      </c>
      <c r="J260" t="s">
        <v>23</v>
      </c>
      <c r="K260">
        <v>362</v>
      </c>
      <c r="L260" s="4">
        <v>4.5297970000000003</v>
      </c>
      <c r="M260" s="4">
        <v>62.262500244230537</v>
      </c>
      <c r="N260" s="4">
        <v>-24.564044523671043</v>
      </c>
      <c r="O260" s="1" t="str">
        <f>HYPERLINK(".\sm_car_250407_2318\sm_car_250407_2318_259_Ca203TrN_MaTUR_ode23t_1.png","figure")</f>
        <v>figure</v>
      </c>
      <c r="P260" t="s">
        <v>15</v>
      </c>
      <c r="T260">
        <f>K260-'2022a_250206_1736'!K254</f>
        <v>17</v>
      </c>
      <c r="U260" s="5">
        <f>T260/'2022a_250206_1736'!K254</f>
        <v>4.9275362318840582E-2</v>
      </c>
      <c r="V260" s="4">
        <f>L260-'2022a_250206_1736'!L254</f>
        <v>1.3331400000000215E-2</v>
      </c>
      <c r="W260" s="5">
        <f>V260/'2022a_250206_1736'!L254</f>
        <v>2.9517328771418551E-3</v>
      </c>
    </row>
    <row r="261" spans="1:23" x14ac:dyDescent="0.25">
      <c r="A261">
        <v>260</v>
      </c>
      <c r="B261">
        <v>185</v>
      </c>
      <c r="C261" t="s">
        <v>45</v>
      </c>
      <c r="D261" t="s">
        <v>17</v>
      </c>
      <c r="E261" t="s">
        <v>18</v>
      </c>
      <c r="F261" t="s">
        <v>19</v>
      </c>
      <c r="G261" t="s">
        <v>26</v>
      </c>
      <c r="H261" t="s">
        <v>21</v>
      </c>
      <c r="I261" t="s">
        <v>64</v>
      </c>
      <c r="J261" t="s">
        <v>23</v>
      </c>
      <c r="K261">
        <v>516</v>
      </c>
      <c r="L261" s="4">
        <v>20.412921300000001</v>
      </c>
      <c r="M261" s="4">
        <v>112.70032347106626</v>
      </c>
      <c r="N261" s="4">
        <v>-79.260578552895041</v>
      </c>
      <c r="O261" s="1" t="str">
        <f>HYPERLINK(".\sm_car_250407_2318\sm_car_250407_2318_260_Ca185TrN_MaTUR_ode23t_1.png","figure")</f>
        <v>figure</v>
      </c>
      <c r="P261" t="s">
        <v>15</v>
      </c>
      <c r="T261">
        <f>K261-'2022a_250206_1736'!K255</f>
        <v>11</v>
      </c>
      <c r="U261" s="5">
        <f>T261/'2022a_250206_1736'!K255</f>
        <v>2.1782178217821781E-2</v>
      </c>
      <c r="V261" s="4">
        <f>L261-'2022a_250206_1736'!L255</f>
        <v>1.1680314000000003</v>
      </c>
      <c r="W261" s="5">
        <f>V261/'2022a_250206_1736'!L255</f>
        <v>6.0693067410066102E-2</v>
      </c>
    </row>
    <row r="262" spans="1:23" x14ac:dyDescent="0.25">
      <c r="A262">
        <v>261</v>
      </c>
      <c r="B262">
        <v>188</v>
      </c>
      <c r="C262" t="s">
        <v>45</v>
      </c>
      <c r="D262" t="s">
        <v>113</v>
      </c>
      <c r="E262" t="s">
        <v>49</v>
      </c>
      <c r="F262" t="s">
        <v>19</v>
      </c>
      <c r="G262" t="s">
        <v>26</v>
      </c>
      <c r="H262" t="s">
        <v>21</v>
      </c>
      <c r="I262" t="s">
        <v>64</v>
      </c>
      <c r="J262" t="s">
        <v>23</v>
      </c>
      <c r="K262">
        <v>558</v>
      </c>
      <c r="L262" s="4">
        <v>7.5363008999999996</v>
      </c>
      <c r="M262" s="4">
        <v>140.65232852867624</v>
      </c>
      <c r="N262" s="4">
        <v>-71.76902592185742</v>
      </c>
      <c r="O262" s="1" t="str">
        <f>HYPERLINK(".\sm_car_250407_2318\sm_car_250407_2318_261_Ca188TrN_MaTUR_ode23t_1.png","figure")</f>
        <v>figure</v>
      </c>
      <c r="P262" t="s">
        <v>15</v>
      </c>
      <c r="T262">
        <f>K262-'2022a_250206_1736'!K256</f>
        <v>18</v>
      </c>
      <c r="U262" s="5">
        <f>T262/'2022a_250206_1736'!K256</f>
        <v>3.3333333333333333E-2</v>
      </c>
      <c r="V262" s="4">
        <f>L262-'2022a_250206_1736'!L256</f>
        <v>0.51210699999999942</v>
      </c>
      <c r="W262" s="5">
        <f>V262/'2022a_250206_1736'!L256</f>
        <v>7.2906159381505603E-2</v>
      </c>
    </row>
    <row r="263" spans="1:23" x14ac:dyDescent="0.25">
      <c r="A263">
        <v>262</v>
      </c>
      <c r="B263" t="s">
        <v>94</v>
      </c>
      <c r="C263" t="s">
        <v>95</v>
      </c>
      <c r="D263" t="s">
        <v>35</v>
      </c>
      <c r="E263" t="s">
        <v>18</v>
      </c>
      <c r="F263" t="s">
        <v>19</v>
      </c>
      <c r="G263" t="s">
        <v>96</v>
      </c>
      <c r="H263" t="s">
        <v>21</v>
      </c>
      <c r="I263" t="s">
        <v>22</v>
      </c>
      <c r="J263" t="s">
        <v>23</v>
      </c>
      <c r="K263">
        <v>450</v>
      </c>
      <c r="L263" s="4">
        <v>13.414246199999999</v>
      </c>
      <c r="M263" s="4">
        <v>79.191473099722828</v>
      </c>
      <c r="N263" s="4">
        <v>-0.33363508893979904</v>
      </c>
      <c r="O263" s="1" t="str">
        <f>HYPERLINK(".\sm_car_250407_2318\sm_car_Axle3_250407_2318_262_CaAxle3_000TrN_MaWOT_ode23t_1.png","figure")</f>
        <v>figure</v>
      </c>
      <c r="P263" t="s">
        <v>15</v>
      </c>
      <c r="T263">
        <f>K263-'2022a_250206_1736'!K257</f>
        <v>0</v>
      </c>
      <c r="U263" s="5">
        <f>T263/'2022a_250206_1736'!K257</f>
        <v>0</v>
      </c>
      <c r="V263" s="4">
        <f>L263-'2022a_250206_1736'!L257</f>
        <v>0.16216749999999891</v>
      </c>
      <c r="W263" s="5">
        <f>V263/'2022a_250206_1736'!L257</f>
        <v>1.2237136804809264E-2</v>
      </c>
    </row>
    <row r="264" spans="1:23" x14ac:dyDescent="0.25">
      <c r="A264">
        <v>263</v>
      </c>
      <c r="B264" t="s">
        <v>99</v>
      </c>
      <c r="C264" t="s">
        <v>100</v>
      </c>
      <c r="D264" t="s">
        <v>35</v>
      </c>
      <c r="E264" t="s">
        <v>18</v>
      </c>
      <c r="F264" t="s">
        <v>19</v>
      </c>
      <c r="G264" t="s">
        <v>96</v>
      </c>
      <c r="H264" t="s">
        <v>21</v>
      </c>
      <c r="I264" t="s">
        <v>22</v>
      </c>
      <c r="J264" t="s">
        <v>23</v>
      </c>
      <c r="K264">
        <v>479</v>
      </c>
      <c r="L264" s="4">
        <v>12.0510793</v>
      </c>
      <c r="M264" s="4">
        <v>69.133267510463625</v>
      </c>
      <c r="N264" s="4">
        <v>8.3860487409241985E-2</v>
      </c>
      <c r="O264" s="1" t="str">
        <f>HYPERLINK(".\sm_car_250407_2318\sm_car_Axle3_250407_2318_263_CaAxle3_008TrN_MaWOT_ode23t_1.png","figure")</f>
        <v>figure</v>
      </c>
      <c r="P264" t="s">
        <v>15</v>
      </c>
      <c r="T264">
        <f>K264-'2022a_250206_1736'!K258</f>
        <v>0</v>
      </c>
      <c r="U264" s="5">
        <f>T264/'2022a_250206_1736'!K258</f>
        <v>0</v>
      </c>
      <c r="V264" s="4">
        <f>L264-'2022a_250206_1736'!L258</f>
        <v>-1.3963011000000005</v>
      </c>
      <c r="W264" s="5">
        <f>V264/'2022a_250206_1736'!L258</f>
        <v>-0.10383443157449465</v>
      </c>
    </row>
    <row r="265" spans="1:23" x14ac:dyDescent="0.25">
      <c r="A265">
        <v>264</v>
      </c>
      <c r="B265" t="s">
        <v>97</v>
      </c>
      <c r="C265" t="s">
        <v>95</v>
      </c>
      <c r="D265" t="s">
        <v>35</v>
      </c>
      <c r="E265" t="s">
        <v>49</v>
      </c>
      <c r="F265" t="s">
        <v>19</v>
      </c>
      <c r="G265" t="s">
        <v>98</v>
      </c>
      <c r="H265" t="s">
        <v>21</v>
      </c>
      <c r="I265" t="s">
        <v>22</v>
      </c>
      <c r="J265" t="s">
        <v>23</v>
      </c>
      <c r="K265">
        <v>426</v>
      </c>
      <c r="L265" s="4">
        <v>12.8421337</v>
      </c>
      <c r="M265" s="4">
        <v>79.26753082601013</v>
      </c>
      <c r="N265" s="4">
        <v>-0.31346583892466412</v>
      </c>
      <c r="O265" s="1" t="str">
        <f>HYPERLINK(".\sm_car_250407_2318\sm_car_Axle3_250407_2318_264_CaAxle3_003TrN_MaWOT_ode23t_1.png","figure")</f>
        <v>figure</v>
      </c>
      <c r="P265" t="s">
        <v>15</v>
      </c>
      <c r="T265">
        <f>K265-'2022a_250206_1736'!K259</f>
        <v>0</v>
      </c>
      <c r="U265" s="5">
        <f>T265/'2022a_250206_1736'!K259</f>
        <v>0</v>
      </c>
      <c r="V265" s="4">
        <f>L265-'2022a_250206_1736'!L259</f>
        <v>0.4083319999999997</v>
      </c>
      <c r="W265" s="5">
        <f>V265/'2022a_250206_1736'!L259</f>
        <v>3.2840478708937401E-2</v>
      </c>
    </row>
    <row r="266" spans="1:23" x14ac:dyDescent="0.25">
      <c r="A266">
        <v>265</v>
      </c>
      <c r="B266" t="s">
        <v>114</v>
      </c>
      <c r="C266" t="s">
        <v>95</v>
      </c>
      <c r="D266" t="s">
        <v>35</v>
      </c>
      <c r="E266" t="s">
        <v>107</v>
      </c>
      <c r="F266" t="s">
        <v>19</v>
      </c>
      <c r="G266" t="s">
        <v>98</v>
      </c>
      <c r="H266" t="s">
        <v>21</v>
      </c>
      <c r="I266" t="s">
        <v>22</v>
      </c>
      <c r="J266" t="s">
        <v>23</v>
      </c>
      <c r="K266">
        <v>438</v>
      </c>
      <c r="L266" s="4">
        <v>1.9993577</v>
      </c>
      <c r="M266" s="4">
        <v>80.149536181477046</v>
      </c>
      <c r="N266" s="4">
        <v>-0.31965340500242301</v>
      </c>
      <c r="O266" s="1" t="str">
        <f>HYPERLINK(".\sm_car_250407_2318\sm_car_Axle3_250407_2318_265_CaAxle3_017TrN_MaWOT_ode23t_1.png","figure")</f>
        <v>figure</v>
      </c>
      <c r="P266" t="s">
        <v>15</v>
      </c>
      <c r="T266">
        <f>K266-'2022a_250206_1736'!K260</f>
        <v>0</v>
      </c>
      <c r="U266" s="5">
        <f>T266/'2022a_250206_1736'!K260</f>
        <v>0</v>
      </c>
      <c r="V266" s="4">
        <f>L266-'2022a_250206_1736'!L260</f>
        <v>-8.262539999999996E-2</v>
      </c>
      <c r="W266" s="5">
        <f>V266/'2022a_250206_1736'!L260</f>
        <v>-3.9685912916392049E-2</v>
      </c>
    </row>
    <row r="267" spans="1:23" x14ac:dyDescent="0.25">
      <c r="A267">
        <v>266</v>
      </c>
      <c r="B267" t="s">
        <v>101</v>
      </c>
      <c r="C267" t="s">
        <v>100</v>
      </c>
      <c r="D267" t="s">
        <v>35</v>
      </c>
      <c r="E267" t="s">
        <v>49</v>
      </c>
      <c r="F267" t="s">
        <v>19</v>
      </c>
      <c r="G267" t="s">
        <v>96</v>
      </c>
      <c r="H267" t="s">
        <v>102</v>
      </c>
      <c r="I267" t="s">
        <v>22</v>
      </c>
      <c r="J267" t="s">
        <v>23</v>
      </c>
      <c r="K267">
        <v>379</v>
      </c>
      <c r="L267" s="4">
        <v>32.017112099999999</v>
      </c>
      <c r="M267" s="4">
        <v>23.327283758737099</v>
      </c>
      <c r="N267" s="4">
        <v>2.4827836515485882E-3</v>
      </c>
      <c r="O267" s="1" t="str">
        <f>HYPERLINK(".\sm_car_250407_2318\sm_car_Axle3_250407_2318_266_CaAxle3_010TrK_MaWOT_ode23t_1.png","figure")</f>
        <v>figure</v>
      </c>
      <c r="P267" t="s">
        <v>15</v>
      </c>
      <c r="T267">
        <f>K267-'2022a_250206_1736'!K261</f>
        <v>0</v>
      </c>
      <c r="U267" s="5">
        <f>T267/'2022a_250206_1736'!K261</f>
        <v>0</v>
      </c>
      <c r="V267" s="4">
        <f>L267-'2022a_250206_1736'!L261</f>
        <v>1.7103757000000002</v>
      </c>
      <c r="W267" s="5">
        <f>V267/'2022a_250206_1736'!L261</f>
        <v>5.6435495971120145E-2</v>
      </c>
    </row>
    <row r="268" spans="1:23" x14ac:dyDescent="0.25">
      <c r="A268">
        <v>267</v>
      </c>
      <c r="B268" t="s">
        <v>101</v>
      </c>
      <c r="C268" t="s">
        <v>100</v>
      </c>
      <c r="D268" t="s">
        <v>35</v>
      </c>
      <c r="E268" t="s">
        <v>49</v>
      </c>
      <c r="F268" t="s">
        <v>19</v>
      </c>
      <c r="G268" t="s">
        <v>96</v>
      </c>
      <c r="H268" t="s">
        <v>102</v>
      </c>
      <c r="I268" t="s">
        <v>22</v>
      </c>
      <c r="J268" t="s">
        <v>23</v>
      </c>
      <c r="K268">
        <v>403</v>
      </c>
      <c r="L268" s="4">
        <v>32.436144499999997</v>
      </c>
      <c r="M268" s="4">
        <v>23.441150842551341</v>
      </c>
      <c r="N268" s="4">
        <v>2.5318348543722571E-3</v>
      </c>
      <c r="O268" s="1" t="str">
        <f>HYPERLINK(".\sm_car_250407_2318\sm_car_Axle3_250407_2318_267_CaAxle3_010TrK_MaWOT_ode23t_1.png","figure")</f>
        <v>figure</v>
      </c>
      <c r="P268" t="s">
        <v>15</v>
      </c>
      <c r="T268">
        <f>K268-'2022a_250206_1736'!K262</f>
        <v>1</v>
      </c>
      <c r="U268" s="5">
        <f>T268/'2022a_250206_1736'!K262</f>
        <v>2.4875621890547263E-3</v>
      </c>
      <c r="V268" s="4">
        <f>L268-'2022a_250206_1736'!L262</f>
        <v>1.3525793999999962</v>
      </c>
      <c r="W268" s="5">
        <f>V268/'2022a_250206_1736'!L262</f>
        <v>4.3514294311111569E-2</v>
      </c>
    </row>
    <row r="269" spans="1:23" x14ac:dyDescent="0.25">
      <c r="A269">
        <v>268</v>
      </c>
      <c r="B269" t="s">
        <v>115</v>
      </c>
      <c r="C269" t="s">
        <v>100</v>
      </c>
      <c r="D269" t="s">
        <v>35</v>
      </c>
      <c r="E269" t="s">
        <v>107</v>
      </c>
      <c r="F269" t="s">
        <v>19</v>
      </c>
      <c r="G269" t="s">
        <v>96</v>
      </c>
      <c r="H269" t="s">
        <v>102</v>
      </c>
      <c r="I269" t="s">
        <v>22</v>
      </c>
      <c r="J269" t="s">
        <v>23</v>
      </c>
      <c r="K269">
        <v>396</v>
      </c>
      <c r="L269" s="4">
        <v>2.6151905000000002</v>
      </c>
      <c r="M269" s="4">
        <v>26.913954103016266</v>
      </c>
      <c r="N269" s="4">
        <v>3.6183847063573776E-3</v>
      </c>
      <c r="O269" s="1" t="str">
        <f>HYPERLINK(".\sm_car_250407_2318\sm_car_Axle3_250407_2318_268_CaAxle3_019TrK_MaWOT_ode23t_1.png","figure")</f>
        <v>figure</v>
      </c>
      <c r="P269" t="s">
        <v>15</v>
      </c>
      <c r="T269">
        <f>K269-'2022a_250206_1736'!K263</f>
        <v>1</v>
      </c>
      <c r="U269" s="5">
        <f>T269/'2022a_250206_1736'!K263</f>
        <v>2.5316455696202532E-3</v>
      </c>
      <c r="V269" s="4">
        <f>L269-'2022a_250206_1736'!L263</f>
        <v>0.23675140000000017</v>
      </c>
      <c r="W269" s="5">
        <f>V269/'2022a_250206_1736'!L263</f>
        <v>9.9540660931785124E-2</v>
      </c>
    </row>
    <row r="270" spans="1:23" x14ac:dyDescent="0.25">
      <c r="A270">
        <v>269</v>
      </c>
      <c r="B270" t="s">
        <v>115</v>
      </c>
      <c r="C270" t="s">
        <v>100</v>
      </c>
      <c r="D270" t="s">
        <v>35</v>
      </c>
      <c r="E270" t="s">
        <v>107</v>
      </c>
      <c r="F270" t="s">
        <v>19</v>
      </c>
      <c r="G270" t="s">
        <v>96</v>
      </c>
      <c r="H270" t="s">
        <v>102</v>
      </c>
      <c r="I270" t="s">
        <v>22</v>
      </c>
      <c r="J270" t="s">
        <v>23</v>
      </c>
      <c r="K270">
        <v>396</v>
      </c>
      <c r="L270" s="4">
        <v>2.6351247</v>
      </c>
      <c r="M270" s="4">
        <v>26.904156801506645</v>
      </c>
      <c r="N270" s="4">
        <v>3.6114680369608437E-3</v>
      </c>
      <c r="O270" s="1" t="str">
        <f>HYPERLINK(".\sm_car_250407_2318\sm_car_Axle3_250407_2318_269_CaAxle3_019TrK_MaWOT_ode23t_1.png","figure")</f>
        <v>figure</v>
      </c>
      <c r="P270" t="s">
        <v>15</v>
      </c>
      <c r="T270">
        <f>K270-'2022a_250206_1736'!K264</f>
        <v>0</v>
      </c>
      <c r="U270" s="5">
        <f>T270/'2022a_250206_1736'!K264</f>
        <v>0</v>
      </c>
      <c r="V270" s="4">
        <f>L270-'2022a_250206_1736'!L264</f>
        <v>0.13711539999999989</v>
      </c>
      <c r="W270" s="5">
        <f>V270/'2022a_250206_1736'!L264</f>
        <v>5.4889867703855177E-2</v>
      </c>
    </row>
    <row r="271" spans="1:23" x14ac:dyDescent="0.25">
      <c r="A271">
        <v>270</v>
      </c>
      <c r="B271" t="s">
        <v>103</v>
      </c>
      <c r="C271" t="s">
        <v>100</v>
      </c>
      <c r="D271" t="s">
        <v>35</v>
      </c>
      <c r="E271" t="s">
        <v>18</v>
      </c>
      <c r="F271" t="s">
        <v>19</v>
      </c>
      <c r="G271" t="s">
        <v>104</v>
      </c>
      <c r="H271" t="s">
        <v>102</v>
      </c>
      <c r="I271" t="s">
        <v>53</v>
      </c>
      <c r="J271" t="s">
        <v>23</v>
      </c>
      <c r="K271">
        <v>669</v>
      </c>
      <c r="L271" s="4">
        <v>20.019962799999998</v>
      </c>
      <c r="M271" s="4">
        <v>254.34173477981943</v>
      </c>
      <c r="N271" s="4">
        <v>-0.10103765363084394</v>
      </c>
      <c r="O271" s="1" t="str">
        <f>HYPERLINK(".\sm_car_250407_2318\sm_car_Axle3_250407_2318_270_CaAxle3_012TrK_MaDLC_ode23t_1.png","figure")</f>
        <v>figure</v>
      </c>
      <c r="P271" t="s">
        <v>15</v>
      </c>
      <c r="T271">
        <f>K271-'2022a_250206_1736'!K265</f>
        <v>-2</v>
      </c>
      <c r="U271" s="5">
        <f>T271/'2022a_250206_1736'!K265</f>
        <v>-2.9806259314456036E-3</v>
      </c>
      <c r="V271" s="4">
        <f>L271-'2022a_250206_1736'!L265</f>
        <v>-1.1821168000000029</v>
      </c>
      <c r="W271" s="5">
        <f>V271/'2022a_250206_1736'!L265</f>
        <v>-5.5754757189007194E-2</v>
      </c>
    </row>
    <row r="272" spans="1:23" x14ac:dyDescent="0.25">
      <c r="A272">
        <v>271</v>
      </c>
      <c r="B272" t="s">
        <v>103</v>
      </c>
      <c r="C272" t="s">
        <v>100</v>
      </c>
      <c r="D272" t="s">
        <v>35</v>
      </c>
      <c r="E272" t="s">
        <v>18</v>
      </c>
      <c r="F272" t="s">
        <v>19</v>
      </c>
      <c r="G272" t="s">
        <v>104</v>
      </c>
      <c r="H272" t="s">
        <v>102</v>
      </c>
      <c r="I272" t="s">
        <v>53</v>
      </c>
      <c r="J272" t="s">
        <v>23</v>
      </c>
      <c r="K272">
        <v>775</v>
      </c>
      <c r="L272" s="4">
        <v>18.490479799999999</v>
      </c>
      <c r="M272" s="4">
        <v>254.5182386046726</v>
      </c>
      <c r="N272" s="4">
        <v>-9.9171173492201614E-2</v>
      </c>
      <c r="O272" s="1" t="str">
        <f>HYPERLINK(".\sm_car_250407_2318\sm_car_Axle3_250407_2318_271_CaAxle3_012TrK_MaDLC_ode23t_1.png","figure")</f>
        <v>figure</v>
      </c>
      <c r="P272" t="s">
        <v>15</v>
      </c>
      <c r="T272">
        <f>K272-'2022a_250206_1736'!K266</f>
        <v>7</v>
      </c>
      <c r="U272" s="5">
        <f>T272/'2022a_250206_1736'!K266</f>
        <v>9.1145833333333339E-3</v>
      </c>
      <c r="V272" s="4">
        <f>L272-'2022a_250206_1736'!L266</f>
        <v>5.6696899999998607E-2</v>
      </c>
      <c r="W272" s="5">
        <f>V272/'2022a_250206_1736'!L266</f>
        <v>3.0757061807426735E-3</v>
      </c>
    </row>
    <row r="273" spans="1:23" x14ac:dyDescent="0.25">
      <c r="A273">
        <v>272</v>
      </c>
      <c r="B273" t="s">
        <v>103</v>
      </c>
      <c r="C273" t="s">
        <v>100</v>
      </c>
      <c r="D273" t="s">
        <v>35</v>
      </c>
      <c r="E273" t="s">
        <v>18</v>
      </c>
      <c r="F273" t="s">
        <v>19</v>
      </c>
      <c r="G273" t="s">
        <v>104</v>
      </c>
      <c r="H273" t="s">
        <v>102</v>
      </c>
      <c r="I273" t="s">
        <v>53</v>
      </c>
      <c r="J273" t="s">
        <v>23</v>
      </c>
      <c r="K273">
        <v>658</v>
      </c>
      <c r="L273" s="4">
        <v>15.620302199999999</v>
      </c>
      <c r="M273" s="4">
        <v>255.2898241031499</v>
      </c>
      <c r="N273" s="4">
        <v>-0.10340444682868766</v>
      </c>
      <c r="O273" s="1" t="str">
        <f>HYPERLINK(".\sm_car_250407_2318\sm_car_Axle3_250407_2318_272_CaAxle3_012TrK_MaDLC_ode23t_1.png","figure")</f>
        <v>figure</v>
      </c>
      <c r="P273" t="s">
        <v>15</v>
      </c>
      <c r="T273">
        <f>K273-'2022a_250206_1736'!K267</f>
        <v>-11</v>
      </c>
      <c r="U273" s="5">
        <f>T273/'2022a_250206_1736'!K267</f>
        <v>-1.6442451420029897E-2</v>
      </c>
      <c r="V273" s="4">
        <f>L273-'2022a_250206_1736'!L267</f>
        <v>-0.79150550000000131</v>
      </c>
      <c r="W273" s="5">
        <f>V273/'2022a_250206_1736'!L267</f>
        <v>-4.8227807348729855E-2</v>
      </c>
    </row>
    <row r="274" spans="1:23" x14ac:dyDescent="0.25">
      <c r="A274">
        <v>273</v>
      </c>
      <c r="B274" t="s">
        <v>103</v>
      </c>
      <c r="C274" t="s">
        <v>100</v>
      </c>
      <c r="D274" t="s">
        <v>35</v>
      </c>
      <c r="E274" t="s">
        <v>18</v>
      </c>
      <c r="F274" t="s">
        <v>19</v>
      </c>
      <c r="G274" t="s">
        <v>104</v>
      </c>
      <c r="H274" t="s">
        <v>102</v>
      </c>
      <c r="I274" t="s">
        <v>53</v>
      </c>
      <c r="J274" t="s">
        <v>23</v>
      </c>
      <c r="K274">
        <v>943</v>
      </c>
      <c r="L274" s="4">
        <v>19.538300599999999</v>
      </c>
      <c r="M274" s="4">
        <v>253.31634442527979</v>
      </c>
      <c r="N274" s="4">
        <v>-8.9245281859914094E-2</v>
      </c>
      <c r="O274" s="1" t="str">
        <f>HYPERLINK(".\sm_car_250407_2318\sm_car_Axle3_250407_2318_273_CaAxle3_012TrK_MaDLC_ode23t_1.png","figure")</f>
        <v>figure</v>
      </c>
      <c r="P274" t="s">
        <v>15</v>
      </c>
      <c r="T274">
        <f>K274-'2022a_250206_1736'!K268</f>
        <v>1</v>
      </c>
      <c r="U274" s="5">
        <f>T274/'2022a_250206_1736'!K268</f>
        <v>1.0615711252653928E-3</v>
      </c>
      <c r="V274" s="4">
        <f>L274-'2022a_250206_1736'!L268</f>
        <v>-1.1311193000000017</v>
      </c>
      <c r="W274" s="5">
        <f>V274/'2022a_250206_1736'!L268</f>
        <v>-5.4724288609570591E-2</v>
      </c>
    </row>
  </sheetData>
  <autoFilter ref="A1:P274" xr:uid="{9D769A1C-2A26-4320-9880-8442C220AD65}"/>
  <conditionalFormatting sqref="U2:U27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{D2F40022-B9FE-4357-924A-19AF333F3358}</x14:id>
        </ext>
      </extLst>
    </cfRule>
  </conditionalFormatting>
  <conditionalFormatting sqref="W2:W27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{1FD1FABE-5F61-4F48-A828-2E85E3738974}</x14:id>
        </ext>
      </extLst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F40022-B9FE-4357-924A-19AF333F33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U2:U274</xm:sqref>
        </x14:conditionalFormatting>
        <x14:conditionalFormatting xmlns:xm="http://schemas.microsoft.com/office/excel/2006/main">
          <x14:cfRule type="dataBar" id="{1FD1FABE-5F61-4F48-A828-2E85E37389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W2:W274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60B8F-82A6-46CF-9D45-5A1C9EEDDE04}">
  <dimension ref="A1:R278"/>
  <sheetViews>
    <sheetView workbookViewId="0">
      <selection activeCell="R5" sqref="R5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s="2" t="s">
        <v>130</v>
      </c>
    </row>
    <row r="2" spans="1:18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419</v>
      </c>
      <c r="L2">
        <v>7.7041646999999998</v>
      </c>
      <c r="M2">
        <v>231.16977804581785</v>
      </c>
      <c r="N2">
        <v>-4.2167209273321557E-3</v>
      </c>
      <c r="O2" s="1" t="str">
        <f>HYPERLINK(".\sm_car_250414_0011\sm_car_250414_0011_001_Ca000TrN_MaWOT_ode23t.png","figure")</f>
        <v>figure</v>
      </c>
      <c r="P2" t="s">
        <v>15</v>
      </c>
      <c r="R2" s="2" t="s">
        <v>116</v>
      </c>
    </row>
    <row r="3" spans="1:18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24</v>
      </c>
      <c r="J3" t="s">
        <v>23</v>
      </c>
      <c r="K3">
        <v>535</v>
      </c>
      <c r="L3">
        <v>8.3454213999999993</v>
      </c>
      <c r="M3">
        <v>71.237682164595498</v>
      </c>
      <c r="N3">
        <v>-0.53746460590208933</v>
      </c>
      <c r="O3" s="1" t="str">
        <f>HYPERLINK(".\sm_car_250414_0011\sm_car_250414_0011_002_Ca000TrN_MaLSS_ode23t.png","figure")</f>
        <v>figure</v>
      </c>
      <c r="P3" t="s">
        <v>15</v>
      </c>
      <c r="R3" s="2" t="s">
        <v>117</v>
      </c>
    </row>
    <row r="4" spans="1:18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21</v>
      </c>
      <c r="I4" t="s">
        <v>22</v>
      </c>
      <c r="J4" t="s">
        <v>23</v>
      </c>
      <c r="K4">
        <v>422</v>
      </c>
      <c r="L4">
        <v>7.7448055</v>
      </c>
      <c r="M4">
        <v>230.37134808726253</v>
      </c>
      <c r="N4">
        <v>-1.0327302080290783E-2</v>
      </c>
      <c r="O4" s="1" t="str">
        <f>HYPERLINK(".\sm_car_250414_0011\sm_car_250414_0011_003_Ca001TrN_MaWOT_ode23t.png","figure")</f>
        <v>figure</v>
      </c>
      <c r="P4" t="s">
        <v>15</v>
      </c>
      <c r="R4" s="2" t="s">
        <v>118</v>
      </c>
    </row>
    <row r="5" spans="1:18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25</v>
      </c>
      <c r="H5" t="s">
        <v>21</v>
      </c>
      <c r="I5" t="s">
        <v>24</v>
      </c>
      <c r="J5" t="s">
        <v>23</v>
      </c>
      <c r="K5">
        <v>519</v>
      </c>
      <c r="L5">
        <v>8.6097982999999996</v>
      </c>
      <c r="M5">
        <v>70.957358714234289</v>
      </c>
      <c r="N5">
        <v>-0.53535025122635005</v>
      </c>
      <c r="O5" s="1" t="str">
        <f>HYPERLINK(".\sm_car_250414_0011\sm_car_250414_0011_004_Ca001TrN_MaLSS_ode23t.png","figure")</f>
        <v>figure</v>
      </c>
      <c r="P5" t="s">
        <v>15</v>
      </c>
      <c r="R5" t="s">
        <v>131</v>
      </c>
    </row>
    <row r="6" spans="1:18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26</v>
      </c>
      <c r="H6" t="s">
        <v>21</v>
      </c>
      <c r="I6" t="s">
        <v>22</v>
      </c>
      <c r="J6" t="s">
        <v>23</v>
      </c>
      <c r="K6">
        <v>450</v>
      </c>
      <c r="L6">
        <v>12.274566</v>
      </c>
      <c r="M6">
        <v>230.41169923908851</v>
      </c>
      <c r="N6">
        <v>4.5171534930649737E-2</v>
      </c>
      <c r="O6" s="1" t="str">
        <f>HYPERLINK(".\sm_car_250414_0011\sm_car_250414_0011_005_Ca002TrN_MaWOT_ode23t.png","figure")</f>
        <v>figure</v>
      </c>
      <c r="P6" t="s">
        <v>15</v>
      </c>
    </row>
    <row r="7" spans="1:18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26</v>
      </c>
      <c r="H7" t="s">
        <v>21</v>
      </c>
      <c r="I7" t="s">
        <v>24</v>
      </c>
      <c r="J7" t="s">
        <v>23</v>
      </c>
      <c r="K7">
        <v>539</v>
      </c>
      <c r="L7">
        <v>11.690373900000001</v>
      </c>
      <c r="M7">
        <v>70.95575043741772</v>
      </c>
      <c r="N7">
        <v>-0.52983923792597942</v>
      </c>
      <c r="O7" s="1" t="str">
        <f>HYPERLINK(".\sm_car_250414_0011\sm_car_250414_0011_006_Ca002TrN_MaLSS_ode23t.png","figure")</f>
        <v>figure</v>
      </c>
      <c r="P7" t="s">
        <v>15</v>
      </c>
    </row>
    <row r="8" spans="1:18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27</v>
      </c>
      <c r="H8" t="s">
        <v>21</v>
      </c>
      <c r="I8" t="s">
        <v>22</v>
      </c>
      <c r="J8" t="s">
        <v>23</v>
      </c>
      <c r="K8">
        <v>492</v>
      </c>
      <c r="L8">
        <v>14.284985000000001</v>
      </c>
      <c r="M8">
        <v>229.9298334848215</v>
      </c>
      <c r="N8">
        <v>5.1963577674912817E-2</v>
      </c>
      <c r="O8" s="1" t="str">
        <f>HYPERLINK(".\sm_car_250414_0011\sm_car_250414_0011_007_Ca003TrN_MaWOT_ode23t.png","figure")</f>
        <v>figure</v>
      </c>
      <c r="P8" t="s">
        <v>15</v>
      </c>
    </row>
    <row r="9" spans="1:18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27</v>
      </c>
      <c r="H9" t="s">
        <v>21</v>
      </c>
      <c r="I9" t="s">
        <v>24</v>
      </c>
      <c r="J9" t="s">
        <v>23</v>
      </c>
      <c r="K9">
        <v>563</v>
      </c>
      <c r="L9">
        <v>12.3076393</v>
      </c>
      <c r="M9">
        <v>70.832836748634151</v>
      </c>
      <c r="N9">
        <v>-0.52854357802987728</v>
      </c>
      <c r="O9" s="1" t="str">
        <f>HYPERLINK(".\sm_car_250414_0011\sm_car_250414_0011_008_Ca003TrN_MaLSS_ode23t.png","figure")</f>
        <v>figure</v>
      </c>
      <c r="P9" t="s">
        <v>15</v>
      </c>
    </row>
    <row r="10" spans="1:18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20</v>
      </c>
      <c r="H10" t="s">
        <v>21</v>
      </c>
      <c r="I10" t="s">
        <v>22</v>
      </c>
      <c r="J10" t="s">
        <v>23</v>
      </c>
      <c r="K10">
        <v>1083</v>
      </c>
      <c r="L10">
        <v>11.472075999999999</v>
      </c>
      <c r="M10">
        <v>231.36499344638909</v>
      </c>
      <c r="N10">
        <v>-5.678703146996626E-3</v>
      </c>
      <c r="O10" s="1" t="str">
        <f>HYPERLINK(".\sm_car_250414_0011\sm_car_250414_0011_009_Ca004TrN_MaWOT_ode23t.png","figure")</f>
        <v>figure</v>
      </c>
      <c r="P10" t="s">
        <v>15</v>
      </c>
    </row>
    <row r="11" spans="1:18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20</v>
      </c>
      <c r="H11" t="s">
        <v>21</v>
      </c>
      <c r="I11" t="s">
        <v>24</v>
      </c>
      <c r="J11" t="s">
        <v>23</v>
      </c>
      <c r="K11">
        <v>1204</v>
      </c>
      <c r="L11">
        <v>13.481597300000001</v>
      </c>
      <c r="M11">
        <v>71.251039877141437</v>
      </c>
      <c r="N11">
        <v>-0.54015569646764505</v>
      </c>
      <c r="O11" s="1" t="str">
        <f>HYPERLINK(".\sm_car_250414_0011\sm_car_250414_0011_010_Ca004TrN_MaLSS_ode23t.png","figure")</f>
        <v>figure</v>
      </c>
      <c r="P11" t="s">
        <v>15</v>
      </c>
    </row>
    <row r="12" spans="1:18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25</v>
      </c>
      <c r="H12" t="s">
        <v>21</v>
      </c>
      <c r="I12" t="s">
        <v>22</v>
      </c>
      <c r="J12" t="s">
        <v>23</v>
      </c>
      <c r="K12">
        <v>1114</v>
      </c>
      <c r="L12">
        <v>13.3341578</v>
      </c>
      <c r="M12">
        <v>230.37144959832878</v>
      </c>
      <c r="N12">
        <v>-1.174034007040572E-2</v>
      </c>
      <c r="O12" s="1" t="str">
        <f>HYPERLINK(".\sm_car_250414_0011\sm_car_250414_0011_011_Ca005TrN_MaWOT_ode23t.png","figure")</f>
        <v>figure</v>
      </c>
      <c r="P12" t="s">
        <v>15</v>
      </c>
    </row>
    <row r="13" spans="1:18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25</v>
      </c>
      <c r="H13" t="s">
        <v>21</v>
      </c>
      <c r="I13" t="s">
        <v>24</v>
      </c>
      <c r="J13" t="s">
        <v>23</v>
      </c>
      <c r="K13">
        <v>1231</v>
      </c>
      <c r="L13">
        <v>14.740698</v>
      </c>
      <c r="M13">
        <v>70.973896059017235</v>
      </c>
      <c r="N13">
        <v>-0.5388873500331921</v>
      </c>
      <c r="O13" s="1" t="str">
        <f>HYPERLINK(".\sm_car_250414_0011\sm_car_250414_0011_012_Ca005TrN_MaLSS_ode23t.png","figure")</f>
        <v>figure</v>
      </c>
      <c r="P13" t="s">
        <v>15</v>
      </c>
    </row>
    <row r="14" spans="1:18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26</v>
      </c>
      <c r="H14" t="s">
        <v>21</v>
      </c>
      <c r="I14" t="s">
        <v>22</v>
      </c>
      <c r="J14" t="s">
        <v>23</v>
      </c>
      <c r="K14">
        <v>1201</v>
      </c>
      <c r="L14">
        <v>16.677299399999999</v>
      </c>
      <c r="M14">
        <v>230.37184654435151</v>
      </c>
      <c r="N14">
        <v>4.8645332667967431E-2</v>
      </c>
      <c r="O14" s="1" t="str">
        <f>HYPERLINK(".\sm_car_250414_0011\sm_car_250414_0011_013_Ca006TrN_MaWOT_ode23t.png","figure")</f>
        <v>figure</v>
      </c>
      <c r="P14" t="s">
        <v>15</v>
      </c>
    </row>
    <row r="15" spans="1:18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26</v>
      </c>
      <c r="H15" t="s">
        <v>21</v>
      </c>
      <c r="I15" t="s">
        <v>24</v>
      </c>
      <c r="J15" t="s">
        <v>23</v>
      </c>
      <c r="K15">
        <v>1276</v>
      </c>
      <c r="L15">
        <v>16.049519199999999</v>
      </c>
      <c r="M15">
        <v>70.959920340180659</v>
      </c>
      <c r="N15">
        <v>-0.53298054183487509</v>
      </c>
      <c r="O15" s="1" t="str">
        <f>HYPERLINK(".\sm_car_250414_0011\sm_car_250414_0011_014_Ca006TrN_MaLSS_ode23t.png","figure")</f>
        <v>figure</v>
      </c>
      <c r="P15" t="s">
        <v>15</v>
      </c>
    </row>
    <row r="16" spans="1:18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27</v>
      </c>
      <c r="H16" t="s">
        <v>21</v>
      </c>
      <c r="I16" t="s">
        <v>22</v>
      </c>
      <c r="J16" t="s">
        <v>23</v>
      </c>
      <c r="K16">
        <v>1199</v>
      </c>
      <c r="L16">
        <v>21.2066163</v>
      </c>
      <c r="M16">
        <v>229.8693243341483</v>
      </c>
      <c r="N16">
        <v>5.4916400532601835E-2</v>
      </c>
      <c r="O16" s="1" t="str">
        <f>HYPERLINK(".\sm_car_250414_0011\sm_car_250414_0011_015_Ca007TrN_MaWOT_ode23t.png","figure")</f>
        <v>figure</v>
      </c>
      <c r="P16" t="s">
        <v>15</v>
      </c>
    </row>
    <row r="17" spans="1:16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27</v>
      </c>
      <c r="H17" t="s">
        <v>21</v>
      </c>
      <c r="I17" t="s">
        <v>24</v>
      </c>
      <c r="J17" t="s">
        <v>23</v>
      </c>
      <c r="K17">
        <v>1288</v>
      </c>
      <c r="L17">
        <v>19.1051942</v>
      </c>
      <c r="M17">
        <v>70.831317367573547</v>
      </c>
      <c r="N17">
        <v>-0.53028788235324487</v>
      </c>
      <c r="O17" s="1" t="str">
        <f>HYPERLINK(".\sm_car_250414_0011\sm_car_250414_0011_016_Ca007TrN_MaLSS_ode23t.png","figure")</f>
        <v>figure</v>
      </c>
      <c r="P17" t="s">
        <v>15</v>
      </c>
    </row>
    <row r="18" spans="1:16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>
        <v>410</v>
      </c>
      <c r="L18">
        <v>5.8149413000000001</v>
      </c>
      <c r="M18">
        <v>231.95469718550959</v>
      </c>
      <c r="N18">
        <v>-7.1805169816792955E-2</v>
      </c>
      <c r="O18" s="1" t="str">
        <f>HYPERLINK(".\sm_car_250414_0011\sm_car_250414_0011_017_Ca016TrN_MaWOT_ode23t.png","figure")</f>
        <v>figure</v>
      </c>
      <c r="P18" t="s">
        <v>15</v>
      </c>
    </row>
    <row r="19" spans="1:16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20</v>
      </c>
      <c r="H19" t="s">
        <v>21</v>
      </c>
      <c r="I19" t="s">
        <v>24</v>
      </c>
      <c r="J19" t="s">
        <v>23</v>
      </c>
      <c r="K19">
        <v>487</v>
      </c>
      <c r="L19">
        <v>6.3880235000000001</v>
      </c>
      <c r="M19">
        <v>71.519094904101436</v>
      </c>
      <c r="N19">
        <v>-2.156394133050862E-2</v>
      </c>
      <c r="O19" s="1" t="str">
        <f>HYPERLINK(".\sm_car_250414_0011\sm_car_250414_0011_018_Ca016TrN_MaLSS_ode23t.png","figure")</f>
        <v>figure</v>
      </c>
      <c r="P19" t="s">
        <v>15</v>
      </c>
    </row>
    <row r="20" spans="1:16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>
        <v>396</v>
      </c>
      <c r="L20">
        <v>7.2479873000000001</v>
      </c>
      <c r="M20">
        <v>231.36823643428059</v>
      </c>
      <c r="N20">
        <v>8.704881989051139E-3</v>
      </c>
      <c r="O20" s="1" t="str">
        <f>HYPERLINK(".\sm_car_250414_0011\sm_car_250414_0011_019_Ca032TrN_MaWOT_ode23t.png","figure")</f>
        <v>figure</v>
      </c>
      <c r="P20" t="s">
        <v>15</v>
      </c>
    </row>
    <row r="21" spans="1:16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20</v>
      </c>
      <c r="H21" t="s">
        <v>21</v>
      </c>
      <c r="I21" t="s">
        <v>24</v>
      </c>
      <c r="J21" t="s">
        <v>23</v>
      </c>
      <c r="K21">
        <v>519</v>
      </c>
      <c r="L21">
        <v>8.6368264000000003</v>
      </c>
      <c r="M21">
        <v>71.25913440593186</v>
      </c>
      <c r="N21">
        <v>-0.52291335482209034</v>
      </c>
      <c r="O21" s="1" t="str">
        <f>HYPERLINK(".\sm_car_250414_0011\sm_car_250414_0011_020_Ca032TrN_MaLSS_ode23t.png","figure")</f>
        <v>figure</v>
      </c>
      <c r="P21" t="s">
        <v>15</v>
      </c>
    </row>
    <row r="22" spans="1:16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>
        <v>408</v>
      </c>
      <c r="L22">
        <v>7.6818017000000003</v>
      </c>
      <c r="M22">
        <v>231.35449648369442</v>
      </c>
      <c r="N22">
        <v>-1.7846832942849094E-2</v>
      </c>
      <c r="O22" s="1" t="str">
        <f>HYPERLINK(".\sm_car_250414_0011\sm_car_250414_0011_021_Ca048TrN_MaWOT_ode23t.png","figure")</f>
        <v>figure</v>
      </c>
      <c r="P22" t="s">
        <v>15</v>
      </c>
    </row>
    <row r="23" spans="1:16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20</v>
      </c>
      <c r="H23" t="s">
        <v>21</v>
      </c>
      <c r="I23" t="s">
        <v>24</v>
      </c>
      <c r="J23" t="s">
        <v>23</v>
      </c>
      <c r="K23">
        <v>523</v>
      </c>
      <c r="L23">
        <v>8.5118449999999992</v>
      </c>
      <c r="M23">
        <v>71.243091366038328</v>
      </c>
      <c r="N23">
        <v>-0.52846715496410079</v>
      </c>
      <c r="O23" s="1" t="str">
        <f>HYPERLINK(".\sm_car_250414_0011\sm_car_250414_0011_022_Ca048TrN_MaLSS_ode23t.png","figure")</f>
        <v>figure</v>
      </c>
      <c r="P23" t="s">
        <v>15</v>
      </c>
    </row>
    <row r="24" spans="1:16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 t="s">
        <v>23</v>
      </c>
      <c r="K24">
        <v>401</v>
      </c>
      <c r="L24">
        <v>8.348922</v>
      </c>
      <c r="M24">
        <v>231.3913327640237</v>
      </c>
      <c r="N24">
        <v>1.0575311749426356E-2</v>
      </c>
      <c r="O24" s="1" t="str">
        <f>HYPERLINK(".\sm_car_250414_0011\sm_car_250414_0011_023_Ca064TrN_MaWOT_ode23t.png","figure")</f>
        <v>figure</v>
      </c>
      <c r="P24" t="s">
        <v>15</v>
      </c>
    </row>
    <row r="25" spans="1:16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20</v>
      </c>
      <c r="H25" t="s">
        <v>21</v>
      </c>
      <c r="I25" t="s">
        <v>24</v>
      </c>
      <c r="J25" t="s">
        <v>23</v>
      </c>
      <c r="K25">
        <v>515</v>
      </c>
      <c r="L25">
        <v>8.3129182999999998</v>
      </c>
      <c r="M25">
        <v>71.257168561263001</v>
      </c>
      <c r="N25">
        <v>-0.51773374300368213</v>
      </c>
      <c r="O25" s="1" t="str">
        <f>HYPERLINK(".\sm_car_250414_0011\sm_car_250414_0011_024_Ca064TrN_MaLSS_ode23t.png","figure")</f>
        <v>figure</v>
      </c>
      <c r="P25" t="s">
        <v>15</v>
      </c>
    </row>
    <row r="26" spans="1:16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23</v>
      </c>
      <c r="K26">
        <v>409</v>
      </c>
      <c r="L26">
        <v>9.6200009000000009</v>
      </c>
      <c r="M26">
        <v>230.9221422762601</v>
      </c>
      <c r="N26">
        <v>-1.8904178456361612E-2</v>
      </c>
      <c r="O26" s="1" t="str">
        <f>HYPERLINK(".\sm_car_250414_0011\sm_car_250414_0011_025_Ca080TrN_MaWOT_ode23t.png","figure")</f>
        <v>figure</v>
      </c>
      <c r="P26" t="s">
        <v>15</v>
      </c>
    </row>
    <row r="27" spans="1:16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20</v>
      </c>
      <c r="H27" t="s">
        <v>21</v>
      </c>
      <c r="I27" t="s">
        <v>24</v>
      </c>
      <c r="J27" t="s">
        <v>23</v>
      </c>
      <c r="K27">
        <v>511</v>
      </c>
      <c r="L27">
        <v>8.7490857999999996</v>
      </c>
      <c r="M27">
        <v>71.24162695167638</v>
      </c>
      <c r="N27">
        <v>-0.52753129859912873</v>
      </c>
      <c r="O27" s="1" t="str">
        <f>HYPERLINK(".\sm_car_250414_0011\sm_car_250414_0011_026_Ca080TrN_MaLSS_ode23t.png","figure")</f>
        <v>figure</v>
      </c>
      <c r="P27" t="s">
        <v>15</v>
      </c>
    </row>
    <row r="28" spans="1:16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23</v>
      </c>
      <c r="K28">
        <v>408</v>
      </c>
      <c r="L28">
        <v>6.6635282</v>
      </c>
      <c r="M28">
        <v>233.14094901124781</v>
      </c>
      <c r="N28">
        <v>2.2170175894673228E-2</v>
      </c>
      <c r="O28" s="1" t="str">
        <f>HYPERLINK(".\sm_car_250414_0011\sm_car_250414_0011_027_Ca096TrN_MaWOT_ode23t.png","figure")</f>
        <v>figure</v>
      </c>
      <c r="P28" t="s">
        <v>15</v>
      </c>
    </row>
    <row r="29" spans="1:16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20</v>
      </c>
      <c r="H29" t="s">
        <v>21</v>
      </c>
      <c r="I29" t="s">
        <v>24</v>
      </c>
      <c r="J29" t="s">
        <v>23</v>
      </c>
      <c r="K29">
        <v>508</v>
      </c>
      <c r="L29">
        <v>7.2024585999999999</v>
      </c>
      <c r="M29">
        <v>71.764371320611247</v>
      </c>
      <c r="N29">
        <v>-0.52600636362762243</v>
      </c>
      <c r="O29" s="1" t="str">
        <f>HYPERLINK(".\sm_car_250414_0011\sm_car_250414_0011_028_Ca096TrN_MaLSS_ode23t.png","figure")</f>
        <v>figure</v>
      </c>
      <c r="P29" t="s">
        <v>15</v>
      </c>
    </row>
    <row r="30" spans="1:16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 t="s">
        <v>23</v>
      </c>
      <c r="K30">
        <v>371</v>
      </c>
      <c r="L30">
        <v>2.5229352</v>
      </c>
      <c r="M30">
        <v>242.67152292699501</v>
      </c>
      <c r="N30">
        <v>0.2345591293344764</v>
      </c>
      <c r="O30" s="1" t="str">
        <f>HYPERLINK(".\sm_car_250414_0011\sm_car_250414_0011_029_Ca112TrN_MaWOT_ode23t.png","figure")</f>
        <v>figure</v>
      </c>
      <c r="P30" t="s">
        <v>15</v>
      </c>
    </row>
    <row r="31" spans="1:16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20</v>
      </c>
      <c r="H31" t="s">
        <v>21</v>
      </c>
      <c r="I31" t="s">
        <v>24</v>
      </c>
      <c r="J31" t="s">
        <v>23</v>
      </c>
      <c r="K31">
        <v>480</v>
      </c>
      <c r="L31">
        <v>2.9196023000000002</v>
      </c>
      <c r="M31">
        <v>74.659633852677175</v>
      </c>
      <c r="N31">
        <v>-0.33798931083008427</v>
      </c>
      <c r="O31" s="1" t="str">
        <f>HYPERLINK(".\sm_car_250414_0011\sm_car_250414_0011_030_Ca112TrN_MaLSS_ode23t.png","figure")</f>
        <v>figure</v>
      </c>
      <c r="P31" t="s">
        <v>15</v>
      </c>
    </row>
    <row r="32" spans="1:16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25</v>
      </c>
      <c r="H32" t="s">
        <v>21</v>
      </c>
      <c r="I32" t="s">
        <v>22</v>
      </c>
      <c r="J32" t="s">
        <v>23</v>
      </c>
      <c r="K32">
        <v>366</v>
      </c>
      <c r="L32">
        <v>3.0112947000000001</v>
      </c>
      <c r="M32">
        <v>241.49880149911601</v>
      </c>
      <c r="N32">
        <v>0.22933555890724622</v>
      </c>
      <c r="O32" s="1" t="str">
        <f>HYPERLINK(".\sm_car_250414_0011\sm_car_250414_0011_031_Ca113TrN_MaWOT_ode23t.png","figure")</f>
        <v>figure</v>
      </c>
      <c r="P32" t="s">
        <v>15</v>
      </c>
    </row>
    <row r="33" spans="1:16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25</v>
      </c>
      <c r="H33" t="s">
        <v>21</v>
      </c>
      <c r="I33" t="s">
        <v>24</v>
      </c>
      <c r="J33" t="s">
        <v>23</v>
      </c>
      <c r="K33">
        <v>487</v>
      </c>
      <c r="L33">
        <v>3.4082034999999999</v>
      </c>
      <c r="M33">
        <v>74.346228062681817</v>
      </c>
      <c r="N33">
        <v>-0.33396938399784559</v>
      </c>
      <c r="O33" s="1" t="str">
        <f>HYPERLINK(".\sm_car_250414_0011\sm_car_250414_0011_032_Ca113TrN_MaLSS_ode23t.png","figure")</f>
        <v>figure</v>
      </c>
      <c r="P33" t="s">
        <v>15</v>
      </c>
    </row>
    <row r="34" spans="1:16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26</v>
      </c>
      <c r="H34" t="s">
        <v>21</v>
      </c>
      <c r="I34" t="s">
        <v>22</v>
      </c>
      <c r="J34" t="s">
        <v>23</v>
      </c>
      <c r="K34">
        <v>382</v>
      </c>
      <c r="L34">
        <v>3.2424672999999999</v>
      </c>
      <c r="M34">
        <v>241.61378277209207</v>
      </c>
      <c r="N34">
        <v>0.23021245244501903</v>
      </c>
      <c r="O34" s="1" t="str">
        <f>HYPERLINK(".\sm_car_250414_0011\sm_car_250414_0011_033_Ca114TrN_MaWOT_ode23t.png","figure")</f>
        <v>figure</v>
      </c>
      <c r="P34" t="s">
        <v>15</v>
      </c>
    </row>
    <row r="35" spans="1:16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26</v>
      </c>
      <c r="H35" t="s">
        <v>21</v>
      </c>
      <c r="I35" t="s">
        <v>24</v>
      </c>
      <c r="J35" t="s">
        <v>23</v>
      </c>
      <c r="K35">
        <v>482</v>
      </c>
      <c r="L35">
        <v>3.5859629000000002</v>
      </c>
      <c r="M35">
        <v>74.351409358906011</v>
      </c>
      <c r="N35">
        <v>-0.33420060419010328</v>
      </c>
      <c r="O35" s="1" t="str">
        <f>HYPERLINK(".\sm_car_250414_0011\sm_car_250414_0011_034_Ca114TrN_MaLSS_ode23t.png","figure")</f>
        <v>figure</v>
      </c>
      <c r="P35" t="s">
        <v>15</v>
      </c>
    </row>
    <row r="36" spans="1:16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27</v>
      </c>
      <c r="H36" t="s">
        <v>21</v>
      </c>
      <c r="I36" t="s">
        <v>22</v>
      </c>
      <c r="J36" t="s">
        <v>23</v>
      </c>
      <c r="K36">
        <v>394</v>
      </c>
      <c r="L36">
        <v>3.2821256999999999</v>
      </c>
      <c r="M36">
        <v>241.17294486789336</v>
      </c>
      <c r="N36">
        <v>0.22843004969485575</v>
      </c>
      <c r="O36" s="1" t="str">
        <f>HYPERLINK(".\sm_car_250414_0011\sm_car_250414_0011_035_Ca115TrN_MaWOT_ode23t.png","figure")</f>
        <v>figure</v>
      </c>
      <c r="P36" t="s">
        <v>15</v>
      </c>
    </row>
    <row r="37" spans="1:16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27</v>
      </c>
      <c r="H37" t="s">
        <v>21</v>
      </c>
      <c r="I37" t="s">
        <v>24</v>
      </c>
      <c r="J37" t="s">
        <v>23</v>
      </c>
      <c r="K37">
        <v>505</v>
      </c>
      <c r="L37">
        <v>3.5367204999999999</v>
      </c>
      <c r="M37">
        <v>74.209226032839169</v>
      </c>
      <c r="N37">
        <v>-0.3316804496625117</v>
      </c>
      <c r="O37" s="1" t="str">
        <f>HYPERLINK(".\sm_car_250414_0011\sm_car_250414_0011_036_Ca115TrN_MaLSS_ode23t.png","figure")</f>
        <v>figure</v>
      </c>
      <c r="P37" t="s">
        <v>15</v>
      </c>
    </row>
    <row r="38" spans="1:16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20</v>
      </c>
      <c r="H38" t="s">
        <v>21</v>
      </c>
      <c r="I38" t="s">
        <v>22</v>
      </c>
      <c r="J38" t="s">
        <v>23</v>
      </c>
      <c r="K38">
        <v>943</v>
      </c>
      <c r="L38">
        <v>4.5694796000000002</v>
      </c>
      <c r="M38">
        <v>242.63118630005806</v>
      </c>
      <c r="N38">
        <v>0.2327919371692862</v>
      </c>
      <c r="O38" s="1" t="str">
        <f>HYPERLINK(".\sm_car_250414_0011\sm_car_250414_0011_037_Ca116TrN_MaWOT_ode23t.png","figure")</f>
        <v>figure</v>
      </c>
      <c r="P38" t="s">
        <v>15</v>
      </c>
    </row>
    <row r="39" spans="1:16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20</v>
      </c>
      <c r="H39" t="s">
        <v>21</v>
      </c>
      <c r="I39" t="s">
        <v>24</v>
      </c>
      <c r="J39" t="s">
        <v>23</v>
      </c>
      <c r="K39">
        <v>1060</v>
      </c>
      <c r="L39">
        <v>5.2145184000000002</v>
      </c>
      <c r="M39">
        <v>74.660234080632137</v>
      </c>
      <c r="N39">
        <v>-0.34043153147504285</v>
      </c>
      <c r="O39" s="1" t="str">
        <f>HYPERLINK(".\sm_car_250414_0011\sm_car_250414_0011_038_Ca116TrN_MaLSS_ode23t.png","figure")</f>
        <v>figure</v>
      </c>
      <c r="P39" t="s">
        <v>15</v>
      </c>
    </row>
    <row r="40" spans="1:16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25</v>
      </c>
      <c r="H40" t="s">
        <v>21</v>
      </c>
      <c r="I40" t="s">
        <v>22</v>
      </c>
      <c r="J40" t="s">
        <v>23</v>
      </c>
      <c r="K40">
        <v>951</v>
      </c>
      <c r="L40">
        <v>5.2324726999999998</v>
      </c>
      <c r="M40">
        <v>241.56097975248917</v>
      </c>
      <c r="N40">
        <v>0.22971380339965491</v>
      </c>
      <c r="O40" s="1" t="str">
        <f>HYPERLINK(".\sm_car_250414_0011\sm_car_250414_0011_039_Ca117TrN_MaWOT_ode23t.png","figure")</f>
        <v>figure</v>
      </c>
      <c r="P40" t="s">
        <v>15</v>
      </c>
    </row>
    <row r="41" spans="1:16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25</v>
      </c>
      <c r="H41" t="s">
        <v>21</v>
      </c>
      <c r="I41" t="s">
        <v>24</v>
      </c>
      <c r="J41" t="s">
        <v>23</v>
      </c>
      <c r="K41">
        <v>1068</v>
      </c>
      <c r="L41">
        <v>5.5208548000000004</v>
      </c>
      <c r="M41">
        <v>74.350658147491714</v>
      </c>
      <c r="N41">
        <v>-0.33660139121906185</v>
      </c>
      <c r="O41" s="1" t="str">
        <f>HYPERLINK(".\sm_car_250414_0011\sm_car_250414_0011_040_Ca117TrN_MaLSS_ode23t.png","figure")</f>
        <v>figure</v>
      </c>
      <c r="P41" t="s">
        <v>15</v>
      </c>
    </row>
    <row r="42" spans="1:16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26</v>
      </c>
      <c r="H42" t="s">
        <v>21</v>
      </c>
      <c r="I42" t="s">
        <v>22</v>
      </c>
      <c r="J42" t="s">
        <v>23</v>
      </c>
      <c r="K42">
        <v>941</v>
      </c>
      <c r="L42">
        <v>5.1423714</v>
      </c>
      <c r="M42">
        <v>241.36830230630156</v>
      </c>
      <c r="N42">
        <v>0.23049915345602534</v>
      </c>
      <c r="O42" s="1" t="str">
        <f>HYPERLINK(".\sm_car_250414_0011\sm_car_250414_0011_041_Ca118TrN_MaWOT_ode23t.png","figure")</f>
        <v>figure</v>
      </c>
      <c r="P42" t="s">
        <v>15</v>
      </c>
    </row>
    <row r="43" spans="1:16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26</v>
      </c>
      <c r="H43" t="s">
        <v>21</v>
      </c>
      <c r="I43" t="s">
        <v>24</v>
      </c>
      <c r="J43" t="s">
        <v>23</v>
      </c>
      <c r="K43">
        <v>1055</v>
      </c>
      <c r="L43">
        <v>6.2199678</v>
      </c>
      <c r="M43">
        <v>74.35119559538083</v>
      </c>
      <c r="N43">
        <v>-0.33387549857144455</v>
      </c>
      <c r="O43" s="1" t="str">
        <f>HYPERLINK(".\sm_car_250414_0011\sm_car_250414_0011_042_Ca118TrN_MaLSS_ode23t.png","figure")</f>
        <v>figure</v>
      </c>
      <c r="P43" t="s">
        <v>15</v>
      </c>
    </row>
    <row r="44" spans="1:16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27</v>
      </c>
      <c r="H44" t="s">
        <v>21</v>
      </c>
      <c r="I44" t="s">
        <v>22</v>
      </c>
      <c r="J44" t="s">
        <v>23</v>
      </c>
      <c r="K44">
        <v>964</v>
      </c>
      <c r="L44">
        <v>5.5783586999999999</v>
      </c>
      <c r="M44">
        <v>241.11272735822928</v>
      </c>
      <c r="N44">
        <v>0.22980107093966623</v>
      </c>
      <c r="O44" s="1" t="str">
        <f>HYPERLINK(".\sm_car_250414_0011\sm_car_250414_0011_043_Ca119TrN_MaWOT_ode23t.png","figure")</f>
        <v>figure</v>
      </c>
      <c r="P44" t="s">
        <v>15</v>
      </c>
    </row>
    <row r="45" spans="1:16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27</v>
      </c>
      <c r="H45" t="s">
        <v>21</v>
      </c>
      <c r="I45" t="s">
        <v>24</v>
      </c>
      <c r="J45" t="s">
        <v>23</v>
      </c>
      <c r="K45">
        <v>1081</v>
      </c>
      <c r="L45">
        <v>6.1889881000000004</v>
      </c>
      <c r="M45">
        <v>74.200880604598112</v>
      </c>
      <c r="N45">
        <v>-0.33242007804874413</v>
      </c>
      <c r="O45" s="1" t="str">
        <f>HYPERLINK(".\sm_car_250414_0011\sm_car_250414_0011_044_Ca119TrN_MaLSS_ode23t.png","figure")</f>
        <v>figure</v>
      </c>
      <c r="P45" t="s">
        <v>15</v>
      </c>
    </row>
    <row r="46" spans="1:16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23</v>
      </c>
      <c r="K46">
        <v>315</v>
      </c>
      <c r="L46">
        <v>6.1085506000000001</v>
      </c>
      <c r="M46">
        <v>99.772003095248778</v>
      </c>
      <c r="N46">
        <v>-1.62699639392123E-2</v>
      </c>
      <c r="O46" s="1" t="str">
        <f>HYPERLINK(".\sm_car_250414_0011\sm_car_250414_0011_045_Ca128TrN_MaWOT_ode23t.png","figure")</f>
        <v>figure</v>
      </c>
      <c r="P46" t="s">
        <v>15</v>
      </c>
    </row>
    <row r="47" spans="1:16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23</v>
      </c>
      <c r="K47">
        <v>437</v>
      </c>
      <c r="L47">
        <v>7.4347868999999998</v>
      </c>
      <c r="M47">
        <v>36.954451306250583</v>
      </c>
      <c r="N47">
        <v>-0.1312904780720284</v>
      </c>
      <c r="O47" s="1" t="str">
        <f>HYPERLINK(".\sm_car_250414_0011\sm_car_250414_0011_046_Ca128TrN_MaLSS_ode23t.png","figure")</f>
        <v>figure</v>
      </c>
      <c r="P47" t="s">
        <v>15</v>
      </c>
    </row>
    <row r="48" spans="1:16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23</v>
      </c>
      <c r="K48">
        <v>341</v>
      </c>
      <c r="L48">
        <v>7.2538954000000002</v>
      </c>
      <c r="M48">
        <v>229.40736112503527</v>
      </c>
      <c r="N48">
        <v>5.7557031161582631E-2</v>
      </c>
      <c r="O48" s="1" t="str">
        <f>HYPERLINK(".\sm_car_250414_0011\sm_car_250414_0011_047_Ca129TrN_MaWOT_ode23t.png","figure")</f>
        <v>figure</v>
      </c>
      <c r="P48" t="s">
        <v>15</v>
      </c>
    </row>
    <row r="49" spans="1:16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23</v>
      </c>
      <c r="K49">
        <v>466</v>
      </c>
      <c r="L49">
        <v>8.8867340000000006</v>
      </c>
      <c r="M49">
        <v>70.694142221122988</v>
      </c>
      <c r="N49">
        <v>-0.519261625790298</v>
      </c>
      <c r="O49" s="1" t="str">
        <f>HYPERLINK(".\sm_car_250414_0011\sm_car_250414_0011_048_Ca129TrN_MaLSS_ode23t.png","figure")</f>
        <v>figure</v>
      </c>
      <c r="P49" t="s">
        <v>15</v>
      </c>
    </row>
    <row r="50" spans="1:16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23</v>
      </c>
      <c r="K50">
        <v>781</v>
      </c>
      <c r="L50">
        <v>21.924191100000002</v>
      </c>
      <c r="M50">
        <v>217.21826601174519</v>
      </c>
      <c r="N50">
        <v>-1.540469185773166</v>
      </c>
      <c r="O50" s="1" t="str">
        <f>HYPERLINK(".\sm_car_250414_0011\sm_car_250414_0011_049_Ca130TrN_MaWOT_ode23t.png","figure")</f>
        <v>figure</v>
      </c>
      <c r="P50" t="s">
        <v>15</v>
      </c>
    </row>
    <row r="51" spans="1:16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23</v>
      </c>
      <c r="K51">
        <v>777</v>
      </c>
      <c r="L51">
        <v>22.207997200000001</v>
      </c>
      <c r="M51">
        <v>68.778243401165412</v>
      </c>
      <c r="N51">
        <v>-0.5452078163574543</v>
      </c>
      <c r="O51" s="1" t="str">
        <f>HYPERLINK(".\sm_car_250414_0011\sm_car_250414_0011_050_Ca130TrN_MaLSS_ode23t.png","figure")</f>
        <v>figure</v>
      </c>
      <c r="P51" t="s">
        <v>15</v>
      </c>
    </row>
    <row r="52" spans="1:16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23</v>
      </c>
      <c r="K52">
        <v>356</v>
      </c>
      <c r="L52">
        <v>4.8979282</v>
      </c>
      <c r="M52">
        <v>230.34203142423277</v>
      </c>
      <c r="N52">
        <v>-4.3237586699855807E-2</v>
      </c>
      <c r="O52" s="1" t="str">
        <f>HYPERLINK(".\sm_car_250414_0011\sm_car_250414_0011_051_Ca131TrN_MaWOT_ode23t.png","figure")</f>
        <v>figure</v>
      </c>
      <c r="P52" t="s">
        <v>15</v>
      </c>
    </row>
    <row r="53" spans="1:16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23</v>
      </c>
      <c r="K53">
        <v>494</v>
      </c>
      <c r="L53">
        <v>5.720224</v>
      </c>
      <c r="M53">
        <v>70.974610398815159</v>
      </c>
      <c r="N53">
        <v>-0.53714337390697575</v>
      </c>
      <c r="O53" s="1" t="str">
        <f>HYPERLINK(".\sm_car_250414_0011\sm_car_250414_0011_052_Ca131TrN_MaLSS_ode23t.png","figure")</f>
        <v>figure</v>
      </c>
      <c r="P53" t="s">
        <v>15</v>
      </c>
    </row>
    <row r="54" spans="1:16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23</v>
      </c>
      <c r="K54">
        <v>361</v>
      </c>
      <c r="L54">
        <v>4.7642556000000003</v>
      </c>
      <c r="M54">
        <v>230.37221071034253</v>
      </c>
      <c r="N54">
        <v>-9.7266153297585461E-3</v>
      </c>
      <c r="O54" s="1" t="str">
        <f>HYPERLINK(".\sm_car_250414_0011\sm_car_250414_0011_053_Ca132TrN_MaWOT_ode23t.png","figure")</f>
        <v>figure</v>
      </c>
      <c r="P54" t="s">
        <v>15</v>
      </c>
    </row>
    <row r="55" spans="1:16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23</v>
      </c>
      <c r="K55">
        <v>480</v>
      </c>
      <c r="L55">
        <v>5.5018567000000003</v>
      </c>
      <c r="M55">
        <v>70.963575918518345</v>
      </c>
      <c r="N55">
        <v>-0.53344426652865273</v>
      </c>
      <c r="O55" s="1" t="str">
        <f>HYPERLINK(".\sm_car_250414_0011\sm_car_250414_0011_054_Ca132TrN_MaLSS_ode23t.png","figure")</f>
        <v>figure</v>
      </c>
      <c r="P55" t="s">
        <v>15</v>
      </c>
    </row>
    <row r="56" spans="1:16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23</v>
      </c>
      <c r="K56">
        <v>354</v>
      </c>
      <c r="L56">
        <v>4.6809554999999996</v>
      </c>
      <c r="M56">
        <v>230.38904686472785</v>
      </c>
      <c r="N56">
        <v>-1.2103059621822039E-2</v>
      </c>
      <c r="O56" s="1" t="str">
        <f>HYPERLINK(".\sm_car_250414_0011\sm_car_250414_0011_055_Ca133TrN_MaWOT_ode23t.png","figure")</f>
        <v>figure</v>
      </c>
      <c r="P56" t="s">
        <v>15</v>
      </c>
    </row>
    <row r="57" spans="1:16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23</v>
      </c>
      <c r="K57">
        <v>509</v>
      </c>
      <c r="L57">
        <v>5.896255</v>
      </c>
      <c r="M57">
        <v>70.972244726385924</v>
      </c>
      <c r="N57">
        <v>-0.53397566242966998</v>
      </c>
      <c r="O57" s="1" t="str">
        <f>HYPERLINK(".\sm_car_250414_0011\sm_car_250414_0011_056_Ca133TrN_MaLSS_ode23t.png","figure")</f>
        <v>figure</v>
      </c>
      <c r="P57" t="s">
        <v>15</v>
      </c>
    </row>
    <row r="58" spans="1:16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23</v>
      </c>
      <c r="K58">
        <v>358</v>
      </c>
      <c r="L58">
        <v>4.9548531000000002</v>
      </c>
      <c r="M58">
        <v>230.28432711200949</v>
      </c>
      <c r="N58">
        <v>-9.9104870076965786E-3</v>
      </c>
      <c r="O58" s="1" t="str">
        <f>HYPERLINK(".\sm_car_250414_0011\sm_car_250414_0011_057_Ca134TrN_MaWOT_ode23t.png","figure")</f>
        <v>figure</v>
      </c>
      <c r="P58" t="s">
        <v>15</v>
      </c>
    </row>
    <row r="59" spans="1:16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23</v>
      </c>
      <c r="K59">
        <v>506</v>
      </c>
      <c r="L59">
        <v>5.5355219</v>
      </c>
      <c r="M59">
        <v>70.979613933185604</v>
      </c>
      <c r="N59">
        <v>-0.53280097674505056</v>
      </c>
      <c r="O59" s="1" t="str">
        <f>HYPERLINK(".\sm_car_250414_0011\sm_car_250414_0011_058_Ca134TrN_MaLSS_ode23t.png","figure")</f>
        <v>figure</v>
      </c>
      <c r="P59" t="s">
        <v>15</v>
      </c>
    </row>
    <row r="60" spans="1:16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23</v>
      </c>
      <c r="K60">
        <v>345</v>
      </c>
      <c r="L60">
        <v>4.9393554000000002</v>
      </c>
      <c r="M60">
        <v>230.39864996586817</v>
      </c>
      <c r="N60">
        <v>-1.0479892461586673E-2</v>
      </c>
      <c r="O60" s="1" t="str">
        <f>HYPERLINK(".\sm_car_250414_0011\sm_car_250414_0011_059_Ca135TrN_MaWOT_ode23t.png","figure")</f>
        <v>figure</v>
      </c>
      <c r="P60" t="s">
        <v>15</v>
      </c>
    </row>
    <row r="61" spans="1:16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23</v>
      </c>
      <c r="K61">
        <v>485</v>
      </c>
      <c r="L61">
        <v>5.6660868000000004</v>
      </c>
      <c r="M61">
        <v>70.979787477691929</v>
      </c>
      <c r="N61">
        <v>-0.52442297104812785</v>
      </c>
      <c r="O61" s="1" t="str">
        <f>HYPERLINK(".\sm_car_250414_0011\sm_car_250414_0011_060_Ca135TrN_MaLSS_ode23t.png","figure")</f>
        <v>figure</v>
      </c>
      <c r="P61" t="s">
        <v>15</v>
      </c>
    </row>
    <row r="62" spans="1:16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23</v>
      </c>
      <c r="K62">
        <v>368</v>
      </c>
      <c r="L62">
        <v>5.7001112999999997</v>
      </c>
      <c r="M62">
        <v>230.36694287046382</v>
      </c>
      <c r="N62">
        <v>5.3631848193240975E-2</v>
      </c>
      <c r="O62" s="1" t="str">
        <f>HYPERLINK(".\sm_car_250414_0011\sm_car_250414_0011_061_Ca136TrN_MaWOT_ode23t.png","figure")</f>
        <v>figure</v>
      </c>
      <c r="P62" t="s">
        <v>15</v>
      </c>
    </row>
    <row r="63" spans="1:16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23</v>
      </c>
      <c r="K63">
        <v>495</v>
      </c>
      <c r="L63">
        <v>6.9739063999999997</v>
      </c>
      <c r="M63">
        <v>70.971469705139171</v>
      </c>
      <c r="N63">
        <v>-0.53019533065005631</v>
      </c>
      <c r="O63" s="1" t="str">
        <f>HYPERLINK(".\sm_car_250414_0011\sm_car_250414_0011_062_Ca136TrN_MaLSS_ode23t.png","figure")</f>
        <v>figure</v>
      </c>
      <c r="P63" t="s">
        <v>15</v>
      </c>
    </row>
    <row r="64" spans="1:16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23</v>
      </c>
      <c r="K64">
        <v>330</v>
      </c>
      <c r="L64">
        <v>4.1764042000000003</v>
      </c>
      <c r="M64">
        <v>231.37618502744672</v>
      </c>
      <c r="N64">
        <v>0.13995991279649961</v>
      </c>
      <c r="O64" s="1" t="str">
        <f>HYPERLINK(".\sm_car_250414_0011\sm_car_250414_0011_063_Ca137TrN_MaWOT_ode23t.png","figure")</f>
        <v>figure</v>
      </c>
      <c r="P64" t="s">
        <v>15</v>
      </c>
    </row>
    <row r="65" spans="1:16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23</v>
      </c>
      <c r="K65">
        <v>470</v>
      </c>
      <c r="L65">
        <v>4.6853315000000002</v>
      </c>
      <c r="M65">
        <v>71.242988050325067</v>
      </c>
      <c r="N65">
        <v>-0.51191002257608276</v>
      </c>
      <c r="O65" s="1" t="str">
        <f>HYPERLINK(".\sm_car_250414_0011\sm_car_250414_0011_064_Ca137TrN_MaLSS_ode23t.png","figure")</f>
        <v>figure</v>
      </c>
      <c r="P65" t="s">
        <v>15</v>
      </c>
    </row>
    <row r="66" spans="1:16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23</v>
      </c>
      <c r="K66">
        <v>325</v>
      </c>
      <c r="L66">
        <v>5.7484108000000003</v>
      </c>
      <c r="M66">
        <v>231.3463009843779</v>
      </c>
      <c r="N66">
        <v>0.14575438232711665</v>
      </c>
      <c r="O66" s="1" t="str">
        <f>HYPERLINK(".\sm_car_250414_0011\sm_car_250414_0011_065_Ca138TrN_MaWOT_ode23t.png","figure")</f>
        <v>figure</v>
      </c>
      <c r="P66" t="s">
        <v>15</v>
      </c>
    </row>
    <row r="67" spans="1:16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23</v>
      </c>
      <c r="K67">
        <v>493</v>
      </c>
      <c r="L67">
        <v>6.7241505999999998</v>
      </c>
      <c r="M67">
        <v>71.135576288788812</v>
      </c>
      <c r="N67">
        <v>-0.82740227219901075</v>
      </c>
      <c r="O67" s="1" t="str">
        <f>HYPERLINK(".\sm_car_250414_0011\sm_car_250414_0011_066_Ca138TrN_MaLSS_ode23t.png","figure")</f>
        <v>figure</v>
      </c>
      <c r="P67" t="s">
        <v>15</v>
      </c>
    </row>
    <row r="68" spans="1:16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23</v>
      </c>
      <c r="K68">
        <v>703</v>
      </c>
      <c r="L68">
        <v>29.0352183</v>
      </c>
      <c r="M68">
        <v>405.2135484066481</v>
      </c>
      <c r="N68">
        <v>1.8121906231971723</v>
      </c>
      <c r="O68" s="1" t="str">
        <f>HYPERLINK(".\sm_car_250414_0011\sm_car_250414_0011_067_Ca139TrN_MaWOT_ode23t.png","figure")</f>
        <v>figure</v>
      </c>
      <c r="P68" t="s">
        <v>15</v>
      </c>
    </row>
    <row r="69" spans="1:16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23</v>
      </c>
      <c r="K69">
        <v>617</v>
      </c>
      <c r="L69">
        <v>15.8978845</v>
      </c>
      <c r="M69">
        <v>154.35855357916148</v>
      </c>
      <c r="N69">
        <v>-0.58119427322867179</v>
      </c>
      <c r="O69" s="1" t="str">
        <f>HYPERLINK(".\sm_car_250414_0011\sm_car_250414_0011_068_Ca139TrN_MaLSS_ode23t.png","figure")</f>
        <v>figure</v>
      </c>
      <c r="P69" t="s">
        <v>15</v>
      </c>
    </row>
    <row r="70" spans="1:16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23</v>
      </c>
      <c r="K70">
        <v>2040</v>
      </c>
      <c r="L70">
        <v>40.642434899999998</v>
      </c>
      <c r="M70">
        <v>405.32719993081503</v>
      </c>
      <c r="N70">
        <v>1.6302579297741482</v>
      </c>
      <c r="O70" s="1" t="str">
        <f>HYPERLINK(".\sm_car_250414_0011\sm_car_250414_0011_069_Ca141TrN_MaWOT_ode23t.png","figure")</f>
        <v>figure</v>
      </c>
      <c r="P70" t="s">
        <v>15</v>
      </c>
    </row>
    <row r="71" spans="1:16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23</v>
      </c>
      <c r="K71">
        <v>1875</v>
      </c>
      <c r="L71">
        <v>28.349609000000001</v>
      </c>
      <c r="M71">
        <v>154.41615420896352</v>
      </c>
      <c r="N71">
        <v>-0.58218304701915191</v>
      </c>
      <c r="O71" s="1" t="str">
        <f>HYPERLINK(".\sm_car_250414_0011\sm_car_250414_0011_070_Ca141TrN_MaLSS_ode23t.png","figure")</f>
        <v>figure</v>
      </c>
      <c r="P71" t="s">
        <v>15</v>
      </c>
    </row>
    <row r="72" spans="1:16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23</v>
      </c>
      <c r="K72">
        <v>364</v>
      </c>
      <c r="L72">
        <v>22.419906699999999</v>
      </c>
      <c r="M72">
        <v>95.847578065191499</v>
      </c>
      <c r="N72">
        <v>-3.2261634555169859E-2</v>
      </c>
      <c r="O72" s="1" t="str">
        <f>HYPERLINK(".\sm_car_250414_0011\sm_car_250414_0011_071_Ca143TrN_MaWOT_ode23t.png","figure")</f>
        <v>figure</v>
      </c>
      <c r="P72" t="s">
        <v>15</v>
      </c>
    </row>
    <row r="73" spans="1:16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23</v>
      </c>
      <c r="K73">
        <v>464</v>
      </c>
      <c r="L73">
        <v>23.5677123</v>
      </c>
      <c r="M73">
        <v>25.014889565008957</v>
      </c>
      <c r="N73">
        <v>-5.2881968403442531E-2</v>
      </c>
      <c r="O73" s="1" t="str">
        <f>HYPERLINK(".\sm_car_250414_0011\sm_car_250414_0011_072_Ca143TrN_MaLSS_ode23t.png","figure")</f>
        <v>figure</v>
      </c>
      <c r="P73" t="s">
        <v>15</v>
      </c>
    </row>
    <row r="74" spans="1:16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23</v>
      </c>
      <c r="K74">
        <v>334</v>
      </c>
      <c r="L74">
        <v>16.896993800000001</v>
      </c>
      <c r="M74">
        <v>114.03529943408353</v>
      </c>
      <c r="N74">
        <v>0.53162844501632833</v>
      </c>
      <c r="O74" s="1" t="str">
        <f>HYPERLINK(".\sm_car_250414_0011\sm_car_250414_0011_073_Ca144TrN_MaWOT_ode23t.png","figure")</f>
        <v>figure</v>
      </c>
      <c r="P74" t="s">
        <v>15</v>
      </c>
    </row>
    <row r="75" spans="1:16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23</v>
      </c>
      <c r="K75">
        <v>459</v>
      </c>
      <c r="L75">
        <v>16.895857899999999</v>
      </c>
      <c r="M75">
        <v>35.601727583053574</v>
      </c>
      <c r="N75">
        <v>-3.2699139240046644E-2</v>
      </c>
      <c r="O75" s="1" t="str">
        <f>HYPERLINK(".\sm_car_250414_0011\sm_car_250414_0011_074_Ca144TrN_MaLSS_ode23t.png","figure")</f>
        <v>figure</v>
      </c>
      <c r="P75" t="s">
        <v>15</v>
      </c>
    </row>
    <row r="76" spans="1:16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23</v>
      </c>
      <c r="K76">
        <v>2324</v>
      </c>
      <c r="L76">
        <v>29.462596000000001</v>
      </c>
      <c r="M76">
        <v>399.71397983774403</v>
      </c>
      <c r="N76">
        <v>-15.916424280063882</v>
      </c>
      <c r="O76" s="1" t="str">
        <f>HYPERLINK(".\sm_car_250414_0011\sm_car_250414_0011_075_Ca147TrN_MaWOT_ode23t.png","figure")</f>
        <v>figure</v>
      </c>
      <c r="P76" t="s">
        <v>15</v>
      </c>
    </row>
    <row r="77" spans="1:16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23</v>
      </c>
      <c r="K77">
        <v>1320</v>
      </c>
      <c r="L77">
        <v>18.399510100000001</v>
      </c>
      <c r="M77">
        <v>151.92534247032057</v>
      </c>
      <c r="N77">
        <v>-2.417628167242357</v>
      </c>
      <c r="O77" s="1" t="str">
        <f>HYPERLINK(".\sm_car_250414_0011\sm_car_250414_0011_076_Ca147TrN_MaLSS_ode23t.png","figure")</f>
        <v>figure</v>
      </c>
      <c r="P77" t="s">
        <v>15</v>
      </c>
    </row>
    <row r="78" spans="1:16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23</v>
      </c>
      <c r="K78">
        <v>312</v>
      </c>
      <c r="L78">
        <v>8.5962905999999997</v>
      </c>
      <c r="M78">
        <v>229.67542025612829</v>
      </c>
      <c r="N78">
        <v>5.5980890335133957E-3</v>
      </c>
      <c r="O78" s="1" t="str">
        <f>HYPERLINK(".\sm_car_250414_0011\sm_car_250414_0011_077_Ca215TrN_MaWOT_ode23t.png","figure")</f>
        <v>figure</v>
      </c>
      <c r="P78" t="s">
        <v>15</v>
      </c>
    </row>
    <row r="79" spans="1:16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23</v>
      </c>
      <c r="K79">
        <v>471</v>
      </c>
      <c r="L79">
        <v>8.7135581999999996</v>
      </c>
      <c r="M79">
        <v>81.26828189226714</v>
      </c>
      <c r="N79">
        <v>-0.22189443475888274</v>
      </c>
      <c r="O79" s="1" t="str">
        <f>HYPERLINK(".\sm_car_250414_0011\sm_car_250414_0011_078_Ca215TrN_MaLSS_ode23t.png","figure")</f>
        <v>figure</v>
      </c>
      <c r="P79" t="s">
        <v>15</v>
      </c>
    </row>
    <row r="80" spans="1:16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26</v>
      </c>
      <c r="H80" t="s">
        <v>21</v>
      </c>
      <c r="I80" t="s">
        <v>22</v>
      </c>
      <c r="J80" t="s">
        <v>23</v>
      </c>
      <c r="K80">
        <v>354</v>
      </c>
      <c r="L80">
        <v>4.2247694999999998</v>
      </c>
      <c r="M80">
        <v>230.34171016059173</v>
      </c>
      <c r="N80">
        <v>0.16866690839967541</v>
      </c>
      <c r="O80" s="1" t="str">
        <f>HYPERLINK(".\sm_car_250414_0011\sm_car_250414_0011_079_Ca218TrN_MaWOT_ode23t.png","figure")</f>
        <v>figure</v>
      </c>
      <c r="P80" t="s">
        <v>15</v>
      </c>
    </row>
    <row r="81" spans="1:16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26</v>
      </c>
      <c r="H81" t="s">
        <v>21</v>
      </c>
      <c r="I81" t="s">
        <v>24</v>
      </c>
      <c r="J81" t="s">
        <v>23</v>
      </c>
      <c r="K81">
        <v>493</v>
      </c>
      <c r="L81">
        <v>5.3496820999999999</v>
      </c>
      <c r="M81">
        <v>70.956743309811372</v>
      </c>
      <c r="N81">
        <v>-0.53589214189213574</v>
      </c>
      <c r="O81" s="1" t="str">
        <f>HYPERLINK(".\sm_car_250414_0011\sm_car_250414_0011_080_Ca218TrN_MaLSS_ode23t.png","figure")</f>
        <v>figure</v>
      </c>
      <c r="P81" t="s">
        <v>15</v>
      </c>
    </row>
    <row r="82" spans="1:16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26</v>
      </c>
      <c r="H82" t="s">
        <v>21</v>
      </c>
      <c r="I82" t="s">
        <v>22</v>
      </c>
      <c r="J82" t="s">
        <v>23</v>
      </c>
      <c r="K82">
        <v>397</v>
      </c>
      <c r="L82">
        <v>6.7357465000000003</v>
      </c>
      <c r="M82">
        <v>229.54428521608875</v>
      </c>
      <c r="N82">
        <v>0.16875950129251227</v>
      </c>
      <c r="O82" s="1" t="str">
        <f>HYPERLINK(".\sm_car_250414_0011\sm_car_250414_0011_081_Ca219TrN_MaWOT_ode23t.png","figure")</f>
        <v>figure</v>
      </c>
      <c r="P82" t="s">
        <v>15</v>
      </c>
    </row>
    <row r="83" spans="1:16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26</v>
      </c>
      <c r="H83" t="s">
        <v>21</v>
      </c>
      <c r="I83" t="s">
        <v>24</v>
      </c>
      <c r="J83" t="s">
        <v>23</v>
      </c>
      <c r="K83">
        <v>523</v>
      </c>
      <c r="L83">
        <v>8.1902293000000004</v>
      </c>
      <c r="M83">
        <v>70.790048511282905</v>
      </c>
      <c r="N83">
        <v>-0.56064488532209944</v>
      </c>
      <c r="O83" s="1" t="str">
        <f>HYPERLINK(".\sm_car_250414_0011\sm_car_250414_0011_082_Ca219TrN_MaLSS_ode23t.png","figure")</f>
        <v>figure</v>
      </c>
      <c r="P83" t="s">
        <v>15</v>
      </c>
    </row>
    <row r="84" spans="1:16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26</v>
      </c>
      <c r="H84" t="s">
        <v>21</v>
      </c>
      <c r="I84" t="s">
        <v>22</v>
      </c>
      <c r="J84" t="s">
        <v>23</v>
      </c>
      <c r="K84">
        <v>929</v>
      </c>
      <c r="L84">
        <v>31.856332299999998</v>
      </c>
      <c r="M84">
        <v>223.97026814327018</v>
      </c>
      <c r="N84">
        <v>-1.2140991895308939</v>
      </c>
      <c r="O84" s="1" t="str">
        <f>HYPERLINK(".\sm_car_250414_0011\sm_car_250414_0011_083_Ca220TrN_MaWOT_ode23t.png","figure")</f>
        <v>figure</v>
      </c>
      <c r="P84" t="s">
        <v>15</v>
      </c>
    </row>
    <row r="85" spans="1:16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26</v>
      </c>
      <c r="H85" t="s">
        <v>21</v>
      </c>
      <c r="I85" t="s">
        <v>24</v>
      </c>
      <c r="J85" t="s">
        <v>23</v>
      </c>
      <c r="K85">
        <v>1098</v>
      </c>
      <c r="L85">
        <v>36.0310712</v>
      </c>
      <c r="M85">
        <v>69.478842107961512</v>
      </c>
      <c r="N85">
        <v>-1.5018982632510673</v>
      </c>
      <c r="O85" s="1" t="str">
        <f>HYPERLINK(".\sm_car_250414_0011\sm_car_250414_0011_084_Ca220TrN_MaLSS_ode23t.png","figure")</f>
        <v>figure</v>
      </c>
      <c r="P85" t="s">
        <v>15</v>
      </c>
    </row>
    <row r="86" spans="1:16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23</v>
      </c>
      <c r="K86">
        <v>640</v>
      </c>
      <c r="L86">
        <v>7.3983061000000001</v>
      </c>
      <c r="M86">
        <v>293.66269746528639</v>
      </c>
      <c r="N86">
        <v>9.6574283411980286E-5</v>
      </c>
      <c r="O86" s="1" t="str">
        <f>HYPERLINK(".\sm_car_250414_0011\sm_car_250414_0011_085_Ca223TrN_MaWOT_ode23t.png","figure")</f>
        <v>figure</v>
      </c>
      <c r="P86" t="s">
        <v>15</v>
      </c>
    </row>
    <row r="87" spans="1:16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23</v>
      </c>
      <c r="K87">
        <v>770</v>
      </c>
      <c r="L87">
        <v>7.7525786999999999</v>
      </c>
      <c r="M87">
        <v>103.56583404383549</v>
      </c>
      <c r="N87">
        <v>-0.12773641306371553</v>
      </c>
      <c r="O87" s="1" t="str">
        <f>HYPERLINK(".\sm_car_250414_0011\sm_car_250414_0011_086_Ca223TrN_MaLSS_ode23t.png","figure")</f>
        <v>figure</v>
      </c>
      <c r="P87" t="s">
        <v>15</v>
      </c>
    </row>
    <row r="88" spans="1:16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23</v>
      </c>
      <c r="K88">
        <v>630</v>
      </c>
      <c r="L88">
        <v>18.1724329</v>
      </c>
      <c r="M88">
        <v>409.24879238351309</v>
      </c>
      <c r="N88">
        <v>1.486463879506118</v>
      </c>
      <c r="O88" s="1" t="str">
        <f>HYPERLINK(".\sm_car_250414_0011\sm_car_250414_0011_087_Ca227TrN_MaWOT_ode23t.png","figure")</f>
        <v>figure</v>
      </c>
      <c r="P88" t="s">
        <v>15</v>
      </c>
    </row>
    <row r="89" spans="1:16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23</v>
      </c>
      <c r="K89">
        <v>638</v>
      </c>
      <c r="L89">
        <v>12.832082099999999</v>
      </c>
      <c r="M89">
        <v>156.26307807331503</v>
      </c>
      <c r="N89">
        <v>-0.37342832011773119</v>
      </c>
      <c r="O89" s="1" t="str">
        <f>HYPERLINK(".\sm_car_250414_0011\sm_car_250414_0011_088_Ca227TrN_MaLSS_ode23t.png","figure")</f>
        <v>figure</v>
      </c>
      <c r="P89" t="s">
        <v>15</v>
      </c>
    </row>
    <row r="90" spans="1:16" x14ac:dyDescent="0.25">
      <c r="A90">
        <v>89</v>
      </c>
      <c r="B90">
        <v>8</v>
      </c>
      <c r="C90" t="s">
        <v>16</v>
      </c>
      <c r="D90" t="s">
        <v>17</v>
      </c>
      <c r="E90" t="s">
        <v>49</v>
      </c>
      <c r="F90" t="s">
        <v>19</v>
      </c>
      <c r="G90" t="s">
        <v>20</v>
      </c>
      <c r="H90" t="s">
        <v>21</v>
      </c>
      <c r="I90" t="s">
        <v>22</v>
      </c>
      <c r="J90" t="s">
        <v>23</v>
      </c>
      <c r="K90">
        <v>385</v>
      </c>
      <c r="L90">
        <v>10.4858209</v>
      </c>
      <c r="M90">
        <v>231.36014522580828</v>
      </c>
      <c r="N90">
        <v>-4.6585454407044461E-3</v>
      </c>
      <c r="O90" s="1" t="str">
        <f>HYPERLINK(".\sm_car_250414_0011\sm_car_250414_0011_089_Ca008TrN_MaWOT_ode23t_1.png","figure")</f>
        <v>figure</v>
      </c>
      <c r="P90" t="s">
        <v>15</v>
      </c>
    </row>
    <row r="91" spans="1:16" x14ac:dyDescent="0.25">
      <c r="A91">
        <v>90</v>
      </c>
      <c r="B91">
        <v>8</v>
      </c>
      <c r="C91" t="s">
        <v>16</v>
      </c>
      <c r="D91" t="s">
        <v>17</v>
      </c>
      <c r="E91" t="s">
        <v>49</v>
      </c>
      <c r="F91" t="s">
        <v>19</v>
      </c>
      <c r="G91" t="s">
        <v>20</v>
      </c>
      <c r="H91" t="s">
        <v>21</v>
      </c>
      <c r="I91" t="s">
        <v>24</v>
      </c>
      <c r="J91" t="s">
        <v>23</v>
      </c>
      <c r="K91">
        <v>554</v>
      </c>
      <c r="L91">
        <v>12.8509964</v>
      </c>
      <c r="M91">
        <v>71.257630312092289</v>
      </c>
      <c r="N91">
        <v>-0.53955683577826374</v>
      </c>
      <c r="O91" s="1" t="str">
        <f>HYPERLINK(".\sm_car_250414_0011\sm_car_250414_0011_090_Ca008TrN_MaLSS_ode23t_1.png","figure")</f>
        <v>figure</v>
      </c>
      <c r="P91" t="s">
        <v>15</v>
      </c>
    </row>
    <row r="92" spans="1:16" x14ac:dyDescent="0.25">
      <c r="A92">
        <v>91</v>
      </c>
      <c r="B92">
        <v>9</v>
      </c>
      <c r="C92" t="s">
        <v>16</v>
      </c>
      <c r="D92" t="s">
        <v>17</v>
      </c>
      <c r="E92" t="s">
        <v>49</v>
      </c>
      <c r="F92" t="s">
        <v>19</v>
      </c>
      <c r="G92" t="s">
        <v>25</v>
      </c>
      <c r="H92" t="s">
        <v>21</v>
      </c>
      <c r="I92" t="s">
        <v>22</v>
      </c>
      <c r="J92" t="s">
        <v>23</v>
      </c>
      <c r="K92">
        <v>382</v>
      </c>
      <c r="L92">
        <v>12.022577699999999</v>
      </c>
      <c r="M92">
        <v>230.33868824406113</v>
      </c>
      <c r="N92">
        <v>-1.2107781374944079E-2</v>
      </c>
      <c r="O92" s="1" t="str">
        <f>HYPERLINK(".\sm_car_250414_0011\sm_car_250414_0011_091_Ca009TrN_MaWOT_ode23t_1.png","figure")</f>
        <v>figure</v>
      </c>
      <c r="P92" t="s">
        <v>15</v>
      </c>
    </row>
    <row r="93" spans="1:16" x14ac:dyDescent="0.25">
      <c r="A93">
        <v>92</v>
      </c>
      <c r="B93">
        <v>9</v>
      </c>
      <c r="C93" t="s">
        <v>16</v>
      </c>
      <c r="D93" t="s">
        <v>17</v>
      </c>
      <c r="E93" t="s">
        <v>49</v>
      </c>
      <c r="F93" t="s">
        <v>19</v>
      </c>
      <c r="G93" t="s">
        <v>25</v>
      </c>
      <c r="H93" t="s">
        <v>21</v>
      </c>
      <c r="I93" t="s">
        <v>24</v>
      </c>
      <c r="J93" t="s">
        <v>23</v>
      </c>
      <c r="K93">
        <v>548</v>
      </c>
      <c r="L93">
        <v>14.4023033</v>
      </c>
      <c r="M93">
        <v>70.965177262667936</v>
      </c>
      <c r="N93">
        <v>-0.53270421091054143</v>
      </c>
      <c r="O93" s="1" t="str">
        <f>HYPERLINK(".\sm_car_250414_0011\sm_car_250414_0011_092_Ca009TrN_MaLSS_ode23t_1.png","figure")</f>
        <v>figure</v>
      </c>
      <c r="P93" t="s">
        <v>15</v>
      </c>
    </row>
    <row r="94" spans="1:16" x14ac:dyDescent="0.25">
      <c r="A94">
        <v>93</v>
      </c>
      <c r="B94">
        <v>10</v>
      </c>
      <c r="C94" t="s">
        <v>16</v>
      </c>
      <c r="D94" t="s">
        <v>17</v>
      </c>
      <c r="E94" t="s">
        <v>49</v>
      </c>
      <c r="F94" t="s">
        <v>19</v>
      </c>
      <c r="G94" t="s">
        <v>26</v>
      </c>
      <c r="H94" t="s">
        <v>21</v>
      </c>
      <c r="I94" t="s">
        <v>22</v>
      </c>
      <c r="J94" t="s">
        <v>23</v>
      </c>
      <c r="K94">
        <v>425</v>
      </c>
      <c r="L94">
        <v>14.1311395</v>
      </c>
      <c r="M94">
        <v>230.41888936037159</v>
      </c>
      <c r="N94">
        <v>4.9632059772117064E-2</v>
      </c>
      <c r="O94" s="1" t="str">
        <f>HYPERLINK(".\sm_car_250414_0011\sm_car_250414_0011_093_Ca010TrN_MaWOT_ode23t_1.png","figure")</f>
        <v>figure</v>
      </c>
      <c r="P94" t="s">
        <v>15</v>
      </c>
    </row>
    <row r="95" spans="1:16" x14ac:dyDescent="0.25">
      <c r="A95">
        <v>94</v>
      </c>
      <c r="B95">
        <v>10</v>
      </c>
      <c r="C95" t="s">
        <v>16</v>
      </c>
      <c r="D95" t="s">
        <v>17</v>
      </c>
      <c r="E95" t="s">
        <v>49</v>
      </c>
      <c r="F95" t="s">
        <v>19</v>
      </c>
      <c r="G95" t="s">
        <v>26</v>
      </c>
      <c r="H95" t="s">
        <v>21</v>
      </c>
      <c r="I95" t="s">
        <v>24</v>
      </c>
      <c r="J95" t="s">
        <v>23</v>
      </c>
      <c r="K95">
        <v>551</v>
      </c>
      <c r="L95">
        <v>16.6629805</v>
      </c>
      <c r="M95">
        <v>70.977437023713605</v>
      </c>
      <c r="N95">
        <v>-0.52919072984599858</v>
      </c>
      <c r="O95" s="1" t="str">
        <f>HYPERLINK(".\sm_car_250414_0011\sm_car_250414_0011_094_Ca010TrN_MaLSS_ode23t_1.png","figure")</f>
        <v>figure</v>
      </c>
      <c r="P95" t="s">
        <v>15</v>
      </c>
    </row>
    <row r="96" spans="1:16" x14ac:dyDescent="0.25">
      <c r="A96">
        <v>95</v>
      </c>
      <c r="B96">
        <v>11</v>
      </c>
      <c r="C96" t="s">
        <v>16</v>
      </c>
      <c r="D96" t="s">
        <v>17</v>
      </c>
      <c r="E96" t="s">
        <v>49</v>
      </c>
      <c r="F96" t="s">
        <v>19</v>
      </c>
      <c r="G96" t="s">
        <v>27</v>
      </c>
      <c r="H96" t="s">
        <v>21</v>
      </c>
      <c r="I96" t="s">
        <v>22</v>
      </c>
      <c r="J96" t="s">
        <v>23</v>
      </c>
      <c r="K96">
        <v>444</v>
      </c>
      <c r="L96">
        <v>14.2523052</v>
      </c>
      <c r="M96">
        <v>229.86390500032655</v>
      </c>
      <c r="N96">
        <v>5.7272038272725277E-2</v>
      </c>
      <c r="O96" s="1" t="str">
        <f>HYPERLINK(".\sm_car_250414_0011\sm_car_250414_0011_095_Ca011TrN_MaWOT_ode23t_1.png","figure")</f>
        <v>figure</v>
      </c>
      <c r="P96" t="s">
        <v>15</v>
      </c>
    </row>
    <row r="97" spans="1:16" x14ac:dyDescent="0.25">
      <c r="A97">
        <v>96</v>
      </c>
      <c r="B97">
        <v>11</v>
      </c>
      <c r="C97" t="s">
        <v>16</v>
      </c>
      <c r="D97" t="s">
        <v>17</v>
      </c>
      <c r="E97" t="s">
        <v>49</v>
      </c>
      <c r="F97" t="s">
        <v>19</v>
      </c>
      <c r="G97" t="s">
        <v>27</v>
      </c>
      <c r="H97" t="s">
        <v>21</v>
      </c>
      <c r="I97" t="s">
        <v>24</v>
      </c>
      <c r="J97" t="s">
        <v>23</v>
      </c>
      <c r="K97">
        <v>587</v>
      </c>
      <c r="L97">
        <v>17.007490300000001</v>
      </c>
      <c r="M97">
        <v>70.838049113767823</v>
      </c>
      <c r="N97">
        <v>-0.52653213111473296</v>
      </c>
      <c r="O97" s="1" t="str">
        <f>HYPERLINK(".\sm_car_250414_0011\sm_car_250414_0011_096_Ca011TrN_MaLSS_ode23t_1.png","figure")</f>
        <v>figure</v>
      </c>
      <c r="P97" t="s">
        <v>15</v>
      </c>
    </row>
    <row r="98" spans="1:16" x14ac:dyDescent="0.25">
      <c r="A98">
        <v>97</v>
      </c>
      <c r="B98">
        <v>12</v>
      </c>
      <c r="C98" t="s">
        <v>16</v>
      </c>
      <c r="D98" t="s">
        <v>17</v>
      </c>
      <c r="E98" t="s">
        <v>49</v>
      </c>
      <c r="F98" t="s">
        <v>28</v>
      </c>
      <c r="G98" t="s">
        <v>20</v>
      </c>
      <c r="H98" t="s">
        <v>21</v>
      </c>
      <c r="I98" t="s">
        <v>22</v>
      </c>
      <c r="J98" t="s">
        <v>23</v>
      </c>
      <c r="K98">
        <v>837</v>
      </c>
      <c r="L98">
        <v>11.4748003</v>
      </c>
      <c r="M98">
        <v>231.18597742140417</v>
      </c>
      <c r="N98">
        <v>-3.5116876966365643E-3</v>
      </c>
      <c r="O98" s="1" t="str">
        <f>HYPERLINK(".\sm_car_250414_0011\sm_car_250414_0011_097_Ca012TrN_MaWOT_ode23t_1.png","figure")</f>
        <v>figure</v>
      </c>
      <c r="P98" t="s">
        <v>15</v>
      </c>
    </row>
    <row r="99" spans="1:16" x14ac:dyDescent="0.25">
      <c r="A99">
        <v>98</v>
      </c>
      <c r="B99">
        <v>12</v>
      </c>
      <c r="C99" t="s">
        <v>16</v>
      </c>
      <c r="D99" t="s">
        <v>17</v>
      </c>
      <c r="E99" t="s">
        <v>49</v>
      </c>
      <c r="F99" t="s">
        <v>28</v>
      </c>
      <c r="G99" t="s">
        <v>20</v>
      </c>
      <c r="H99" t="s">
        <v>21</v>
      </c>
      <c r="I99" t="s">
        <v>24</v>
      </c>
      <c r="J99" t="s">
        <v>23</v>
      </c>
      <c r="K99">
        <v>980</v>
      </c>
      <c r="L99">
        <v>12.988921299999999</v>
      </c>
      <c r="M99">
        <v>71.260563019160614</v>
      </c>
      <c r="N99">
        <v>-0.54327340359846699</v>
      </c>
      <c r="O99" s="1" t="str">
        <f>HYPERLINK(".\sm_car_250414_0011\sm_car_250414_0011_098_Ca012TrN_MaLSS_ode23t_1.png","figure")</f>
        <v>figure</v>
      </c>
      <c r="P99" t="s">
        <v>15</v>
      </c>
    </row>
    <row r="100" spans="1:16" x14ac:dyDescent="0.25">
      <c r="A100">
        <v>99</v>
      </c>
      <c r="B100">
        <v>13</v>
      </c>
      <c r="C100" t="s">
        <v>16</v>
      </c>
      <c r="D100" t="s">
        <v>17</v>
      </c>
      <c r="E100" t="s">
        <v>49</v>
      </c>
      <c r="F100" t="s">
        <v>28</v>
      </c>
      <c r="G100" t="s">
        <v>25</v>
      </c>
      <c r="H100" t="s">
        <v>21</v>
      </c>
      <c r="I100" t="s">
        <v>22</v>
      </c>
      <c r="J100" t="s">
        <v>23</v>
      </c>
      <c r="K100">
        <v>859</v>
      </c>
      <c r="L100">
        <v>13.562331500000001</v>
      </c>
      <c r="M100">
        <v>230.35823571679632</v>
      </c>
      <c r="N100">
        <v>-1.1586795793914181E-2</v>
      </c>
      <c r="O100" s="1" t="str">
        <f>HYPERLINK(".\sm_car_250414_0011\sm_car_250414_0011_099_Ca013TrN_MaWOT_ode23t_1.png","figure")</f>
        <v>figure</v>
      </c>
      <c r="P100" t="s">
        <v>15</v>
      </c>
    </row>
    <row r="101" spans="1:16" x14ac:dyDescent="0.25">
      <c r="A101">
        <v>100</v>
      </c>
      <c r="B101">
        <v>13</v>
      </c>
      <c r="C101" t="s">
        <v>16</v>
      </c>
      <c r="D101" t="s">
        <v>17</v>
      </c>
      <c r="E101" t="s">
        <v>49</v>
      </c>
      <c r="F101" t="s">
        <v>28</v>
      </c>
      <c r="G101" t="s">
        <v>25</v>
      </c>
      <c r="H101" t="s">
        <v>21</v>
      </c>
      <c r="I101" t="s">
        <v>24</v>
      </c>
      <c r="J101" t="s">
        <v>23</v>
      </c>
      <c r="K101">
        <v>1014</v>
      </c>
      <c r="L101">
        <v>15.8697192</v>
      </c>
      <c r="M101">
        <v>70.959730141143126</v>
      </c>
      <c r="N101">
        <v>-0.53935585743166425</v>
      </c>
      <c r="O101" s="1" t="str">
        <f>HYPERLINK(".\sm_car_250414_0011\sm_car_250414_0011_100_Ca013TrN_MaLSS_ode23t_1.png","figure")</f>
        <v>figure</v>
      </c>
      <c r="P101" t="s">
        <v>15</v>
      </c>
    </row>
    <row r="102" spans="1:16" x14ac:dyDescent="0.25">
      <c r="A102">
        <v>101</v>
      </c>
      <c r="B102">
        <v>14</v>
      </c>
      <c r="C102" t="s">
        <v>16</v>
      </c>
      <c r="D102" t="s">
        <v>17</v>
      </c>
      <c r="E102" t="s">
        <v>49</v>
      </c>
      <c r="F102" t="s">
        <v>28</v>
      </c>
      <c r="G102" t="s">
        <v>26</v>
      </c>
      <c r="H102" t="s">
        <v>21</v>
      </c>
      <c r="I102" t="s">
        <v>22</v>
      </c>
      <c r="J102" t="s">
        <v>23</v>
      </c>
      <c r="K102">
        <v>891</v>
      </c>
      <c r="L102">
        <v>12.935928499999999</v>
      </c>
      <c r="M102">
        <v>230.3781041752471</v>
      </c>
      <c r="N102">
        <v>5.4110448824199145E-2</v>
      </c>
      <c r="O102" s="1" t="str">
        <f>HYPERLINK(".\sm_car_250414_0011\sm_car_250414_0011_101_Ca014TrN_MaWOT_ode23t_1.png","figure")</f>
        <v>figure</v>
      </c>
      <c r="P102" t="s">
        <v>15</v>
      </c>
    </row>
    <row r="103" spans="1:16" x14ac:dyDescent="0.25">
      <c r="A103">
        <v>102</v>
      </c>
      <c r="B103">
        <v>14</v>
      </c>
      <c r="C103" t="s">
        <v>16</v>
      </c>
      <c r="D103" t="s">
        <v>17</v>
      </c>
      <c r="E103" t="s">
        <v>49</v>
      </c>
      <c r="F103" t="s">
        <v>28</v>
      </c>
      <c r="G103" t="s">
        <v>26</v>
      </c>
      <c r="H103" t="s">
        <v>21</v>
      </c>
      <c r="I103" t="s">
        <v>24</v>
      </c>
      <c r="J103" t="s">
        <v>23</v>
      </c>
      <c r="K103">
        <v>1015</v>
      </c>
      <c r="L103">
        <v>15.745938199999999</v>
      </c>
      <c r="M103">
        <v>70.971210443177469</v>
      </c>
      <c r="N103">
        <v>-0.53402143086552167</v>
      </c>
      <c r="O103" s="1" t="str">
        <f>HYPERLINK(".\sm_car_250414_0011\sm_car_250414_0011_102_Ca014TrN_MaLSS_ode23t_1.png","figure")</f>
        <v>figure</v>
      </c>
      <c r="P103" t="s">
        <v>15</v>
      </c>
    </row>
    <row r="104" spans="1:16" x14ac:dyDescent="0.25">
      <c r="A104">
        <v>103</v>
      </c>
      <c r="B104">
        <v>15</v>
      </c>
      <c r="C104" t="s">
        <v>16</v>
      </c>
      <c r="D104" t="s">
        <v>17</v>
      </c>
      <c r="E104" t="s">
        <v>49</v>
      </c>
      <c r="F104" t="s">
        <v>28</v>
      </c>
      <c r="G104" t="s">
        <v>27</v>
      </c>
      <c r="H104" t="s">
        <v>21</v>
      </c>
      <c r="I104" t="s">
        <v>22</v>
      </c>
      <c r="J104" t="s">
        <v>23</v>
      </c>
      <c r="K104">
        <v>898</v>
      </c>
      <c r="L104">
        <v>14.911013499999999</v>
      </c>
      <c r="M104">
        <v>229.7165647795793</v>
      </c>
      <c r="N104">
        <v>5.2712327109210637E-2</v>
      </c>
      <c r="O104" s="1" t="str">
        <f>HYPERLINK(".\sm_car_250414_0011\sm_car_250414_0011_103_Ca015TrN_MaWOT_ode23t_1.png","figure")</f>
        <v>figure</v>
      </c>
      <c r="P104" t="s">
        <v>15</v>
      </c>
    </row>
    <row r="105" spans="1:16" x14ac:dyDescent="0.25">
      <c r="A105">
        <v>104</v>
      </c>
      <c r="B105">
        <v>15</v>
      </c>
      <c r="C105" t="s">
        <v>16</v>
      </c>
      <c r="D105" t="s">
        <v>17</v>
      </c>
      <c r="E105" t="s">
        <v>49</v>
      </c>
      <c r="F105" t="s">
        <v>28</v>
      </c>
      <c r="G105" t="s">
        <v>27</v>
      </c>
      <c r="H105" t="s">
        <v>21</v>
      </c>
      <c r="I105" t="s">
        <v>24</v>
      </c>
      <c r="J105" t="s">
        <v>23</v>
      </c>
      <c r="K105">
        <v>1033</v>
      </c>
      <c r="L105">
        <v>17.1756341</v>
      </c>
      <c r="M105">
        <v>70.835243950910495</v>
      </c>
      <c r="N105">
        <v>-0.53295173658706307</v>
      </c>
      <c r="O105" s="1" t="str">
        <f>HYPERLINK(".\sm_car_250414_0011\sm_car_250414_0011_104_Ca015TrN_MaLSS_ode23t_1.png","figure")</f>
        <v>figure</v>
      </c>
      <c r="P105" t="s">
        <v>15</v>
      </c>
    </row>
    <row r="106" spans="1:16" x14ac:dyDescent="0.25">
      <c r="A106">
        <v>105</v>
      </c>
      <c r="B106">
        <v>120</v>
      </c>
      <c r="C106" t="s">
        <v>16</v>
      </c>
      <c r="D106" t="s">
        <v>35</v>
      </c>
      <c r="E106" t="s">
        <v>49</v>
      </c>
      <c r="F106" t="s">
        <v>19</v>
      </c>
      <c r="G106" t="s">
        <v>20</v>
      </c>
      <c r="H106" t="s">
        <v>21</v>
      </c>
      <c r="I106" t="s">
        <v>22</v>
      </c>
      <c r="J106" t="s">
        <v>23</v>
      </c>
      <c r="K106">
        <v>397</v>
      </c>
      <c r="L106">
        <v>3.5075946999999998</v>
      </c>
      <c r="M106">
        <v>242.58916330408013</v>
      </c>
      <c r="N106">
        <v>0.23206014586347745</v>
      </c>
      <c r="O106" s="1" t="str">
        <f>HYPERLINK(".\sm_car_250414_0011\sm_car_250414_0011_105_Ca120TrN_MaWOT_ode23t_1.png","figure")</f>
        <v>figure</v>
      </c>
      <c r="P106" t="s">
        <v>15</v>
      </c>
    </row>
    <row r="107" spans="1:16" x14ac:dyDescent="0.25">
      <c r="A107">
        <v>106</v>
      </c>
      <c r="B107">
        <v>120</v>
      </c>
      <c r="C107" t="s">
        <v>16</v>
      </c>
      <c r="D107" t="s">
        <v>35</v>
      </c>
      <c r="E107" t="s">
        <v>49</v>
      </c>
      <c r="F107" t="s">
        <v>19</v>
      </c>
      <c r="G107" t="s">
        <v>20</v>
      </c>
      <c r="H107" t="s">
        <v>21</v>
      </c>
      <c r="I107" t="s">
        <v>24</v>
      </c>
      <c r="J107" t="s">
        <v>23</v>
      </c>
      <c r="K107">
        <v>529</v>
      </c>
      <c r="L107">
        <v>4.0648967999999996</v>
      </c>
      <c r="M107">
        <v>74.667522578058751</v>
      </c>
      <c r="N107">
        <v>-0.33829686602551789</v>
      </c>
      <c r="O107" s="1" t="str">
        <f>HYPERLINK(".\sm_car_250414_0011\sm_car_250414_0011_106_Ca120TrN_MaLSS_ode23t_1.png","figure")</f>
        <v>figure</v>
      </c>
      <c r="P107" t="s">
        <v>15</v>
      </c>
    </row>
    <row r="108" spans="1:16" x14ac:dyDescent="0.25">
      <c r="A108">
        <v>107</v>
      </c>
      <c r="B108">
        <v>121</v>
      </c>
      <c r="C108" t="s">
        <v>16</v>
      </c>
      <c r="D108" t="s">
        <v>35</v>
      </c>
      <c r="E108" t="s">
        <v>49</v>
      </c>
      <c r="F108" t="s">
        <v>19</v>
      </c>
      <c r="G108" t="s">
        <v>25</v>
      </c>
      <c r="H108" t="s">
        <v>21</v>
      </c>
      <c r="I108" t="s">
        <v>22</v>
      </c>
      <c r="J108" t="s">
        <v>23</v>
      </c>
      <c r="K108">
        <v>417</v>
      </c>
      <c r="L108">
        <v>4.2412304000000001</v>
      </c>
      <c r="M108">
        <v>241.60741085969988</v>
      </c>
      <c r="N108">
        <v>0.22878587363230826</v>
      </c>
      <c r="O108" s="1" t="str">
        <f>HYPERLINK(".\sm_car_250414_0011\sm_car_250414_0011_107_Ca121TrN_MaWOT_ode23t_1.png","figure")</f>
        <v>figure</v>
      </c>
      <c r="P108" t="s">
        <v>15</v>
      </c>
    </row>
    <row r="109" spans="1:16" x14ac:dyDescent="0.25">
      <c r="A109">
        <v>108</v>
      </c>
      <c r="B109">
        <v>121</v>
      </c>
      <c r="C109" t="s">
        <v>16</v>
      </c>
      <c r="D109" t="s">
        <v>35</v>
      </c>
      <c r="E109" t="s">
        <v>49</v>
      </c>
      <c r="F109" t="s">
        <v>19</v>
      </c>
      <c r="G109" t="s">
        <v>25</v>
      </c>
      <c r="H109" t="s">
        <v>21</v>
      </c>
      <c r="I109" t="s">
        <v>24</v>
      </c>
      <c r="J109" t="s">
        <v>23</v>
      </c>
      <c r="K109">
        <v>523</v>
      </c>
      <c r="L109">
        <v>4.6612140000000002</v>
      </c>
      <c r="M109">
        <v>74.353921825258993</v>
      </c>
      <c r="N109">
        <v>-0.33070304458677108</v>
      </c>
      <c r="O109" s="1" t="str">
        <f>HYPERLINK(".\sm_car_250414_0011\sm_car_250414_0011_108_Ca121TrN_MaLSS_ode23t_1.png","figure")</f>
        <v>figure</v>
      </c>
      <c r="P109" t="s">
        <v>15</v>
      </c>
    </row>
    <row r="110" spans="1:16" x14ac:dyDescent="0.25">
      <c r="A110">
        <v>109</v>
      </c>
      <c r="B110">
        <v>122</v>
      </c>
      <c r="C110" t="s">
        <v>16</v>
      </c>
      <c r="D110" t="s">
        <v>35</v>
      </c>
      <c r="E110" t="s">
        <v>49</v>
      </c>
      <c r="F110" t="s">
        <v>19</v>
      </c>
      <c r="G110" t="s">
        <v>26</v>
      </c>
      <c r="H110" t="s">
        <v>21</v>
      </c>
      <c r="I110" t="s">
        <v>22</v>
      </c>
      <c r="J110" t="s">
        <v>23</v>
      </c>
      <c r="K110">
        <v>410</v>
      </c>
      <c r="L110">
        <v>4.4932419000000001</v>
      </c>
      <c r="M110">
        <v>241.76119282571437</v>
      </c>
      <c r="N110">
        <v>0.22874437654766658</v>
      </c>
      <c r="O110" s="1" t="str">
        <f>HYPERLINK(".\sm_car_250414_0011\sm_car_250414_0011_109_Ca122TrN_MaWOT_ode23t_1.png","figure")</f>
        <v>figure</v>
      </c>
      <c r="P110" t="s">
        <v>15</v>
      </c>
    </row>
    <row r="111" spans="1:16" x14ac:dyDescent="0.25">
      <c r="A111">
        <v>110</v>
      </c>
      <c r="B111">
        <v>122</v>
      </c>
      <c r="C111" t="s">
        <v>16</v>
      </c>
      <c r="D111" t="s">
        <v>35</v>
      </c>
      <c r="E111" t="s">
        <v>49</v>
      </c>
      <c r="F111" t="s">
        <v>19</v>
      </c>
      <c r="G111" t="s">
        <v>26</v>
      </c>
      <c r="H111" t="s">
        <v>21</v>
      </c>
      <c r="I111" t="s">
        <v>24</v>
      </c>
      <c r="J111" t="s">
        <v>23</v>
      </c>
      <c r="K111">
        <v>521</v>
      </c>
      <c r="L111">
        <v>5.0866851999999998</v>
      </c>
      <c r="M111">
        <v>74.381253522717486</v>
      </c>
      <c r="N111">
        <v>-0.33361693210839788</v>
      </c>
      <c r="O111" s="1" t="str">
        <f>HYPERLINK(".\sm_car_250414_0011\sm_car_250414_0011_110_Ca122TrN_MaLSS_ode23t_1.png","figure")</f>
        <v>figure</v>
      </c>
      <c r="P111" t="s">
        <v>15</v>
      </c>
    </row>
    <row r="112" spans="1:16" x14ac:dyDescent="0.25">
      <c r="A112">
        <v>111</v>
      </c>
      <c r="B112">
        <v>123</v>
      </c>
      <c r="C112" t="s">
        <v>16</v>
      </c>
      <c r="D112" t="s">
        <v>35</v>
      </c>
      <c r="E112" t="s">
        <v>49</v>
      </c>
      <c r="F112" t="s">
        <v>19</v>
      </c>
      <c r="G112" t="s">
        <v>27</v>
      </c>
      <c r="H112" t="s">
        <v>21</v>
      </c>
      <c r="I112" t="s">
        <v>22</v>
      </c>
      <c r="J112" t="s">
        <v>23</v>
      </c>
      <c r="K112">
        <v>425</v>
      </c>
      <c r="L112">
        <v>4.7929206999999998</v>
      </c>
      <c r="M112">
        <v>241.18194667788654</v>
      </c>
      <c r="N112">
        <v>0.22487927023399082</v>
      </c>
      <c r="O112" s="1" t="str">
        <f>HYPERLINK(".\sm_car_250414_0011\sm_car_250414_0011_111_Ca123TrN_MaWOT_ode23t_1.png","figure")</f>
        <v>figure</v>
      </c>
      <c r="P112" t="s">
        <v>15</v>
      </c>
    </row>
    <row r="113" spans="1:16" x14ac:dyDescent="0.25">
      <c r="A113">
        <v>112</v>
      </c>
      <c r="B113">
        <v>123</v>
      </c>
      <c r="C113" t="s">
        <v>16</v>
      </c>
      <c r="D113" t="s">
        <v>35</v>
      </c>
      <c r="E113" t="s">
        <v>49</v>
      </c>
      <c r="F113" t="s">
        <v>19</v>
      </c>
      <c r="G113" t="s">
        <v>27</v>
      </c>
      <c r="H113" t="s">
        <v>21</v>
      </c>
      <c r="I113" t="s">
        <v>24</v>
      </c>
      <c r="J113" t="s">
        <v>23</v>
      </c>
      <c r="K113">
        <v>560</v>
      </c>
      <c r="L113">
        <v>5.1450870999999996</v>
      </c>
      <c r="M113">
        <v>74.215296424839366</v>
      </c>
      <c r="N113">
        <v>-0.32770429086011821</v>
      </c>
      <c r="O113" s="1" t="str">
        <f>HYPERLINK(".\sm_car_250414_0011\sm_car_250414_0011_112_Ca123TrN_MaLSS_ode23t_1.png","figure")</f>
        <v>figure</v>
      </c>
      <c r="P113" t="s">
        <v>15</v>
      </c>
    </row>
    <row r="114" spans="1:16" x14ac:dyDescent="0.25">
      <c r="A114">
        <v>113</v>
      </c>
      <c r="B114">
        <v>124</v>
      </c>
      <c r="C114" t="s">
        <v>16</v>
      </c>
      <c r="D114" t="s">
        <v>35</v>
      </c>
      <c r="E114" t="s">
        <v>49</v>
      </c>
      <c r="F114" t="s">
        <v>28</v>
      </c>
      <c r="G114" t="s">
        <v>20</v>
      </c>
      <c r="H114" t="s">
        <v>21</v>
      </c>
      <c r="I114" t="s">
        <v>22</v>
      </c>
      <c r="J114" t="s">
        <v>23</v>
      </c>
      <c r="K114">
        <v>1019</v>
      </c>
      <c r="L114">
        <v>4.7810756000000003</v>
      </c>
      <c r="M114">
        <v>242.55761770957645</v>
      </c>
      <c r="N114">
        <v>0.23285190190480581</v>
      </c>
      <c r="O114" s="1" t="str">
        <f>HYPERLINK(".\sm_car_250414_0011\sm_car_250414_0011_113_Ca124TrN_MaWOT_ode23t_1.png","figure")</f>
        <v>figure</v>
      </c>
      <c r="P114" t="s">
        <v>15</v>
      </c>
    </row>
    <row r="115" spans="1:16" x14ac:dyDescent="0.25">
      <c r="A115">
        <v>114</v>
      </c>
      <c r="B115">
        <v>124</v>
      </c>
      <c r="C115" t="s">
        <v>16</v>
      </c>
      <c r="D115" t="s">
        <v>35</v>
      </c>
      <c r="E115" t="s">
        <v>49</v>
      </c>
      <c r="F115" t="s">
        <v>28</v>
      </c>
      <c r="G115" t="s">
        <v>20</v>
      </c>
      <c r="H115" t="s">
        <v>21</v>
      </c>
      <c r="I115" t="s">
        <v>24</v>
      </c>
      <c r="J115" t="s">
        <v>23</v>
      </c>
      <c r="K115">
        <v>1116</v>
      </c>
      <c r="L115">
        <v>5.2678320000000003</v>
      </c>
      <c r="M115">
        <v>74.661122266702876</v>
      </c>
      <c r="N115">
        <v>-0.3413753623276084</v>
      </c>
      <c r="O115" s="1" t="str">
        <f>HYPERLINK(".\sm_car_250414_0011\sm_car_250414_0011_114_Ca124TrN_MaLSS_ode23t_1.png","figure")</f>
        <v>figure</v>
      </c>
      <c r="P115" t="s">
        <v>15</v>
      </c>
    </row>
    <row r="116" spans="1:16" x14ac:dyDescent="0.25">
      <c r="A116">
        <v>115</v>
      </c>
      <c r="B116">
        <v>125</v>
      </c>
      <c r="C116" t="s">
        <v>16</v>
      </c>
      <c r="D116" t="s">
        <v>35</v>
      </c>
      <c r="E116" t="s">
        <v>49</v>
      </c>
      <c r="F116" t="s">
        <v>28</v>
      </c>
      <c r="G116" t="s">
        <v>25</v>
      </c>
      <c r="H116" t="s">
        <v>21</v>
      </c>
      <c r="I116" t="s">
        <v>22</v>
      </c>
      <c r="J116" t="s">
        <v>23</v>
      </c>
      <c r="K116">
        <v>1009</v>
      </c>
      <c r="L116">
        <v>5.3674010000000001</v>
      </c>
      <c r="M116">
        <v>241.53723269481665</v>
      </c>
      <c r="N116">
        <v>0.22946462818848451</v>
      </c>
      <c r="O116" s="1" t="str">
        <f>HYPERLINK(".\sm_car_250414_0011\sm_car_250414_0011_115_Ca125TrN_MaWOT_ode23t_1.png","figure")</f>
        <v>figure</v>
      </c>
      <c r="P116" t="s">
        <v>15</v>
      </c>
    </row>
    <row r="117" spans="1:16" x14ac:dyDescent="0.25">
      <c r="A117">
        <v>116</v>
      </c>
      <c r="B117">
        <v>125</v>
      </c>
      <c r="C117" t="s">
        <v>16</v>
      </c>
      <c r="D117" t="s">
        <v>35</v>
      </c>
      <c r="E117" t="s">
        <v>49</v>
      </c>
      <c r="F117" t="s">
        <v>28</v>
      </c>
      <c r="G117" t="s">
        <v>25</v>
      </c>
      <c r="H117" t="s">
        <v>21</v>
      </c>
      <c r="I117" t="s">
        <v>24</v>
      </c>
      <c r="J117" t="s">
        <v>23</v>
      </c>
      <c r="K117">
        <v>1151</v>
      </c>
      <c r="L117">
        <v>6.1565712000000001</v>
      </c>
      <c r="M117">
        <v>74.345039840245605</v>
      </c>
      <c r="N117">
        <v>-0.33680972214980004</v>
      </c>
      <c r="O117" s="1" t="str">
        <f>HYPERLINK(".\sm_car_250414_0011\sm_car_250414_0011_116_Ca125TrN_MaLSS_ode23t_1.png","figure")</f>
        <v>figure</v>
      </c>
      <c r="P117" t="s">
        <v>15</v>
      </c>
    </row>
    <row r="118" spans="1:16" x14ac:dyDescent="0.25">
      <c r="A118">
        <v>117</v>
      </c>
      <c r="B118">
        <v>126</v>
      </c>
      <c r="C118" t="s">
        <v>16</v>
      </c>
      <c r="D118" t="s">
        <v>35</v>
      </c>
      <c r="E118" t="s">
        <v>49</v>
      </c>
      <c r="F118" t="s">
        <v>28</v>
      </c>
      <c r="G118" t="s">
        <v>26</v>
      </c>
      <c r="H118" t="s">
        <v>21</v>
      </c>
      <c r="I118" t="s">
        <v>22</v>
      </c>
      <c r="J118" t="s">
        <v>23</v>
      </c>
      <c r="K118">
        <v>1024</v>
      </c>
      <c r="L118">
        <v>5.772526</v>
      </c>
      <c r="M118">
        <v>241.64247262584826</v>
      </c>
      <c r="N118">
        <v>0.22964968965908028</v>
      </c>
      <c r="O118" s="1" t="str">
        <f>HYPERLINK(".\sm_car_250414_0011\sm_car_250414_0011_117_Ca126TrN_MaWOT_ode23t_1.png","figure")</f>
        <v>figure</v>
      </c>
      <c r="P118" t="s">
        <v>15</v>
      </c>
    </row>
    <row r="119" spans="1:16" x14ac:dyDescent="0.25">
      <c r="A119">
        <v>118</v>
      </c>
      <c r="B119">
        <v>126</v>
      </c>
      <c r="C119" t="s">
        <v>16</v>
      </c>
      <c r="D119" t="s">
        <v>35</v>
      </c>
      <c r="E119" t="s">
        <v>49</v>
      </c>
      <c r="F119" t="s">
        <v>28</v>
      </c>
      <c r="G119" t="s">
        <v>26</v>
      </c>
      <c r="H119" t="s">
        <v>21</v>
      </c>
      <c r="I119" t="s">
        <v>24</v>
      </c>
      <c r="J119" t="s">
        <v>23</v>
      </c>
      <c r="K119">
        <v>1159</v>
      </c>
      <c r="L119">
        <v>6.6718386000000001</v>
      </c>
      <c r="M119">
        <v>74.346368196446249</v>
      </c>
      <c r="N119">
        <v>-0.33727695669845154</v>
      </c>
      <c r="O119" s="1" t="str">
        <f>HYPERLINK(".\sm_car_250414_0011\sm_car_250414_0011_118_Ca126TrN_MaLSS_ode23t_1.png","figure")</f>
        <v>figure</v>
      </c>
      <c r="P119" t="s">
        <v>15</v>
      </c>
    </row>
    <row r="120" spans="1:16" x14ac:dyDescent="0.25">
      <c r="A120">
        <v>119</v>
      </c>
      <c r="B120">
        <v>127</v>
      </c>
      <c r="C120" t="s">
        <v>16</v>
      </c>
      <c r="D120" t="s">
        <v>35</v>
      </c>
      <c r="E120" t="s">
        <v>49</v>
      </c>
      <c r="F120" t="s">
        <v>28</v>
      </c>
      <c r="G120" t="s">
        <v>27</v>
      </c>
      <c r="H120" t="s">
        <v>21</v>
      </c>
      <c r="I120" t="s">
        <v>22</v>
      </c>
      <c r="J120" t="s">
        <v>23</v>
      </c>
      <c r="K120">
        <v>1047</v>
      </c>
      <c r="L120">
        <v>5.9016288000000001</v>
      </c>
      <c r="M120">
        <v>241.03473438480009</v>
      </c>
      <c r="N120">
        <v>0.22856563567516971</v>
      </c>
      <c r="O120" s="1" t="str">
        <f>HYPERLINK(".\sm_car_250414_0011\sm_car_250414_0011_119_Ca127TrN_MaWOT_ode23t_1.png","figure")</f>
        <v>figure</v>
      </c>
      <c r="P120" t="s">
        <v>15</v>
      </c>
    </row>
    <row r="121" spans="1:16" x14ac:dyDescent="0.25">
      <c r="A121">
        <v>120</v>
      </c>
      <c r="B121">
        <v>127</v>
      </c>
      <c r="C121" t="s">
        <v>16</v>
      </c>
      <c r="D121" t="s">
        <v>35</v>
      </c>
      <c r="E121" t="s">
        <v>49</v>
      </c>
      <c r="F121" t="s">
        <v>28</v>
      </c>
      <c r="G121" t="s">
        <v>27</v>
      </c>
      <c r="H121" t="s">
        <v>21</v>
      </c>
      <c r="I121" t="s">
        <v>24</v>
      </c>
      <c r="J121" t="s">
        <v>23</v>
      </c>
      <c r="K121">
        <v>1170</v>
      </c>
      <c r="L121">
        <v>6.6179059000000002</v>
      </c>
      <c r="M121">
        <v>74.196365408140423</v>
      </c>
      <c r="N121">
        <v>-0.33582772784436637</v>
      </c>
      <c r="O121" s="1" t="str">
        <f>HYPERLINK(".\sm_car_250414_0011\sm_car_250414_0011_120_Ca127TrN_MaLSS_ode23t_1.png","figure")</f>
        <v>figure</v>
      </c>
      <c r="P121" t="s">
        <v>15</v>
      </c>
    </row>
    <row r="122" spans="1:16" x14ac:dyDescent="0.25">
      <c r="A122">
        <v>121</v>
      </c>
      <c r="B122">
        <v>140</v>
      </c>
      <c r="C122" t="s">
        <v>45</v>
      </c>
      <c r="D122" t="s">
        <v>17</v>
      </c>
      <c r="E122" t="s">
        <v>49</v>
      </c>
      <c r="F122" t="s">
        <v>19</v>
      </c>
      <c r="G122" t="s">
        <v>26</v>
      </c>
      <c r="H122" t="s">
        <v>21</v>
      </c>
      <c r="I122" t="s">
        <v>22</v>
      </c>
      <c r="J122" t="s">
        <v>23</v>
      </c>
      <c r="K122">
        <v>672</v>
      </c>
      <c r="L122">
        <v>36.615473899999998</v>
      </c>
      <c r="M122">
        <v>404.93422845700292</v>
      </c>
      <c r="N122">
        <v>1.6175735739083137</v>
      </c>
      <c r="O122" s="1" t="str">
        <f>HYPERLINK(".\sm_car_250414_0011\sm_car_250414_0011_121_Ca140TrN_MaWOT_ode23t_1.png","figure")</f>
        <v>figure</v>
      </c>
      <c r="P122" t="s">
        <v>15</v>
      </c>
    </row>
    <row r="123" spans="1:16" x14ac:dyDescent="0.25">
      <c r="A123">
        <v>122</v>
      </c>
      <c r="B123">
        <v>140</v>
      </c>
      <c r="C123" t="s">
        <v>45</v>
      </c>
      <c r="D123" t="s">
        <v>17</v>
      </c>
      <c r="E123" t="s">
        <v>49</v>
      </c>
      <c r="F123" t="s">
        <v>19</v>
      </c>
      <c r="G123" t="s">
        <v>26</v>
      </c>
      <c r="H123" t="s">
        <v>21</v>
      </c>
      <c r="I123" t="s">
        <v>24</v>
      </c>
      <c r="J123" t="s">
        <v>23</v>
      </c>
      <c r="K123">
        <v>651</v>
      </c>
      <c r="L123">
        <v>23.379548</v>
      </c>
      <c r="M123">
        <v>154.34625986762211</v>
      </c>
      <c r="N123">
        <v>-0.58820110813416593</v>
      </c>
      <c r="O123" s="1" t="str">
        <f>HYPERLINK(".\sm_car_250414_0011\sm_car_250414_0011_122_Ca140TrN_MaLSS_ode23t_1.png","figure")</f>
        <v>figure</v>
      </c>
      <c r="P123" t="s">
        <v>15</v>
      </c>
    </row>
    <row r="124" spans="1:16" x14ac:dyDescent="0.25">
      <c r="A124">
        <v>123</v>
      </c>
      <c r="B124">
        <v>142</v>
      </c>
      <c r="C124" t="s">
        <v>45</v>
      </c>
      <c r="D124" t="s">
        <v>17</v>
      </c>
      <c r="E124" t="s">
        <v>49</v>
      </c>
      <c r="F124" t="s">
        <v>28</v>
      </c>
      <c r="G124" t="s">
        <v>26</v>
      </c>
      <c r="H124" t="s">
        <v>21</v>
      </c>
      <c r="I124" t="s">
        <v>22</v>
      </c>
      <c r="J124" t="s">
        <v>23</v>
      </c>
      <c r="K124">
        <v>1243</v>
      </c>
      <c r="L124">
        <v>36.963955900000002</v>
      </c>
      <c r="M124">
        <v>405.19843924440863</v>
      </c>
      <c r="N124">
        <v>1.6179317175479393</v>
      </c>
      <c r="O124" s="1" t="str">
        <f>HYPERLINK(".\sm_car_250414_0011\sm_car_250414_0011_123_Ca142TrN_MaWOT_ode23t_1.png","figure")</f>
        <v>figure</v>
      </c>
      <c r="P124" t="s">
        <v>15</v>
      </c>
    </row>
    <row r="125" spans="1:16" x14ac:dyDescent="0.25">
      <c r="A125">
        <v>124</v>
      </c>
      <c r="B125">
        <v>142</v>
      </c>
      <c r="C125" t="s">
        <v>45</v>
      </c>
      <c r="D125" t="s">
        <v>17</v>
      </c>
      <c r="E125" t="s">
        <v>49</v>
      </c>
      <c r="F125" t="s">
        <v>28</v>
      </c>
      <c r="G125" t="s">
        <v>26</v>
      </c>
      <c r="H125" t="s">
        <v>21</v>
      </c>
      <c r="I125" t="s">
        <v>24</v>
      </c>
      <c r="J125" t="s">
        <v>23</v>
      </c>
      <c r="K125">
        <v>1217</v>
      </c>
      <c r="L125">
        <v>23.952351199999999</v>
      </c>
      <c r="M125">
        <v>154.45698569797233</v>
      </c>
      <c r="N125">
        <v>-0.59079554966138748</v>
      </c>
      <c r="O125" s="1" t="str">
        <f>HYPERLINK(".\sm_car_250414_0011\sm_car_250414_0011_124_Ca142TrN_MaLSS_ode23t_1.png","figure")</f>
        <v>figure</v>
      </c>
      <c r="P125" t="s">
        <v>15</v>
      </c>
    </row>
    <row r="126" spans="1:16" x14ac:dyDescent="0.25">
      <c r="A126">
        <v>125</v>
      </c>
      <c r="B126">
        <v>145</v>
      </c>
      <c r="C126" t="s">
        <v>46</v>
      </c>
      <c r="D126" t="s">
        <v>17</v>
      </c>
      <c r="E126" t="s">
        <v>50</v>
      </c>
      <c r="F126" t="s">
        <v>19</v>
      </c>
      <c r="G126" t="s">
        <v>26</v>
      </c>
      <c r="H126" t="s">
        <v>21</v>
      </c>
      <c r="I126" t="s">
        <v>22</v>
      </c>
      <c r="J126" t="s">
        <v>23</v>
      </c>
      <c r="K126">
        <v>355</v>
      </c>
      <c r="L126">
        <v>14.3920239</v>
      </c>
      <c r="M126">
        <v>95.813270481123411</v>
      </c>
      <c r="N126">
        <v>-3.2905329643915557E-2</v>
      </c>
      <c r="O126" s="1" t="str">
        <f>HYPERLINK(".\sm_car_250414_0011\sm_car_250414_0011_125_Ca145TrN_MaWOT_ode23t_1.png","figure")</f>
        <v>figure</v>
      </c>
      <c r="P126" t="s">
        <v>15</v>
      </c>
    </row>
    <row r="127" spans="1:16" x14ac:dyDescent="0.25">
      <c r="A127">
        <v>126</v>
      </c>
      <c r="B127">
        <v>145</v>
      </c>
      <c r="C127" t="s">
        <v>46</v>
      </c>
      <c r="D127" t="s">
        <v>17</v>
      </c>
      <c r="E127" t="s">
        <v>50</v>
      </c>
      <c r="F127" t="s">
        <v>19</v>
      </c>
      <c r="G127" t="s">
        <v>26</v>
      </c>
      <c r="H127" t="s">
        <v>21</v>
      </c>
      <c r="I127" t="s">
        <v>24</v>
      </c>
      <c r="J127" t="s">
        <v>23</v>
      </c>
      <c r="K127">
        <v>440</v>
      </c>
      <c r="L127">
        <v>17.295790499999999</v>
      </c>
      <c r="M127">
        <v>25.011446616700042</v>
      </c>
      <c r="N127">
        <v>-4.935471578370388E-2</v>
      </c>
      <c r="O127" s="1" t="str">
        <f>HYPERLINK(".\sm_car_250414_0011\sm_car_250414_0011_126_Ca145TrN_MaLSS_ode23t_1.png","figure")</f>
        <v>figure</v>
      </c>
      <c r="P127" t="s">
        <v>15</v>
      </c>
    </row>
    <row r="128" spans="1:16" x14ac:dyDescent="0.25">
      <c r="A128">
        <v>127</v>
      </c>
      <c r="B128">
        <v>146</v>
      </c>
      <c r="C128" t="s">
        <v>46</v>
      </c>
      <c r="D128" t="s">
        <v>17</v>
      </c>
      <c r="E128" t="s">
        <v>49</v>
      </c>
      <c r="F128" t="s">
        <v>19</v>
      </c>
      <c r="G128" t="s">
        <v>26</v>
      </c>
      <c r="H128" t="s">
        <v>21</v>
      </c>
      <c r="I128" t="s">
        <v>22</v>
      </c>
      <c r="J128" t="s">
        <v>23</v>
      </c>
      <c r="K128">
        <v>331</v>
      </c>
      <c r="L128">
        <v>10.1887331</v>
      </c>
      <c r="M128">
        <v>113.97863618706485</v>
      </c>
      <c r="N128">
        <v>0.53219527101974229</v>
      </c>
      <c r="O128" s="1" t="str">
        <f>HYPERLINK(".\sm_car_250414_0011\sm_car_250414_0011_127_Ca146TrN_MaWOT_ode23t_1.png","figure")</f>
        <v>figure</v>
      </c>
      <c r="P128" t="s">
        <v>15</v>
      </c>
    </row>
    <row r="129" spans="1:16" x14ac:dyDescent="0.25">
      <c r="A129">
        <v>128</v>
      </c>
      <c r="B129">
        <v>146</v>
      </c>
      <c r="C129" t="s">
        <v>46</v>
      </c>
      <c r="D129" t="s">
        <v>17</v>
      </c>
      <c r="E129" t="s">
        <v>49</v>
      </c>
      <c r="F129" t="s">
        <v>19</v>
      </c>
      <c r="G129" t="s">
        <v>26</v>
      </c>
      <c r="H129" t="s">
        <v>21</v>
      </c>
      <c r="I129" t="s">
        <v>24</v>
      </c>
      <c r="J129" t="s">
        <v>23</v>
      </c>
      <c r="K129">
        <v>465</v>
      </c>
      <c r="L129">
        <v>12.813010999999999</v>
      </c>
      <c r="M129">
        <v>35.597980021977932</v>
      </c>
      <c r="N129">
        <v>-2.8393483347908331E-2</v>
      </c>
      <c r="O129" s="1" t="str">
        <f>HYPERLINK(".\sm_car_250414_0011\sm_car_250414_0011_128_Ca146TrN_MaLSS_ode23t_1.png","figure")</f>
        <v>figure</v>
      </c>
      <c r="P129" t="s">
        <v>15</v>
      </c>
    </row>
    <row r="130" spans="1:16" x14ac:dyDescent="0.25">
      <c r="A130">
        <v>129</v>
      </c>
      <c r="B130">
        <v>146</v>
      </c>
      <c r="C130" t="s">
        <v>46</v>
      </c>
      <c r="D130" t="s">
        <v>17</v>
      </c>
      <c r="E130" t="s">
        <v>49</v>
      </c>
      <c r="F130" t="s">
        <v>19</v>
      </c>
      <c r="G130" t="s">
        <v>26</v>
      </c>
      <c r="H130" t="s">
        <v>21</v>
      </c>
      <c r="I130" t="s">
        <v>22</v>
      </c>
      <c r="J130" t="s">
        <v>23</v>
      </c>
      <c r="K130">
        <v>331</v>
      </c>
      <c r="L130">
        <v>10.384262100000001</v>
      </c>
      <c r="M130">
        <v>113.97863618706485</v>
      </c>
      <c r="N130">
        <v>0.53219527101974229</v>
      </c>
      <c r="O130" s="1" t="str">
        <f>HYPERLINK(".\sm_car_250414_0011\sm_car_250414_0011_129_Ca146TrN_MaWOT_ode23t_1.png","figure")</f>
        <v>figure</v>
      </c>
      <c r="P130" t="s">
        <v>15</v>
      </c>
    </row>
    <row r="131" spans="1:16" x14ac:dyDescent="0.25">
      <c r="A131">
        <v>130</v>
      </c>
      <c r="B131">
        <v>146</v>
      </c>
      <c r="C131" t="s">
        <v>46</v>
      </c>
      <c r="D131" t="s">
        <v>17</v>
      </c>
      <c r="E131" t="s">
        <v>49</v>
      </c>
      <c r="F131" t="s">
        <v>19</v>
      </c>
      <c r="G131" t="s">
        <v>26</v>
      </c>
      <c r="H131" t="s">
        <v>21</v>
      </c>
      <c r="I131" t="s">
        <v>24</v>
      </c>
      <c r="J131" t="s">
        <v>23</v>
      </c>
      <c r="K131">
        <v>465</v>
      </c>
      <c r="L131">
        <v>12.8611279</v>
      </c>
      <c r="M131">
        <v>35.597980021977932</v>
      </c>
      <c r="N131">
        <v>-2.8393483347908331E-2</v>
      </c>
      <c r="O131" s="1" t="str">
        <f>HYPERLINK(".\sm_car_250414_0011\sm_car_250414_0011_130_Ca146TrN_MaLSS_ode23t_1.png","figure")</f>
        <v>figure</v>
      </c>
      <c r="P131" t="s">
        <v>15</v>
      </c>
    </row>
    <row r="132" spans="1:16" x14ac:dyDescent="0.25">
      <c r="A132">
        <v>131</v>
      </c>
      <c r="B132">
        <v>161</v>
      </c>
      <c r="C132" t="s">
        <v>45</v>
      </c>
      <c r="D132" t="s">
        <v>51</v>
      </c>
      <c r="E132" t="s">
        <v>49</v>
      </c>
      <c r="F132" t="s">
        <v>19</v>
      </c>
      <c r="G132" t="s">
        <v>26</v>
      </c>
      <c r="H132" t="s">
        <v>21</v>
      </c>
      <c r="I132" t="s">
        <v>22</v>
      </c>
      <c r="J132" t="s">
        <v>23</v>
      </c>
      <c r="K132">
        <v>586</v>
      </c>
      <c r="L132">
        <v>28.531461199999999</v>
      </c>
      <c r="M132">
        <v>179.77368251100341</v>
      </c>
      <c r="N132">
        <v>0.28585834454907955</v>
      </c>
      <c r="O132" s="1" t="str">
        <f>HYPERLINK(".\sm_car_250414_0011\sm_car_250414_0011_131_Ca161TrN_MaWOT_ode23t_1.png","figure")</f>
        <v>figure</v>
      </c>
      <c r="P132" t="s">
        <v>15</v>
      </c>
    </row>
    <row r="133" spans="1:16" x14ac:dyDescent="0.25">
      <c r="A133">
        <v>132</v>
      </c>
      <c r="B133">
        <v>161</v>
      </c>
      <c r="C133" t="s">
        <v>45</v>
      </c>
      <c r="D133" t="s">
        <v>51</v>
      </c>
      <c r="E133" t="s">
        <v>49</v>
      </c>
      <c r="F133" t="s">
        <v>19</v>
      </c>
      <c r="G133" t="s">
        <v>26</v>
      </c>
      <c r="H133" t="s">
        <v>21</v>
      </c>
      <c r="I133" t="s">
        <v>24</v>
      </c>
      <c r="J133" t="s">
        <v>23</v>
      </c>
      <c r="K133">
        <v>695</v>
      </c>
      <c r="L133">
        <v>30.652542100000002</v>
      </c>
      <c r="M133">
        <v>154.15270280725747</v>
      </c>
      <c r="N133">
        <v>-0.57873351397133865</v>
      </c>
      <c r="O133" s="1" t="str">
        <f>HYPERLINK(".\sm_car_250414_0011\sm_car_250414_0011_132_Ca161TrN_MaLSS_ode23t_1.png","figure")</f>
        <v>figure</v>
      </c>
      <c r="P133" t="s">
        <v>15</v>
      </c>
    </row>
    <row r="134" spans="1:16" x14ac:dyDescent="0.25">
      <c r="A134">
        <v>133</v>
      </c>
      <c r="B134">
        <v>163</v>
      </c>
      <c r="C134" t="s">
        <v>45</v>
      </c>
      <c r="D134" t="s">
        <v>52</v>
      </c>
      <c r="E134" t="s">
        <v>49</v>
      </c>
      <c r="F134" t="s">
        <v>19</v>
      </c>
      <c r="G134" t="s">
        <v>26</v>
      </c>
      <c r="H134" t="s">
        <v>21</v>
      </c>
      <c r="I134" t="s">
        <v>22</v>
      </c>
      <c r="J134" t="s">
        <v>23</v>
      </c>
      <c r="K134">
        <v>662</v>
      </c>
      <c r="L134">
        <v>35.471561399999999</v>
      </c>
      <c r="M134">
        <v>277.43997404278235</v>
      </c>
      <c r="N134">
        <v>0.71067065568857168</v>
      </c>
      <c r="O134" s="1" t="str">
        <f>HYPERLINK(".\sm_car_250414_0011\sm_car_250414_0011_133_Ca163TrN_MaWOT_ode23t_1.png","figure")</f>
        <v>figure</v>
      </c>
      <c r="P134" t="s">
        <v>15</v>
      </c>
    </row>
    <row r="135" spans="1:16" x14ac:dyDescent="0.25">
      <c r="A135">
        <v>134</v>
      </c>
      <c r="B135">
        <v>163</v>
      </c>
      <c r="C135" t="s">
        <v>45</v>
      </c>
      <c r="D135" t="s">
        <v>52</v>
      </c>
      <c r="E135" t="s">
        <v>49</v>
      </c>
      <c r="F135" t="s">
        <v>19</v>
      </c>
      <c r="G135" t="s">
        <v>26</v>
      </c>
      <c r="H135" t="s">
        <v>21</v>
      </c>
      <c r="I135" t="s">
        <v>24</v>
      </c>
      <c r="J135" t="s">
        <v>23</v>
      </c>
      <c r="K135">
        <v>803</v>
      </c>
      <c r="L135">
        <v>36.167068100000002</v>
      </c>
      <c r="M135">
        <v>256.38304883804221</v>
      </c>
      <c r="N135">
        <v>-0.85197310411527571</v>
      </c>
      <c r="O135" s="1" t="str">
        <f>HYPERLINK(".\sm_car_250414_0011\sm_car_250414_0011_134_Ca163TrN_MaLSS_ode23t_1.png","figure")</f>
        <v>figure</v>
      </c>
      <c r="P135" t="s">
        <v>15</v>
      </c>
    </row>
    <row r="136" spans="1:16" x14ac:dyDescent="0.25">
      <c r="A136">
        <v>135</v>
      </c>
      <c r="B136">
        <v>184</v>
      </c>
      <c r="C136" t="s">
        <v>105</v>
      </c>
      <c r="D136" t="s">
        <v>120</v>
      </c>
      <c r="E136" t="s">
        <v>49</v>
      </c>
      <c r="F136" t="s">
        <v>19</v>
      </c>
      <c r="G136" t="s">
        <v>20</v>
      </c>
      <c r="H136" t="s">
        <v>21</v>
      </c>
      <c r="I136" t="s">
        <v>22</v>
      </c>
      <c r="J136" t="s">
        <v>23</v>
      </c>
      <c r="K136">
        <v>327</v>
      </c>
      <c r="L136">
        <v>16.132194800000001</v>
      </c>
      <c r="M136">
        <v>294.65354836640137</v>
      </c>
      <c r="N136">
        <v>-1.4165300479544265E-3</v>
      </c>
      <c r="O136" s="1" t="str">
        <f>HYPERLINK(".\sm_car_250414_0011\sm_car_250414_0011_135_Ca184TrN_MaWOT_ode23t_1.png","figure")</f>
        <v>figure</v>
      </c>
      <c r="P136" t="s">
        <v>15</v>
      </c>
    </row>
    <row r="137" spans="1:16" x14ac:dyDescent="0.25">
      <c r="A137">
        <v>136</v>
      </c>
      <c r="B137">
        <v>184</v>
      </c>
      <c r="C137" t="s">
        <v>105</v>
      </c>
      <c r="D137" t="s">
        <v>120</v>
      </c>
      <c r="E137" t="s">
        <v>49</v>
      </c>
      <c r="F137" t="s">
        <v>19</v>
      </c>
      <c r="G137" t="s">
        <v>20</v>
      </c>
      <c r="H137" t="s">
        <v>21</v>
      </c>
      <c r="I137" t="s">
        <v>24</v>
      </c>
      <c r="J137" t="s">
        <v>23</v>
      </c>
      <c r="K137">
        <v>462</v>
      </c>
      <c r="L137">
        <v>11.8305147</v>
      </c>
      <c r="M137">
        <v>103.56675900720097</v>
      </c>
      <c r="N137">
        <v>-0.2021218602270663</v>
      </c>
      <c r="O137" s="1" t="str">
        <f>HYPERLINK(".\sm_car_250414_0011\sm_car_250414_0011_136_Ca184TrN_MaLSS_ode23t_1.png","figure")</f>
        <v>figure</v>
      </c>
      <c r="P137" t="s">
        <v>15</v>
      </c>
    </row>
    <row r="138" spans="1:16" x14ac:dyDescent="0.25">
      <c r="A138">
        <v>137</v>
      </c>
      <c r="B138">
        <v>217</v>
      </c>
      <c r="C138" t="s">
        <v>45</v>
      </c>
      <c r="D138" t="s">
        <v>17</v>
      </c>
      <c r="E138" t="s">
        <v>107</v>
      </c>
      <c r="F138" t="s">
        <v>119</v>
      </c>
      <c r="G138" t="s">
        <v>26</v>
      </c>
      <c r="H138" t="s">
        <v>21</v>
      </c>
      <c r="I138" t="s">
        <v>22</v>
      </c>
      <c r="J138" t="s">
        <v>23</v>
      </c>
      <c r="K138">
        <v>726</v>
      </c>
      <c r="L138">
        <v>32.3369553</v>
      </c>
      <c r="M138">
        <v>278.48962446443369</v>
      </c>
      <c r="N138">
        <v>0.7223043843761302</v>
      </c>
      <c r="O138" s="1" t="str">
        <f>HYPERLINK(".\sm_car_250414_0011\sm_car_250414_0011_137_Ca217TrN_MaWOT_ode23t_1.png","figure")</f>
        <v>figure</v>
      </c>
      <c r="P138" t="s">
        <v>15</v>
      </c>
    </row>
    <row r="139" spans="1:16" x14ac:dyDescent="0.25">
      <c r="A139">
        <v>138</v>
      </c>
      <c r="B139">
        <v>217</v>
      </c>
      <c r="C139" t="s">
        <v>45</v>
      </c>
      <c r="D139" t="s">
        <v>17</v>
      </c>
      <c r="E139" t="s">
        <v>107</v>
      </c>
      <c r="F139" t="s">
        <v>119</v>
      </c>
      <c r="G139" t="s">
        <v>26</v>
      </c>
      <c r="H139" t="s">
        <v>21</v>
      </c>
      <c r="I139" t="s">
        <v>24</v>
      </c>
      <c r="J139" t="s">
        <v>23</v>
      </c>
      <c r="K139">
        <v>860</v>
      </c>
      <c r="L139">
        <v>35.8001243</v>
      </c>
      <c r="M139">
        <v>110.09845937806327</v>
      </c>
      <c r="N139">
        <v>-0.35152910314950886</v>
      </c>
      <c r="O139" s="1" t="str">
        <f>HYPERLINK(".\sm_car_250414_0011\sm_car_250414_0011_138_Ca217TrN_MaLSS_ode23t_1.png","figure")</f>
        <v>figure</v>
      </c>
      <c r="P139" t="s">
        <v>15</v>
      </c>
    </row>
    <row r="140" spans="1:16" x14ac:dyDescent="0.25">
      <c r="A140">
        <v>139</v>
      </c>
      <c r="B140">
        <v>12</v>
      </c>
      <c r="C140" t="s">
        <v>16</v>
      </c>
      <c r="D140" t="s">
        <v>17</v>
      </c>
      <c r="E140" t="s">
        <v>49</v>
      </c>
      <c r="F140" t="s">
        <v>28</v>
      </c>
      <c r="G140" t="s">
        <v>20</v>
      </c>
      <c r="H140" t="s">
        <v>21</v>
      </c>
      <c r="I140" t="s">
        <v>53</v>
      </c>
      <c r="J140" t="s">
        <v>23</v>
      </c>
      <c r="K140">
        <v>785</v>
      </c>
      <c r="L140">
        <v>10.8663916</v>
      </c>
      <c r="M140">
        <v>253.81758089381447</v>
      </c>
      <c r="N140">
        <v>3.8457272094039041E-3</v>
      </c>
      <c r="O140" s="1" t="str">
        <f>HYPERLINK(".\sm_car_250414_0011\sm_car_250414_0011_139_Ca012TrN_MaDLC_ode23t_1.png","figure")</f>
        <v>figure</v>
      </c>
      <c r="P140" t="s">
        <v>15</v>
      </c>
    </row>
    <row r="141" spans="1:16" x14ac:dyDescent="0.25">
      <c r="A141">
        <v>140</v>
      </c>
      <c r="B141">
        <v>12</v>
      </c>
      <c r="C141" t="s">
        <v>16</v>
      </c>
      <c r="D141" t="s">
        <v>17</v>
      </c>
      <c r="E141" t="s">
        <v>49</v>
      </c>
      <c r="F141" t="s">
        <v>28</v>
      </c>
      <c r="G141" t="s">
        <v>20</v>
      </c>
      <c r="H141" t="s">
        <v>21</v>
      </c>
      <c r="I141" t="s">
        <v>54</v>
      </c>
      <c r="J141" t="s">
        <v>23</v>
      </c>
      <c r="K141">
        <v>935</v>
      </c>
      <c r="L141">
        <v>14.9869533</v>
      </c>
      <c r="M141">
        <v>74.817652203823968</v>
      </c>
      <c r="N141">
        <v>0.72079021945137101</v>
      </c>
      <c r="O141" s="1" t="str">
        <f>HYPERLINK(".\sm_car_250414_0011\sm_car_250414_0011_140_Ca012TrN_MaIPA_ode23t_1.png","figure")</f>
        <v>figure</v>
      </c>
      <c r="P141" t="s">
        <v>15</v>
      </c>
    </row>
    <row r="142" spans="1:16" x14ac:dyDescent="0.25">
      <c r="A142">
        <v>141</v>
      </c>
      <c r="B142">
        <v>142</v>
      </c>
      <c r="C142" t="s">
        <v>45</v>
      </c>
      <c r="D142" t="s">
        <v>17</v>
      </c>
      <c r="E142" t="s">
        <v>49</v>
      </c>
      <c r="F142" t="s">
        <v>28</v>
      </c>
      <c r="G142" t="s">
        <v>26</v>
      </c>
      <c r="H142" t="s">
        <v>21</v>
      </c>
      <c r="I142" t="s">
        <v>53</v>
      </c>
      <c r="J142" t="s">
        <v>23</v>
      </c>
      <c r="K142">
        <v>791</v>
      </c>
      <c r="L142">
        <v>15.7708999</v>
      </c>
      <c r="M142">
        <v>254.29791194781035</v>
      </c>
      <c r="N142">
        <v>-5.2329897543161863E-3</v>
      </c>
      <c r="O142" s="1" t="str">
        <f>HYPERLINK(".\sm_car_250414_0011\sm_car_250414_0011_141_Ca142TrN_MaDLC_ode23t_1.png","figure")</f>
        <v>figure</v>
      </c>
      <c r="P142" t="s">
        <v>15</v>
      </c>
    </row>
    <row r="143" spans="1:16" x14ac:dyDescent="0.25">
      <c r="A143">
        <v>142</v>
      </c>
      <c r="B143">
        <v>142</v>
      </c>
      <c r="C143" t="s">
        <v>45</v>
      </c>
      <c r="D143" t="s">
        <v>17</v>
      </c>
      <c r="E143" t="s">
        <v>49</v>
      </c>
      <c r="F143" t="s">
        <v>28</v>
      </c>
      <c r="G143" t="s">
        <v>26</v>
      </c>
      <c r="H143" t="s">
        <v>21</v>
      </c>
      <c r="I143" t="s">
        <v>54</v>
      </c>
      <c r="J143" t="s">
        <v>23</v>
      </c>
      <c r="K143">
        <v>2595</v>
      </c>
      <c r="L143">
        <v>109.16302</v>
      </c>
      <c r="M143">
        <v>83.381429214661367</v>
      </c>
      <c r="N143">
        <v>0.85549869493204855</v>
      </c>
      <c r="O143" s="1" t="str">
        <f>HYPERLINK(".\sm_car_250414_0011\sm_car_250414_0011_142_Ca142TrN_MaIPA_ode23t_1.png","figure")</f>
        <v>figure</v>
      </c>
      <c r="P143" t="s">
        <v>15</v>
      </c>
    </row>
    <row r="144" spans="1:16" x14ac:dyDescent="0.25">
      <c r="A144">
        <v>143</v>
      </c>
      <c r="B144">
        <v>145</v>
      </c>
      <c r="C144" t="s">
        <v>46</v>
      </c>
      <c r="D144" t="s">
        <v>17</v>
      </c>
      <c r="E144" t="s">
        <v>50</v>
      </c>
      <c r="F144" t="s">
        <v>19</v>
      </c>
      <c r="G144" t="s">
        <v>26</v>
      </c>
      <c r="H144" t="s">
        <v>21</v>
      </c>
      <c r="I144" t="s">
        <v>53</v>
      </c>
      <c r="J144" t="s">
        <v>23</v>
      </c>
      <c r="K144">
        <v>487</v>
      </c>
      <c r="L144">
        <v>16.574383300000001</v>
      </c>
      <c r="M144">
        <v>254.26090186541876</v>
      </c>
      <c r="N144">
        <v>4.5453762582539969E-2</v>
      </c>
      <c r="O144" s="1" t="str">
        <f>HYPERLINK(".\sm_car_250414_0011\sm_car_250414_0011_143_Ca145TrN_MaDLC_ode23t_1.png","figure")</f>
        <v>figure</v>
      </c>
      <c r="P144" t="s">
        <v>15</v>
      </c>
    </row>
    <row r="145" spans="1:16" x14ac:dyDescent="0.25">
      <c r="A145">
        <v>144</v>
      </c>
      <c r="B145">
        <v>145</v>
      </c>
      <c r="C145" t="s">
        <v>46</v>
      </c>
      <c r="D145" t="s">
        <v>17</v>
      </c>
      <c r="E145" t="s">
        <v>50</v>
      </c>
      <c r="F145" t="s">
        <v>19</v>
      </c>
      <c r="G145" t="s">
        <v>26</v>
      </c>
      <c r="H145" t="s">
        <v>21</v>
      </c>
      <c r="I145" t="s">
        <v>54</v>
      </c>
      <c r="J145" t="s">
        <v>23</v>
      </c>
      <c r="K145">
        <v>302</v>
      </c>
      <c r="L145">
        <v>12.379450800000001</v>
      </c>
      <c r="M145">
        <v>28.089341157783146</v>
      </c>
      <c r="N145">
        <v>1.5871783853396503E-2</v>
      </c>
      <c r="O145" s="1" t="str">
        <f>HYPERLINK(".\sm_car_250414_0011\sm_car_250414_0011_144_Ca145TrN_MaIPA_ode23t_1.png","figure")</f>
        <v>figure</v>
      </c>
      <c r="P145" t="s">
        <v>15</v>
      </c>
    </row>
    <row r="146" spans="1:16" x14ac:dyDescent="0.25">
      <c r="A146">
        <v>145</v>
      </c>
      <c r="B146">
        <v>184</v>
      </c>
      <c r="C146" t="s">
        <v>105</v>
      </c>
      <c r="D146" t="s">
        <v>120</v>
      </c>
      <c r="E146" t="s">
        <v>49</v>
      </c>
      <c r="F146" t="s">
        <v>19</v>
      </c>
      <c r="G146" t="s">
        <v>20</v>
      </c>
      <c r="H146" t="s">
        <v>21</v>
      </c>
      <c r="I146" t="s">
        <v>53</v>
      </c>
      <c r="J146" t="s">
        <v>23</v>
      </c>
      <c r="K146">
        <v>416</v>
      </c>
      <c r="L146">
        <v>12.1169025</v>
      </c>
      <c r="M146">
        <v>256.01721135516379</v>
      </c>
      <c r="N146">
        <v>1.0509321697621754E-2</v>
      </c>
      <c r="O146" s="1" t="str">
        <f>HYPERLINK(".\sm_car_250414_0011\sm_car_250414_0011_145_Ca184TrN_MaDLC_ode23t_1.png","figure")</f>
        <v>figure</v>
      </c>
      <c r="P146" t="s">
        <v>15</v>
      </c>
    </row>
    <row r="147" spans="1:16" x14ac:dyDescent="0.25">
      <c r="A147">
        <v>146</v>
      </c>
      <c r="B147">
        <v>184</v>
      </c>
      <c r="C147" t="s">
        <v>105</v>
      </c>
      <c r="D147" t="s">
        <v>120</v>
      </c>
      <c r="E147" t="s">
        <v>49</v>
      </c>
      <c r="F147" t="s">
        <v>19</v>
      </c>
      <c r="G147" t="s">
        <v>20</v>
      </c>
      <c r="H147" t="s">
        <v>21</v>
      </c>
      <c r="I147" t="s">
        <v>54</v>
      </c>
      <c r="J147" t="s">
        <v>23</v>
      </c>
      <c r="K147">
        <v>320</v>
      </c>
      <c r="L147">
        <v>13.1773936</v>
      </c>
      <c r="M147">
        <v>55.270088022912738</v>
      </c>
      <c r="N147">
        <v>5.7514496162795435E-3</v>
      </c>
      <c r="O147" s="1" t="str">
        <f>HYPERLINK(".\sm_car_250414_0011\sm_car_250414_0011_146_Ca184TrN_MaIPA_ode23t_1.png","figure")</f>
        <v>figure</v>
      </c>
      <c r="P147" t="s">
        <v>15</v>
      </c>
    </row>
    <row r="148" spans="1:16" x14ac:dyDescent="0.25">
      <c r="A148">
        <v>147</v>
      </c>
      <c r="B148">
        <v>204</v>
      </c>
      <c r="C148" t="s">
        <v>105</v>
      </c>
      <c r="D148" t="s">
        <v>106</v>
      </c>
      <c r="E148" t="s">
        <v>18</v>
      </c>
      <c r="F148" t="s">
        <v>19</v>
      </c>
      <c r="G148" t="s">
        <v>20</v>
      </c>
      <c r="H148" t="s">
        <v>21</v>
      </c>
      <c r="I148" t="s">
        <v>53</v>
      </c>
      <c r="J148" t="s">
        <v>23</v>
      </c>
      <c r="K148">
        <v>1917</v>
      </c>
      <c r="L148">
        <v>24.660695199999999</v>
      </c>
      <c r="M148">
        <v>255.8402842133944</v>
      </c>
      <c r="N148">
        <v>1.4091679259728096E-2</v>
      </c>
      <c r="O148" s="1" t="str">
        <f>HYPERLINK(".\sm_car_250414_0011\sm_car_250414_0011_147_Ca204TrN_MaDLC_ode23t_1.png","figure")</f>
        <v>figure</v>
      </c>
      <c r="P148" t="s">
        <v>15</v>
      </c>
    </row>
    <row r="149" spans="1:16" x14ac:dyDescent="0.25">
      <c r="A149">
        <v>148</v>
      </c>
      <c r="B149">
        <v>204</v>
      </c>
      <c r="C149" t="s">
        <v>105</v>
      </c>
      <c r="D149" t="s">
        <v>106</v>
      </c>
      <c r="E149" t="s">
        <v>18</v>
      </c>
      <c r="F149" t="s">
        <v>19</v>
      </c>
      <c r="G149" t="s">
        <v>20</v>
      </c>
      <c r="H149" t="s">
        <v>21</v>
      </c>
      <c r="I149" t="s">
        <v>54</v>
      </c>
      <c r="J149" t="s">
        <v>23</v>
      </c>
      <c r="K149">
        <v>704</v>
      </c>
      <c r="L149">
        <v>12.672133000000001</v>
      </c>
      <c r="M149">
        <v>26.038789796548116</v>
      </c>
      <c r="N149">
        <v>9.6602510694993385E-3</v>
      </c>
      <c r="O149" s="1" t="str">
        <f>HYPERLINK(".\sm_car_250414_0011\sm_car_250414_0011_148_Ca204TrN_MaIPA_ode23t_1.png","figure")</f>
        <v>figure</v>
      </c>
      <c r="P149" t="s">
        <v>15</v>
      </c>
    </row>
    <row r="150" spans="1:16" x14ac:dyDescent="0.25">
      <c r="A150">
        <v>149</v>
      </c>
      <c r="B150">
        <v>12</v>
      </c>
      <c r="C150" t="s">
        <v>16</v>
      </c>
      <c r="D150" t="s">
        <v>17</v>
      </c>
      <c r="E150" t="s">
        <v>49</v>
      </c>
      <c r="F150" t="s">
        <v>28</v>
      </c>
      <c r="G150" t="s">
        <v>20</v>
      </c>
      <c r="H150" t="s">
        <v>21</v>
      </c>
      <c r="I150" t="s">
        <v>55</v>
      </c>
      <c r="J150" t="s">
        <v>23</v>
      </c>
      <c r="K150">
        <v>2717</v>
      </c>
      <c r="L150">
        <v>30.705733800000001</v>
      </c>
      <c r="M150">
        <v>-2.0435736462236259E-2</v>
      </c>
      <c r="N150">
        <v>-0.62220356781930297</v>
      </c>
      <c r="O150" s="1" t="str">
        <f>HYPERLINK(".\sm_car_250414_0011\sm_car_250414_0011_149_Ca012TrN_MaMPK_ode23t_1.png","figure")</f>
        <v>figure</v>
      </c>
      <c r="P150" t="s">
        <v>15</v>
      </c>
    </row>
    <row r="151" spans="1:16" x14ac:dyDescent="0.25">
      <c r="A151">
        <v>150</v>
      </c>
      <c r="B151">
        <v>12</v>
      </c>
      <c r="C151" t="s">
        <v>16</v>
      </c>
      <c r="D151" t="s">
        <v>17</v>
      </c>
      <c r="E151" t="s">
        <v>49</v>
      </c>
      <c r="F151" t="s">
        <v>28</v>
      </c>
      <c r="G151" t="s">
        <v>20</v>
      </c>
      <c r="H151" t="s">
        <v>21</v>
      </c>
      <c r="I151" t="s">
        <v>56</v>
      </c>
      <c r="J151" t="s">
        <v>23</v>
      </c>
      <c r="K151">
        <v>3135</v>
      </c>
      <c r="L151">
        <v>30.4443023</v>
      </c>
      <c r="M151">
        <v>0.78855059453045051</v>
      </c>
      <c r="N151">
        <v>-0.32243149630317375</v>
      </c>
      <c r="O151" s="1" t="str">
        <f>HYPERLINK(".\sm_car_250414_0011\sm_car_250414_0011_150_Ca012TrN_MaMPC_ode23t_1.png","figure")</f>
        <v>figure</v>
      </c>
      <c r="P151" t="s">
        <v>15</v>
      </c>
    </row>
    <row r="152" spans="1:16" x14ac:dyDescent="0.25">
      <c r="A152">
        <v>151</v>
      </c>
      <c r="B152">
        <v>142</v>
      </c>
      <c r="C152" t="s">
        <v>45</v>
      </c>
      <c r="D152" t="s">
        <v>17</v>
      </c>
      <c r="E152" t="s">
        <v>49</v>
      </c>
      <c r="F152" t="s">
        <v>28</v>
      </c>
      <c r="G152" t="s">
        <v>26</v>
      </c>
      <c r="H152" t="s">
        <v>21</v>
      </c>
      <c r="I152" t="s">
        <v>55</v>
      </c>
      <c r="J152" t="s">
        <v>23</v>
      </c>
      <c r="K152">
        <v>2586</v>
      </c>
      <c r="L152">
        <v>59.951083799999999</v>
      </c>
      <c r="M152">
        <v>-1.9815123823286082E-2</v>
      </c>
      <c r="N152">
        <v>-0.54637650258071002</v>
      </c>
      <c r="O152" s="1" t="str">
        <f>HYPERLINK(".\sm_car_250414_0011\sm_car_250414_0011_151_Ca142TrN_MaMPK_ode23t_1.png","figure")</f>
        <v>figure</v>
      </c>
      <c r="P152" t="s">
        <v>15</v>
      </c>
    </row>
    <row r="153" spans="1:16" x14ac:dyDescent="0.25">
      <c r="A153">
        <v>152</v>
      </c>
      <c r="B153">
        <v>142</v>
      </c>
      <c r="C153" t="s">
        <v>45</v>
      </c>
      <c r="D153" t="s">
        <v>17</v>
      </c>
      <c r="E153" t="s">
        <v>49</v>
      </c>
      <c r="F153" t="s">
        <v>28</v>
      </c>
      <c r="G153" t="s">
        <v>26</v>
      </c>
      <c r="H153" t="s">
        <v>21</v>
      </c>
      <c r="I153" t="s">
        <v>56</v>
      </c>
      <c r="J153" t="s">
        <v>23</v>
      </c>
      <c r="K153">
        <v>3177</v>
      </c>
      <c r="L153">
        <v>69.947843000000006</v>
      </c>
      <c r="M153">
        <v>0.78825586542910386</v>
      </c>
      <c r="N153">
        <v>-0.36601259297028976</v>
      </c>
      <c r="O153" s="1" t="str">
        <f>HYPERLINK(".\sm_car_250414_0011\sm_car_250414_0011_152_Ca142TrN_MaMPC_ode23t_1.png","figure")</f>
        <v>figure</v>
      </c>
      <c r="P153" t="s">
        <v>15</v>
      </c>
    </row>
    <row r="154" spans="1:16" x14ac:dyDescent="0.25">
      <c r="A154">
        <v>153</v>
      </c>
      <c r="B154">
        <v>116</v>
      </c>
      <c r="C154" t="s">
        <v>16</v>
      </c>
      <c r="D154" t="s">
        <v>35</v>
      </c>
      <c r="E154" t="s">
        <v>18</v>
      </c>
      <c r="F154" t="s">
        <v>28</v>
      </c>
      <c r="G154" t="s">
        <v>20</v>
      </c>
      <c r="H154" t="s">
        <v>21</v>
      </c>
      <c r="I154" t="s">
        <v>55</v>
      </c>
      <c r="J154" t="s">
        <v>23</v>
      </c>
      <c r="K154">
        <v>2867</v>
      </c>
      <c r="L154">
        <v>14.0233709</v>
      </c>
      <c r="M154">
        <v>-1.8748056612318806E-2</v>
      </c>
      <c r="N154">
        <v>-0.52485375561885361</v>
      </c>
      <c r="O154" s="1" t="str">
        <f>HYPERLINK(".\sm_car_250414_0011\sm_car_250414_0011_153_Ca116TrN_MaMPK_ode23t_1.png","figure")</f>
        <v>figure</v>
      </c>
      <c r="P154" t="s">
        <v>15</v>
      </c>
    </row>
    <row r="155" spans="1:16" x14ac:dyDescent="0.25">
      <c r="A155">
        <v>154</v>
      </c>
      <c r="B155">
        <v>116</v>
      </c>
      <c r="C155" t="s">
        <v>16</v>
      </c>
      <c r="D155" t="s">
        <v>35</v>
      </c>
      <c r="E155" t="s">
        <v>18</v>
      </c>
      <c r="F155" t="s">
        <v>28</v>
      </c>
      <c r="G155" t="s">
        <v>20</v>
      </c>
      <c r="H155" t="s">
        <v>21</v>
      </c>
      <c r="I155" t="s">
        <v>56</v>
      </c>
      <c r="J155" t="s">
        <v>23</v>
      </c>
      <c r="K155">
        <v>3382</v>
      </c>
      <c r="L155">
        <v>14.5848713</v>
      </c>
      <c r="M155">
        <v>0.78621076958378922</v>
      </c>
      <c r="N155">
        <v>-0.35485414854532044</v>
      </c>
      <c r="O155" s="1" t="str">
        <f>HYPERLINK(".\sm_car_250414_0011\sm_car_250414_0011_154_Ca116TrN_MaMPC_ode23t_1.png","figure")</f>
        <v>figure</v>
      </c>
      <c r="P155" t="s">
        <v>15</v>
      </c>
    </row>
    <row r="156" spans="1:16" x14ac:dyDescent="0.25">
      <c r="A156">
        <v>155</v>
      </c>
      <c r="B156">
        <v>143</v>
      </c>
      <c r="C156" t="s">
        <v>46</v>
      </c>
      <c r="D156" t="s">
        <v>17</v>
      </c>
      <c r="E156" t="s">
        <v>47</v>
      </c>
      <c r="F156" t="s">
        <v>19</v>
      </c>
      <c r="G156" t="s">
        <v>26</v>
      </c>
      <c r="H156" t="s">
        <v>21</v>
      </c>
      <c r="I156" t="s">
        <v>55</v>
      </c>
      <c r="J156" t="s">
        <v>23</v>
      </c>
      <c r="K156">
        <v>2731</v>
      </c>
      <c r="L156">
        <v>51.411445499999999</v>
      </c>
      <c r="M156">
        <v>-1.6083066117766942E-2</v>
      </c>
      <c r="N156">
        <v>-0.38996664430829719</v>
      </c>
      <c r="O156" s="1" t="str">
        <f>HYPERLINK(".\sm_car_250414_0011\sm_car_250414_0011_155_Ca143TrN_MaMPK_ode23t_1.png","figure")</f>
        <v>figure</v>
      </c>
      <c r="P156" t="s">
        <v>15</v>
      </c>
    </row>
    <row r="157" spans="1:16" x14ac:dyDescent="0.25">
      <c r="A157">
        <v>156</v>
      </c>
      <c r="B157">
        <v>143</v>
      </c>
      <c r="C157" t="s">
        <v>46</v>
      </c>
      <c r="D157" t="s">
        <v>17</v>
      </c>
      <c r="E157" t="s">
        <v>47</v>
      </c>
      <c r="F157" t="s">
        <v>19</v>
      </c>
      <c r="G157" t="s">
        <v>26</v>
      </c>
      <c r="H157" t="s">
        <v>21</v>
      </c>
      <c r="I157" t="s">
        <v>56</v>
      </c>
      <c r="J157" t="s">
        <v>23</v>
      </c>
      <c r="K157">
        <v>2895</v>
      </c>
      <c r="L157">
        <v>63.565704199999999</v>
      </c>
      <c r="M157">
        <v>0.78871580090862459</v>
      </c>
      <c r="N157">
        <v>-0.25852033012785275</v>
      </c>
      <c r="O157" s="1" t="str">
        <f>HYPERLINK(".\sm_car_250414_0011\sm_car_250414_0011_156_Ca143TrN_MaMPC_ode23t_1.png","figure")</f>
        <v>figure</v>
      </c>
      <c r="P157" t="s">
        <v>15</v>
      </c>
    </row>
    <row r="158" spans="1:16" x14ac:dyDescent="0.25">
      <c r="A158">
        <v>157</v>
      </c>
      <c r="B158">
        <v>166</v>
      </c>
      <c r="C158" t="s">
        <v>45</v>
      </c>
      <c r="D158" t="s">
        <v>57</v>
      </c>
      <c r="E158" t="s">
        <v>18</v>
      </c>
      <c r="F158" t="s">
        <v>19</v>
      </c>
      <c r="G158" t="s">
        <v>26</v>
      </c>
      <c r="H158" t="s">
        <v>21</v>
      </c>
      <c r="I158" t="s">
        <v>55</v>
      </c>
      <c r="J158" t="s">
        <v>23</v>
      </c>
      <c r="K158">
        <v>3176</v>
      </c>
      <c r="L158">
        <v>39.983957199999999</v>
      </c>
      <c r="M158">
        <v>-9.2642823793954443E-3</v>
      </c>
      <c r="N158">
        <v>-0.55585398713345502</v>
      </c>
      <c r="O158" s="1" t="str">
        <f>HYPERLINK(".\sm_car_250414_0011\sm_car_250414_0011_157_Ca166TrN_MaMPK_ode23t_1.png","figure")</f>
        <v>figure</v>
      </c>
      <c r="P158" t="s">
        <v>15</v>
      </c>
    </row>
    <row r="159" spans="1:16" x14ac:dyDescent="0.25">
      <c r="A159">
        <v>158</v>
      </c>
      <c r="B159">
        <v>166</v>
      </c>
      <c r="C159" t="s">
        <v>45</v>
      </c>
      <c r="D159" t="s">
        <v>57</v>
      </c>
      <c r="E159" t="s">
        <v>18</v>
      </c>
      <c r="F159" t="s">
        <v>19</v>
      </c>
      <c r="G159" t="s">
        <v>26</v>
      </c>
      <c r="H159" t="s">
        <v>21</v>
      </c>
      <c r="I159" t="s">
        <v>56</v>
      </c>
      <c r="J159" t="s">
        <v>23</v>
      </c>
      <c r="K159">
        <v>3544</v>
      </c>
      <c r="L159">
        <v>45.018866699999997</v>
      </c>
      <c r="M159">
        <v>0.78762936439009223</v>
      </c>
      <c r="N159">
        <v>-0.35631966520561259</v>
      </c>
      <c r="O159" s="1" t="str">
        <f>HYPERLINK(".\sm_car_250414_0011\sm_car_250414_0011_158_Ca166TrN_MaMPC_ode23t_1.png","figure")</f>
        <v>figure</v>
      </c>
      <c r="P159" t="s">
        <v>15</v>
      </c>
    </row>
    <row r="160" spans="1:16" x14ac:dyDescent="0.25">
      <c r="A160">
        <v>159</v>
      </c>
      <c r="B160">
        <v>169</v>
      </c>
      <c r="C160" t="s">
        <v>45</v>
      </c>
      <c r="D160" t="s">
        <v>58</v>
      </c>
      <c r="E160" t="s">
        <v>49</v>
      </c>
      <c r="F160" t="s">
        <v>19</v>
      </c>
      <c r="G160" t="s">
        <v>26</v>
      </c>
      <c r="H160" t="s">
        <v>21</v>
      </c>
      <c r="I160" t="s">
        <v>55</v>
      </c>
      <c r="J160" t="s">
        <v>23</v>
      </c>
      <c r="K160">
        <v>3144</v>
      </c>
      <c r="L160">
        <v>37.498804700000001</v>
      </c>
      <c r="M160">
        <v>-1.8868597645060978E-2</v>
      </c>
      <c r="N160">
        <v>-0.55645013538871224</v>
      </c>
      <c r="O160" s="1" t="str">
        <f>HYPERLINK(".\sm_car_250414_0011\sm_car_250414_0011_159_Ca169TrN_MaMPK_ode23t_1.png","figure")</f>
        <v>figure</v>
      </c>
      <c r="P160" t="s">
        <v>15</v>
      </c>
    </row>
    <row r="161" spans="1:16" x14ac:dyDescent="0.25">
      <c r="A161">
        <v>160</v>
      </c>
      <c r="B161">
        <v>169</v>
      </c>
      <c r="C161" t="s">
        <v>45</v>
      </c>
      <c r="D161" t="s">
        <v>58</v>
      </c>
      <c r="E161" t="s">
        <v>49</v>
      </c>
      <c r="F161" t="s">
        <v>19</v>
      </c>
      <c r="G161" t="s">
        <v>26</v>
      </c>
      <c r="H161" t="s">
        <v>21</v>
      </c>
      <c r="I161" t="s">
        <v>56</v>
      </c>
      <c r="J161" t="s">
        <v>23</v>
      </c>
      <c r="K161">
        <v>3404</v>
      </c>
      <c r="L161">
        <v>40.281551399999998</v>
      </c>
      <c r="M161">
        <v>0.78870801526227652</v>
      </c>
      <c r="N161">
        <v>-0.35559873633140349</v>
      </c>
      <c r="O161" s="1" t="str">
        <f>HYPERLINK(".\sm_car_250414_0011\sm_car_250414_0011_160_Ca169TrN_MaMPC_ode23t_1.png","figure")</f>
        <v>figure</v>
      </c>
      <c r="P161" t="s">
        <v>15</v>
      </c>
    </row>
    <row r="162" spans="1:16" x14ac:dyDescent="0.25">
      <c r="A162">
        <v>161</v>
      </c>
      <c r="B162">
        <v>184</v>
      </c>
      <c r="C162" t="s">
        <v>105</v>
      </c>
      <c r="D162" t="s">
        <v>120</v>
      </c>
      <c r="E162" t="s">
        <v>49</v>
      </c>
      <c r="F162" t="s">
        <v>19</v>
      </c>
      <c r="G162" t="s">
        <v>20</v>
      </c>
      <c r="H162" t="s">
        <v>21</v>
      </c>
      <c r="I162" t="s">
        <v>55</v>
      </c>
      <c r="J162" t="s">
        <v>23</v>
      </c>
      <c r="K162">
        <v>2106</v>
      </c>
      <c r="L162">
        <v>52.003375699999999</v>
      </c>
      <c r="M162">
        <v>-1.990709640849278E-2</v>
      </c>
      <c r="N162">
        <v>-0.69661197649317685</v>
      </c>
      <c r="O162" s="1" t="str">
        <f>HYPERLINK(".\sm_car_250414_0011\sm_car_250414_0011_161_Ca184TrN_MaMPK_ode23t_1.png","figure")</f>
        <v>figure</v>
      </c>
      <c r="P162" t="s">
        <v>15</v>
      </c>
    </row>
    <row r="163" spans="1:16" x14ac:dyDescent="0.25">
      <c r="A163">
        <v>162</v>
      </c>
      <c r="B163">
        <v>184</v>
      </c>
      <c r="C163" t="s">
        <v>105</v>
      </c>
      <c r="D163" t="s">
        <v>120</v>
      </c>
      <c r="E163" t="s">
        <v>49</v>
      </c>
      <c r="F163" t="s">
        <v>19</v>
      </c>
      <c r="G163" t="s">
        <v>20</v>
      </c>
      <c r="H163" t="s">
        <v>21</v>
      </c>
      <c r="I163" t="s">
        <v>56</v>
      </c>
      <c r="J163" t="s">
        <v>23</v>
      </c>
      <c r="K163">
        <v>2182</v>
      </c>
      <c r="L163">
        <v>52.149987000000003</v>
      </c>
      <c r="M163">
        <v>0.78853699487854279</v>
      </c>
      <c r="N163">
        <v>-0.32950889486527096</v>
      </c>
      <c r="O163" s="1" t="str">
        <f>HYPERLINK(".\sm_car_250414_0011\sm_car_250414_0011_162_Ca184TrN_MaMPC_ode23t_1.png","figure")</f>
        <v>figure</v>
      </c>
      <c r="P163" t="s">
        <v>15</v>
      </c>
    </row>
    <row r="164" spans="1:16" x14ac:dyDescent="0.25">
      <c r="A164">
        <v>163</v>
      </c>
      <c r="B164">
        <v>195</v>
      </c>
      <c r="C164" t="s">
        <v>45</v>
      </c>
      <c r="D164" t="s">
        <v>58</v>
      </c>
      <c r="E164" t="s">
        <v>107</v>
      </c>
      <c r="F164" t="s">
        <v>19</v>
      </c>
      <c r="G164" t="s">
        <v>26</v>
      </c>
      <c r="H164" t="s">
        <v>21</v>
      </c>
      <c r="I164" t="s">
        <v>55</v>
      </c>
      <c r="J164" t="s">
        <v>23</v>
      </c>
      <c r="K164">
        <v>3152</v>
      </c>
      <c r="L164">
        <v>34.238973399999999</v>
      </c>
      <c r="M164">
        <v>-1.8181365186190054E-2</v>
      </c>
      <c r="N164">
        <v>-0.55645829431062244</v>
      </c>
      <c r="O164" s="1" t="str">
        <f>HYPERLINK(".\sm_car_250414_0011\sm_car_250414_0011_163_Ca195TrN_MaMPK_ode23t_1.png","figure")</f>
        <v>figure</v>
      </c>
      <c r="P164" t="s">
        <v>15</v>
      </c>
    </row>
    <row r="165" spans="1:16" x14ac:dyDescent="0.25">
      <c r="A165">
        <v>164</v>
      </c>
      <c r="B165">
        <v>195</v>
      </c>
      <c r="C165" t="s">
        <v>45</v>
      </c>
      <c r="D165" t="s">
        <v>58</v>
      </c>
      <c r="E165" t="s">
        <v>107</v>
      </c>
      <c r="F165" t="s">
        <v>19</v>
      </c>
      <c r="G165" t="s">
        <v>26</v>
      </c>
      <c r="H165" t="s">
        <v>21</v>
      </c>
      <c r="I165" t="s">
        <v>56</v>
      </c>
      <c r="J165" t="s">
        <v>23</v>
      </c>
      <c r="K165">
        <v>3389</v>
      </c>
      <c r="L165">
        <v>35.597346199999997</v>
      </c>
      <c r="M165">
        <v>0.78411593289106563</v>
      </c>
      <c r="N165">
        <v>-0.35562114868941297</v>
      </c>
      <c r="O165" s="1" t="str">
        <f>HYPERLINK(".\sm_car_250414_0011\sm_car_250414_0011_164_Ca195TrN_MaMPC_ode23t_1.png","figure")</f>
        <v>figure</v>
      </c>
      <c r="P165" t="s">
        <v>15</v>
      </c>
    </row>
    <row r="166" spans="1:16" x14ac:dyDescent="0.25">
      <c r="A166">
        <v>165</v>
      </c>
      <c r="B166">
        <v>198</v>
      </c>
      <c r="C166" t="s">
        <v>105</v>
      </c>
      <c r="D166" t="s">
        <v>120</v>
      </c>
      <c r="E166" t="s">
        <v>107</v>
      </c>
      <c r="F166" t="s">
        <v>19</v>
      </c>
      <c r="G166" t="s">
        <v>20</v>
      </c>
      <c r="H166" t="s">
        <v>21</v>
      </c>
      <c r="I166" t="s">
        <v>55</v>
      </c>
      <c r="J166" t="s">
        <v>23</v>
      </c>
      <c r="K166">
        <v>2157</v>
      </c>
      <c r="L166">
        <v>28.789383000000001</v>
      </c>
      <c r="M166">
        <v>-2.1806987239671061E-2</v>
      </c>
      <c r="N166">
        <v>-0.69682608861340012</v>
      </c>
      <c r="O166" s="1" t="str">
        <f>HYPERLINK(".\sm_car_250414_0011\sm_car_250414_0011_165_Ca198TrN_MaMPK_ode23t_1.png","figure")</f>
        <v>figure</v>
      </c>
      <c r="P166" t="s">
        <v>15</v>
      </c>
    </row>
    <row r="167" spans="1:16" x14ac:dyDescent="0.25">
      <c r="A167">
        <v>166</v>
      </c>
      <c r="B167">
        <v>198</v>
      </c>
      <c r="C167" t="s">
        <v>105</v>
      </c>
      <c r="D167" t="s">
        <v>120</v>
      </c>
      <c r="E167" t="s">
        <v>107</v>
      </c>
      <c r="F167" t="s">
        <v>19</v>
      </c>
      <c r="G167" t="s">
        <v>20</v>
      </c>
      <c r="H167" t="s">
        <v>21</v>
      </c>
      <c r="I167" t="s">
        <v>56</v>
      </c>
      <c r="J167" t="s">
        <v>23</v>
      </c>
      <c r="K167">
        <v>2192</v>
      </c>
      <c r="L167">
        <v>30.001417199999999</v>
      </c>
      <c r="M167">
        <v>0.78898862372382439</v>
      </c>
      <c r="N167">
        <v>-0.3296698855405592</v>
      </c>
      <c r="O167" s="1" t="str">
        <f>HYPERLINK(".\sm_car_250414_0011\sm_car_250414_0011_166_Ca198TrN_MaMPC_ode23t_1.png","figure")</f>
        <v>figure</v>
      </c>
      <c r="P167" t="s">
        <v>15</v>
      </c>
    </row>
    <row r="168" spans="1:16" x14ac:dyDescent="0.25">
      <c r="A168">
        <v>167</v>
      </c>
      <c r="B168">
        <v>151</v>
      </c>
      <c r="C168" t="s">
        <v>16</v>
      </c>
      <c r="D168" t="s">
        <v>17</v>
      </c>
      <c r="E168" t="s">
        <v>18</v>
      </c>
      <c r="F168" t="s">
        <v>19</v>
      </c>
      <c r="G168" t="s">
        <v>59</v>
      </c>
      <c r="H168" t="s">
        <v>21</v>
      </c>
      <c r="I168" t="s">
        <v>24</v>
      </c>
      <c r="J168" t="s">
        <v>23</v>
      </c>
      <c r="K168">
        <v>505</v>
      </c>
      <c r="L168">
        <v>12.1058237</v>
      </c>
      <c r="M168">
        <v>72.552557300489994</v>
      </c>
      <c r="N168">
        <v>-0.80249041544350219</v>
      </c>
      <c r="O168" s="1" t="str">
        <f>HYPERLINK(".\sm_car_250414_0011\sm_car_250414_0011_167_Ca151TrN_MaLSS_ode23t_1.png","figure")</f>
        <v>figure</v>
      </c>
      <c r="P168" t="s">
        <v>15</v>
      </c>
    </row>
    <row r="169" spans="1:16" x14ac:dyDescent="0.25">
      <c r="A169">
        <v>168</v>
      </c>
      <c r="B169">
        <v>152</v>
      </c>
      <c r="C169" t="s">
        <v>16</v>
      </c>
      <c r="D169" t="s">
        <v>17</v>
      </c>
      <c r="E169" t="s">
        <v>18</v>
      </c>
      <c r="F169" t="s">
        <v>19</v>
      </c>
      <c r="G169" t="s">
        <v>60</v>
      </c>
      <c r="H169" t="s">
        <v>21</v>
      </c>
      <c r="I169" t="s">
        <v>24</v>
      </c>
      <c r="J169" t="s">
        <v>23</v>
      </c>
      <c r="K169">
        <v>539</v>
      </c>
      <c r="L169">
        <v>12.998518300000001</v>
      </c>
      <c r="M169">
        <v>70.95575043741772</v>
      </c>
      <c r="N169">
        <v>-0.52983923792597942</v>
      </c>
      <c r="O169" s="1" t="str">
        <f>HYPERLINK(".\sm_car_250414_0011\sm_car_250414_0011_168_Ca152TrN_MaLSS_ode23t_1.png","figure")</f>
        <v>figure</v>
      </c>
      <c r="P169" t="s">
        <v>15</v>
      </c>
    </row>
    <row r="170" spans="1:16" x14ac:dyDescent="0.25">
      <c r="A170">
        <v>169</v>
      </c>
      <c r="B170">
        <v>153</v>
      </c>
      <c r="C170" t="s">
        <v>16</v>
      </c>
      <c r="D170" t="s">
        <v>17</v>
      </c>
      <c r="E170" t="s">
        <v>18</v>
      </c>
      <c r="F170" t="s">
        <v>19</v>
      </c>
      <c r="G170" t="s">
        <v>61</v>
      </c>
      <c r="H170" t="s">
        <v>21</v>
      </c>
      <c r="I170" t="s">
        <v>24</v>
      </c>
      <c r="J170" t="s">
        <v>23</v>
      </c>
      <c r="K170">
        <v>552</v>
      </c>
      <c r="L170">
        <v>13.7854125</v>
      </c>
      <c r="M170">
        <v>70.796239337560166</v>
      </c>
      <c r="N170">
        <v>-0.86783590943986122</v>
      </c>
      <c r="O170" s="1" t="str">
        <f>HYPERLINK(".\sm_car_250414_0011\sm_car_250414_0011_169_Ca153TrN_MaLSS_ode23t_1.png","figure")</f>
        <v>figure</v>
      </c>
      <c r="P170" t="s">
        <v>15</v>
      </c>
    </row>
    <row r="171" spans="1:16" x14ac:dyDescent="0.25">
      <c r="A171">
        <v>170</v>
      </c>
      <c r="B171">
        <v>154</v>
      </c>
      <c r="C171" t="s">
        <v>16</v>
      </c>
      <c r="D171" t="s">
        <v>17</v>
      </c>
      <c r="E171" t="s">
        <v>18</v>
      </c>
      <c r="F171" t="s">
        <v>19</v>
      </c>
      <c r="G171" t="s">
        <v>108</v>
      </c>
      <c r="H171" t="s">
        <v>21</v>
      </c>
      <c r="I171" t="s">
        <v>24</v>
      </c>
      <c r="J171" t="s">
        <v>23</v>
      </c>
      <c r="K171">
        <v>478</v>
      </c>
      <c r="L171">
        <v>16.103746399999999</v>
      </c>
      <c r="M171">
        <v>70.991830962448176</v>
      </c>
      <c r="N171">
        <v>-0.36054406105194031</v>
      </c>
      <c r="O171" s="1" t="str">
        <f>HYPERLINK(".\sm_car_250414_0011\sm_car_250414_0011_170_Ca154TrN_MaLSS_ode23t_1.png","figure")</f>
        <v>figure</v>
      </c>
      <c r="P171" t="s">
        <v>15</v>
      </c>
    </row>
    <row r="172" spans="1:16" x14ac:dyDescent="0.25">
      <c r="A172">
        <v>171</v>
      </c>
      <c r="B172">
        <v>155</v>
      </c>
      <c r="C172" t="s">
        <v>16</v>
      </c>
      <c r="D172" t="s">
        <v>17</v>
      </c>
      <c r="E172" t="s">
        <v>18</v>
      </c>
      <c r="F172" t="s">
        <v>19</v>
      </c>
      <c r="G172" t="s">
        <v>62</v>
      </c>
      <c r="H172" t="s">
        <v>21</v>
      </c>
      <c r="I172" t="s">
        <v>24</v>
      </c>
      <c r="J172" t="s">
        <v>23</v>
      </c>
      <c r="K172">
        <v>560</v>
      </c>
      <c r="L172">
        <v>18.027577300000001</v>
      </c>
      <c r="M172">
        <v>70.833576270499776</v>
      </c>
      <c r="N172">
        <v>-0.8457252501902347</v>
      </c>
      <c r="O172" s="1" t="str">
        <f>HYPERLINK(".\sm_car_250414_0011\sm_car_250414_0011_171_Ca155TrN_MaLSS_ode23t_1.png","figure")</f>
        <v>figure</v>
      </c>
      <c r="P172" t="s">
        <v>15</v>
      </c>
    </row>
    <row r="173" spans="1:16" x14ac:dyDescent="0.25">
      <c r="A173">
        <v>172</v>
      </c>
      <c r="B173">
        <v>4</v>
      </c>
      <c r="C173" t="s">
        <v>16</v>
      </c>
      <c r="D173" t="s">
        <v>17</v>
      </c>
      <c r="E173" t="s">
        <v>18</v>
      </c>
      <c r="F173" t="s">
        <v>28</v>
      </c>
      <c r="G173" t="s">
        <v>20</v>
      </c>
      <c r="H173" t="s">
        <v>21</v>
      </c>
      <c r="I173" t="s">
        <v>22</v>
      </c>
      <c r="J173" t="s">
        <v>63</v>
      </c>
      <c r="K173">
        <v>3247</v>
      </c>
      <c r="L173">
        <v>8.7230577999999994</v>
      </c>
      <c r="M173">
        <v>231.38923252163076</v>
      </c>
      <c r="N173">
        <v>2.2944610708496901E-3</v>
      </c>
      <c r="O173" s="1" t="str">
        <f>HYPERLINK(".\sm_car_250414_0011\sm_car_250414_0011_172_Ca004TrN_MaWOT_ode3_1.png","figure")</f>
        <v>figure</v>
      </c>
      <c r="P173" t="s">
        <v>15</v>
      </c>
    </row>
    <row r="174" spans="1:16" x14ac:dyDescent="0.25">
      <c r="A174">
        <v>173</v>
      </c>
      <c r="B174">
        <v>4</v>
      </c>
      <c r="C174" t="s">
        <v>16</v>
      </c>
      <c r="D174" t="s">
        <v>17</v>
      </c>
      <c r="E174" t="s">
        <v>18</v>
      </c>
      <c r="F174" t="s">
        <v>28</v>
      </c>
      <c r="G174" t="s">
        <v>20</v>
      </c>
      <c r="H174" t="s">
        <v>21</v>
      </c>
      <c r="I174" t="s">
        <v>24</v>
      </c>
      <c r="J174" t="s">
        <v>63</v>
      </c>
      <c r="K174">
        <v>2564</v>
      </c>
      <c r="L174">
        <v>7.0020287000000003</v>
      </c>
      <c r="M174">
        <v>71.253969951402098</v>
      </c>
      <c r="N174">
        <v>-0.54014322697826567</v>
      </c>
      <c r="O174" s="1" t="str">
        <f>HYPERLINK(".\sm_car_250414_0011\sm_car_250414_0011_173_Ca004TrN_MaLSS_ode3_1.png","figure")</f>
        <v>figure</v>
      </c>
      <c r="P174" t="s">
        <v>15</v>
      </c>
    </row>
    <row r="175" spans="1:16" x14ac:dyDescent="0.25">
      <c r="A175">
        <v>174</v>
      </c>
      <c r="B175">
        <v>4</v>
      </c>
      <c r="C175" t="s">
        <v>16</v>
      </c>
      <c r="D175" t="s">
        <v>17</v>
      </c>
      <c r="E175" t="s">
        <v>18</v>
      </c>
      <c r="F175" t="s">
        <v>28</v>
      </c>
      <c r="G175" t="s">
        <v>20</v>
      </c>
      <c r="H175" t="s">
        <v>21</v>
      </c>
      <c r="I175" t="s">
        <v>64</v>
      </c>
      <c r="J175" t="s">
        <v>63</v>
      </c>
      <c r="K175">
        <v>2562</v>
      </c>
      <c r="L175">
        <v>7.1417014999999999</v>
      </c>
      <c r="M175">
        <v>63.785889456714656</v>
      </c>
      <c r="N175">
        <v>-25.043861215377692</v>
      </c>
      <c r="O175" s="1" t="str">
        <f>HYPERLINK(".\sm_car_250414_0011\sm_car_250414_0011_174_Ca004TrN_MaTUR_ode3_1.png","figure")</f>
        <v>figure</v>
      </c>
      <c r="P175" t="s">
        <v>15</v>
      </c>
    </row>
    <row r="176" spans="1:16" x14ac:dyDescent="0.25">
      <c r="A176">
        <v>175</v>
      </c>
      <c r="B176">
        <v>116</v>
      </c>
      <c r="C176" t="s">
        <v>16</v>
      </c>
      <c r="D176" t="s">
        <v>35</v>
      </c>
      <c r="E176" t="s">
        <v>18</v>
      </c>
      <c r="F176" t="s">
        <v>28</v>
      </c>
      <c r="G176" t="s">
        <v>20</v>
      </c>
      <c r="H176" t="s">
        <v>21</v>
      </c>
      <c r="I176" t="s">
        <v>22</v>
      </c>
      <c r="J176" t="s">
        <v>63</v>
      </c>
      <c r="K176">
        <v>3244</v>
      </c>
      <c r="L176">
        <v>3.8344615000000002</v>
      </c>
      <c r="M176">
        <v>242.70379428436041</v>
      </c>
      <c r="N176">
        <v>0.23327324309701689</v>
      </c>
      <c r="O176" s="1" t="str">
        <f>HYPERLINK(".\sm_car_250414_0011\sm_car_250414_0011_175_Ca116TrN_MaWOT_ode3_1.png","figure")</f>
        <v>figure</v>
      </c>
      <c r="P176" t="s">
        <v>15</v>
      </c>
    </row>
    <row r="177" spans="1:16" x14ac:dyDescent="0.25">
      <c r="A177">
        <v>176</v>
      </c>
      <c r="B177">
        <v>116</v>
      </c>
      <c r="C177" t="s">
        <v>16</v>
      </c>
      <c r="D177" t="s">
        <v>35</v>
      </c>
      <c r="E177" t="s">
        <v>18</v>
      </c>
      <c r="F177" t="s">
        <v>28</v>
      </c>
      <c r="G177" t="s">
        <v>20</v>
      </c>
      <c r="H177" t="s">
        <v>21</v>
      </c>
      <c r="I177" t="s">
        <v>24</v>
      </c>
      <c r="J177" t="s">
        <v>63</v>
      </c>
      <c r="K177">
        <v>2564</v>
      </c>
      <c r="L177">
        <v>3.1847572</v>
      </c>
      <c r="M177">
        <v>74.659491982450774</v>
      </c>
      <c r="N177">
        <v>-0.34093758006291858</v>
      </c>
      <c r="O177" s="1" t="str">
        <f>HYPERLINK(".\sm_car_250414_0011\sm_car_250414_0011_176_Ca116TrN_MaLSS_ode3_1.png","figure")</f>
        <v>figure</v>
      </c>
      <c r="P177" t="s">
        <v>15</v>
      </c>
    </row>
    <row r="178" spans="1:16" x14ac:dyDescent="0.25">
      <c r="A178">
        <v>177</v>
      </c>
      <c r="B178">
        <v>116</v>
      </c>
      <c r="C178" t="s">
        <v>16</v>
      </c>
      <c r="D178" t="s">
        <v>35</v>
      </c>
      <c r="E178" t="s">
        <v>18</v>
      </c>
      <c r="F178" t="s">
        <v>28</v>
      </c>
      <c r="G178" t="s">
        <v>20</v>
      </c>
      <c r="H178" t="s">
        <v>21</v>
      </c>
      <c r="I178" t="s">
        <v>64</v>
      </c>
      <c r="J178" t="s">
        <v>63</v>
      </c>
      <c r="K178">
        <v>2563</v>
      </c>
      <c r="L178">
        <v>3.1571604</v>
      </c>
      <c r="M178">
        <v>71.32397117118802</v>
      </c>
      <c r="N178">
        <v>-17.591551103430934</v>
      </c>
      <c r="O178" s="1" t="str">
        <f>HYPERLINK(".\sm_car_250414_0011\sm_car_250414_0011_177_Ca116TrN_MaTUR_ode3_1.png","figure")</f>
        <v>figure</v>
      </c>
      <c r="P178" t="s">
        <v>15</v>
      </c>
    </row>
    <row r="179" spans="1:16" x14ac:dyDescent="0.25">
      <c r="A179">
        <v>178</v>
      </c>
      <c r="B179">
        <v>124</v>
      </c>
      <c r="C179" t="s">
        <v>16</v>
      </c>
      <c r="D179" t="s">
        <v>35</v>
      </c>
      <c r="E179" t="s">
        <v>49</v>
      </c>
      <c r="F179" t="s">
        <v>28</v>
      </c>
      <c r="G179" t="s">
        <v>20</v>
      </c>
      <c r="H179" t="s">
        <v>21</v>
      </c>
      <c r="I179" t="s">
        <v>22</v>
      </c>
      <c r="J179" t="s">
        <v>63</v>
      </c>
      <c r="K179">
        <v>3244</v>
      </c>
      <c r="L179">
        <v>2.0204914</v>
      </c>
      <c r="M179">
        <v>242.88013068819623</v>
      </c>
      <c r="N179">
        <v>0.23307974035338433</v>
      </c>
      <c r="O179" s="1" t="str">
        <f>HYPERLINK(".\sm_car_250414_0011\sm_car_250414_0011_178_Ca124TrN_MaWOT_ode3_1.png","figure")</f>
        <v>figure</v>
      </c>
      <c r="P179" t="s">
        <v>15</v>
      </c>
    </row>
    <row r="180" spans="1:16" x14ac:dyDescent="0.25">
      <c r="A180">
        <v>179</v>
      </c>
      <c r="B180">
        <v>124</v>
      </c>
      <c r="C180" t="s">
        <v>16</v>
      </c>
      <c r="D180" t="s">
        <v>35</v>
      </c>
      <c r="E180" t="s">
        <v>49</v>
      </c>
      <c r="F180" t="s">
        <v>28</v>
      </c>
      <c r="G180" t="s">
        <v>20</v>
      </c>
      <c r="H180" t="s">
        <v>21</v>
      </c>
      <c r="I180" t="s">
        <v>24</v>
      </c>
      <c r="J180" t="s">
        <v>63</v>
      </c>
      <c r="K180">
        <v>2565</v>
      </c>
      <c r="L180">
        <v>1.696701</v>
      </c>
      <c r="M180">
        <v>74.798394612599097</v>
      </c>
      <c r="N180">
        <v>-0.34251622055333664</v>
      </c>
      <c r="O180" s="1" t="str">
        <f>HYPERLINK(".\sm_car_250414_0011\sm_car_250414_0011_179_Ca124TrN_MaLSS_ode3_1.png","figure")</f>
        <v>figure</v>
      </c>
      <c r="P180" t="s">
        <v>15</v>
      </c>
    </row>
    <row r="181" spans="1:16" x14ac:dyDescent="0.25">
      <c r="A181">
        <v>180</v>
      </c>
      <c r="B181">
        <v>124</v>
      </c>
      <c r="C181" t="s">
        <v>16</v>
      </c>
      <c r="D181" t="s">
        <v>35</v>
      </c>
      <c r="E181" t="s">
        <v>49</v>
      </c>
      <c r="F181" t="s">
        <v>28</v>
      </c>
      <c r="G181" t="s">
        <v>20</v>
      </c>
      <c r="H181" t="s">
        <v>21</v>
      </c>
      <c r="I181" t="s">
        <v>64</v>
      </c>
      <c r="J181" t="s">
        <v>63</v>
      </c>
      <c r="K181">
        <v>2564</v>
      </c>
      <c r="L181">
        <v>1.6126944999999999</v>
      </c>
      <c r="M181">
        <v>71.449352968456878</v>
      </c>
      <c r="N181">
        <v>-17.63759605520924</v>
      </c>
      <c r="O181" s="1" t="str">
        <f>HYPERLINK(".\sm_car_250414_0011\sm_car_250414_0011_180_Ca124TrN_MaTUR_ode3_1.png","figure")</f>
        <v>figure</v>
      </c>
      <c r="P181" t="s">
        <v>15</v>
      </c>
    </row>
    <row r="182" spans="1:16" x14ac:dyDescent="0.25">
      <c r="A182">
        <v>181</v>
      </c>
      <c r="B182">
        <v>141</v>
      </c>
      <c r="C182" t="s">
        <v>45</v>
      </c>
      <c r="D182" t="s">
        <v>17</v>
      </c>
      <c r="E182" t="s">
        <v>18</v>
      </c>
      <c r="F182" t="s">
        <v>28</v>
      </c>
      <c r="G182" t="s">
        <v>26</v>
      </c>
      <c r="H182" t="s">
        <v>21</v>
      </c>
      <c r="I182" t="s">
        <v>22</v>
      </c>
      <c r="J182" t="s">
        <v>63</v>
      </c>
      <c r="K182">
        <v>3837</v>
      </c>
      <c r="L182">
        <v>12.060314699999999</v>
      </c>
      <c r="M182">
        <v>405.30632146139419</v>
      </c>
      <c r="N182">
        <v>1.5698091478697282</v>
      </c>
      <c r="O182" s="1" t="str">
        <f>HYPERLINK(".\sm_car_250414_0011\sm_car_250414_0011_181_Ca141TrN_MaWOT_ode3_1.png","figure")</f>
        <v>figure</v>
      </c>
      <c r="P182" t="s">
        <v>15</v>
      </c>
    </row>
    <row r="183" spans="1:16" x14ac:dyDescent="0.25">
      <c r="A183">
        <v>182</v>
      </c>
      <c r="B183">
        <v>141</v>
      </c>
      <c r="C183" t="s">
        <v>45</v>
      </c>
      <c r="D183" t="s">
        <v>17</v>
      </c>
      <c r="E183" t="s">
        <v>18</v>
      </c>
      <c r="F183" t="s">
        <v>28</v>
      </c>
      <c r="G183" t="s">
        <v>26</v>
      </c>
      <c r="H183" t="s">
        <v>21</v>
      </c>
      <c r="I183" t="s">
        <v>24</v>
      </c>
      <c r="J183" t="s">
        <v>63</v>
      </c>
      <c r="K183">
        <v>3192</v>
      </c>
      <c r="L183">
        <v>10.138793400000001</v>
      </c>
      <c r="M183">
        <v>154.47541570703356</v>
      </c>
      <c r="N183">
        <v>-0.58371013006078798</v>
      </c>
      <c r="O183" s="1" t="str">
        <f>HYPERLINK(".\sm_car_250414_0011\sm_car_250414_0011_182_Ca141TrN_MaLSS_ode3_1.png","figure")</f>
        <v>figure</v>
      </c>
      <c r="P183" t="s">
        <v>15</v>
      </c>
    </row>
    <row r="184" spans="1:16" x14ac:dyDescent="0.25">
      <c r="A184">
        <v>183</v>
      </c>
      <c r="B184">
        <v>141</v>
      </c>
      <c r="C184" t="s">
        <v>45</v>
      </c>
      <c r="D184" t="s">
        <v>17</v>
      </c>
      <c r="E184" t="s">
        <v>18</v>
      </c>
      <c r="F184" t="s">
        <v>28</v>
      </c>
      <c r="G184" t="s">
        <v>26</v>
      </c>
      <c r="H184" t="s">
        <v>21</v>
      </c>
      <c r="I184" t="s">
        <v>64</v>
      </c>
      <c r="J184" t="s">
        <v>63</v>
      </c>
      <c r="K184">
        <v>3160</v>
      </c>
      <c r="L184">
        <v>10.0596502</v>
      </c>
      <c r="M184">
        <v>98.34609098441716</v>
      </c>
      <c r="N184">
        <v>-87.528834315745812</v>
      </c>
      <c r="O184" s="1" t="str">
        <f>HYPERLINK(".\sm_car_250414_0011\sm_car_250414_0011_183_Ca141TrN_MaTUR_ode3_1.png","figure")</f>
        <v>figure</v>
      </c>
      <c r="P184" t="s">
        <v>15</v>
      </c>
    </row>
    <row r="185" spans="1:16" x14ac:dyDescent="0.25">
      <c r="A185">
        <v>184</v>
      </c>
      <c r="B185">
        <v>145</v>
      </c>
      <c r="C185" t="s">
        <v>46</v>
      </c>
      <c r="D185" t="s">
        <v>17</v>
      </c>
      <c r="E185" t="s">
        <v>50</v>
      </c>
      <c r="F185" t="s">
        <v>19</v>
      </c>
      <c r="G185" t="s">
        <v>26</v>
      </c>
      <c r="H185" t="s">
        <v>21</v>
      </c>
      <c r="I185" t="s">
        <v>22</v>
      </c>
      <c r="J185" t="s">
        <v>63</v>
      </c>
      <c r="K185">
        <v>2852</v>
      </c>
      <c r="L185">
        <v>7.4749865</v>
      </c>
      <c r="M185">
        <v>96.209184494552233</v>
      </c>
      <c r="N185">
        <v>-6.2658213780580313E-2</v>
      </c>
      <c r="O185" s="1" t="str">
        <f>HYPERLINK(".\sm_car_250414_0011\sm_car_250414_0011_184_Ca145TrN_MaWOT_ode3_1.png","figure")</f>
        <v>figure</v>
      </c>
      <c r="P185" t="s">
        <v>15</v>
      </c>
    </row>
    <row r="186" spans="1:16" x14ac:dyDescent="0.25">
      <c r="A186">
        <v>185</v>
      </c>
      <c r="B186">
        <v>145</v>
      </c>
      <c r="C186" t="s">
        <v>46</v>
      </c>
      <c r="D186" t="s">
        <v>17</v>
      </c>
      <c r="E186" t="s">
        <v>50</v>
      </c>
      <c r="F186" t="s">
        <v>19</v>
      </c>
      <c r="G186" t="s">
        <v>26</v>
      </c>
      <c r="H186" t="s">
        <v>21</v>
      </c>
      <c r="I186" t="s">
        <v>24</v>
      </c>
      <c r="J186" t="s">
        <v>63</v>
      </c>
      <c r="K186">
        <v>2379</v>
      </c>
      <c r="L186">
        <v>6.4246692999999997</v>
      </c>
      <c r="M186">
        <v>25.34577185651434</v>
      </c>
      <c r="N186">
        <v>-5.5557779286251149E-2</v>
      </c>
      <c r="O186" s="1" t="str">
        <f>HYPERLINK(".\sm_car_250414_0011\sm_car_250414_0011_185_Ca145TrN_MaLSS_ode3_1.png","figure")</f>
        <v>figure</v>
      </c>
      <c r="P186" t="s">
        <v>15</v>
      </c>
    </row>
    <row r="187" spans="1:16" x14ac:dyDescent="0.25">
      <c r="A187">
        <v>186</v>
      </c>
      <c r="B187">
        <v>145</v>
      </c>
      <c r="C187" t="s">
        <v>46</v>
      </c>
      <c r="D187" t="s">
        <v>17</v>
      </c>
      <c r="E187" t="s">
        <v>50</v>
      </c>
      <c r="F187" t="s">
        <v>19</v>
      </c>
      <c r="G187" t="s">
        <v>26</v>
      </c>
      <c r="H187" t="s">
        <v>21</v>
      </c>
      <c r="I187" t="s">
        <v>64</v>
      </c>
      <c r="J187" t="s">
        <v>63</v>
      </c>
      <c r="K187">
        <v>2381</v>
      </c>
      <c r="L187">
        <v>6.2121681000000004</v>
      </c>
      <c r="M187">
        <v>25.187072900127831</v>
      </c>
      <c r="N187">
        <v>-2.6264773257736613</v>
      </c>
      <c r="O187" s="1" t="str">
        <f>HYPERLINK(".\sm_car_250414_0011\sm_car_250414_0011_186_Ca145TrN_MaTUR_ode3_1.png","figure")</f>
        <v>figure</v>
      </c>
      <c r="P187" t="s">
        <v>15</v>
      </c>
    </row>
    <row r="188" spans="1:16" x14ac:dyDescent="0.25">
      <c r="A188">
        <v>187</v>
      </c>
      <c r="B188">
        <v>199</v>
      </c>
      <c r="C188" t="s">
        <v>46</v>
      </c>
      <c r="D188" t="s">
        <v>17</v>
      </c>
      <c r="E188" t="s">
        <v>109</v>
      </c>
      <c r="F188" t="s">
        <v>19</v>
      </c>
      <c r="G188" t="s">
        <v>26</v>
      </c>
      <c r="H188" t="s">
        <v>21</v>
      </c>
      <c r="I188" t="s">
        <v>22</v>
      </c>
      <c r="J188" t="s">
        <v>63</v>
      </c>
      <c r="K188">
        <v>2857</v>
      </c>
      <c r="L188">
        <v>8.4289144</v>
      </c>
      <c r="M188">
        <v>96.879869854711799</v>
      </c>
      <c r="N188">
        <v>0.14649362080475317</v>
      </c>
      <c r="O188" s="1" t="str">
        <f>HYPERLINK(".\sm_car_250414_0011\sm_car_250414_0011_187_Ca199TrN_MaWOT_ode3_1.png","figure")</f>
        <v>figure</v>
      </c>
      <c r="P188" t="s">
        <v>15</v>
      </c>
    </row>
    <row r="189" spans="1:16" x14ac:dyDescent="0.25">
      <c r="A189">
        <v>188</v>
      </c>
      <c r="B189">
        <v>199</v>
      </c>
      <c r="C189" t="s">
        <v>46</v>
      </c>
      <c r="D189" t="s">
        <v>17</v>
      </c>
      <c r="E189" t="s">
        <v>109</v>
      </c>
      <c r="F189" t="s">
        <v>19</v>
      </c>
      <c r="G189" t="s">
        <v>26</v>
      </c>
      <c r="H189" t="s">
        <v>21</v>
      </c>
      <c r="I189" t="s">
        <v>24</v>
      </c>
      <c r="J189" t="s">
        <v>63</v>
      </c>
      <c r="K189">
        <v>2381</v>
      </c>
      <c r="L189">
        <v>6.9899639000000002</v>
      </c>
      <c r="M189">
        <v>25.961858178650331</v>
      </c>
      <c r="N189">
        <v>-2.8545665472503836E-2</v>
      </c>
      <c r="O189" s="1" t="str">
        <f>HYPERLINK(".\sm_car_250414_0011\sm_car_250414_0011_188_Ca199TrN_MaLSS_ode3_1.png","figure")</f>
        <v>figure</v>
      </c>
      <c r="P189" t="s">
        <v>15</v>
      </c>
    </row>
    <row r="190" spans="1:16" x14ac:dyDescent="0.25">
      <c r="A190">
        <v>189</v>
      </c>
      <c r="B190">
        <v>199</v>
      </c>
      <c r="C190" t="s">
        <v>46</v>
      </c>
      <c r="D190" t="s">
        <v>17</v>
      </c>
      <c r="E190" t="s">
        <v>109</v>
      </c>
      <c r="F190" t="s">
        <v>19</v>
      </c>
      <c r="G190" t="s">
        <v>26</v>
      </c>
      <c r="H190" t="s">
        <v>21</v>
      </c>
      <c r="I190" t="s">
        <v>64</v>
      </c>
      <c r="J190" t="s">
        <v>63</v>
      </c>
      <c r="K190">
        <v>2383</v>
      </c>
      <c r="L190">
        <v>6.885675</v>
      </c>
      <c r="M190">
        <v>25.754349123408758</v>
      </c>
      <c r="N190">
        <v>-2.6782060540286721</v>
      </c>
      <c r="O190" s="1" t="str">
        <f>HYPERLINK(".\sm_car_250414_0011\sm_car_250414_0011_189_Ca199TrN_MaTUR_ode3_1.png","figure")</f>
        <v>figure</v>
      </c>
      <c r="P190" t="s">
        <v>15</v>
      </c>
    </row>
    <row r="191" spans="1:16" x14ac:dyDescent="0.25">
      <c r="A191">
        <v>190</v>
      </c>
      <c r="B191">
        <v>139</v>
      </c>
      <c r="C191" t="s">
        <v>45</v>
      </c>
      <c r="D191" t="s">
        <v>17</v>
      </c>
      <c r="E191" t="s">
        <v>18</v>
      </c>
      <c r="F191" t="s">
        <v>19</v>
      </c>
      <c r="G191" t="s">
        <v>26</v>
      </c>
      <c r="H191" t="s">
        <v>21</v>
      </c>
      <c r="I191" t="s">
        <v>53</v>
      </c>
      <c r="J191" t="s">
        <v>23</v>
      </c>
      <c r="K191">
        <v>589</v>
      </c>
      <c r="L191">
        <v>11.888505200000001</v>
      </c>
      <c r="M191">
        <v>253.66716402312341</v>
      </c>
      <c r="N191">
        <v>-6.7269590350349517E-3</v>
      </c>
      <c r="O191" s="1" t="str">
        <f>HYPERLINK(".\sm_car_250414_0011\sm_car_250414_0011_190_Ca139TrN_MaDLC_ode23t_1.png","figure")</f>
        <v>figure</v>
      </c>
      <c r="P191" t="s">
        <v>15</v>
      </c>
    </row>
    <row r="192" spans="1:16" x14ac:dyDescent="0.25">
      <c r="A192">
        <v>191</v>
      </c>
      <c r="B192">
        <v>139</v>
      </c>
      <c r="C192" t="s">
        <v>45</v>
      </c>
      <c r="D192" t="s">
        <v>17</v>
      </c>
      <c r="E192" t="s">
        <v>18</v>
      </c>
      <c r="F192" t="s">
        <v>19</v>
      </c>
      <c r="G192" t="s">
        <v>26</v>
      </c>
      <c r="H192" t="s">
        <v>65</v>
      </c>
      <c r="I192" t="s">
        <v>53</v>
      </c>
      <c r="J192" t="s">
        <v>23</v>
      </c>
      <c r="K192">
        <v>911</v>
      </c>
      <c r="L192">
        <v>30.373620200000001</v>
      </c>
      <c r="M192">
        <v>253.27020861302225</v>
      </c>
      <c r="N192">
        <v>0.18002810014204007</v>
      </c>
      <c r="O192" s="1" t="str">
        <f>HYPERLINK(".\sm_car_250414_0011\sm_car_250414_0011_191_Ca139TrE_MaDLC_ode23t_1.png","figure")</f>
        <v>figure</v>
      </c>
      <c r="P192" t="s">
        <v>15</v>
      </c>
    </row>
    <row r="193" spans="1:16" x14ac:dyDescent="0.25">
      <c r="A193">
        <v>192</v>
      </c>
      <c r="B193">
        <v>139</v>
      </c>
      <c r="C193" t="s">
        <v>45</v>
      </c>
      <c r="D193" t="s">
        <v>17</v>
      </c>
      <c r="E193" t="s">
        <v>18</v>
      </c>
      <c r="F193" t="s">
        <v>19</v>
      </c>
      <c r="G193" t="s">
        <v>26</v>
      </c>
      <c r="H193" t="s">
        <v>66</v>
      </c>
      <c r="I193" t="s">
        <v>53</v>
      </c>
      <c r="J193" t="s">
        <v>23</v>
      </c>
      <c r="K193">
        <v>1021</v>
      </c>
      <c r="L193">
        <v>36.287632700000003</v>
      </c>
      <c r="M193">
        <v>253.39459601151697</v>
      </c>
      <c r="N193">
        <v>-6.4681254662422027E-3</v>
      </c>
      <c r="O193" s="1" t="str">
        <f>HYPERLINK(".\sm_car_250414_0011\sm_car_250414_0011_192_Ca139TrT_MaDLC_ode23t_1.png","figure")</f>
        <v>figure</v>
      </c>
      <c r="P193" t="s">
        <v>15</v>
      </c>
    </row>
    <row r="194" spans="1:16" x14ac:dyDescent="0.25">
      <c r="A194">
        <v>193</v>
      </c>
      <c r="B194">
        <v>139</v>
      </c>
      <c r="C194" t="s">
        <v>45</v>
      </c>
      <c r="D194" t="s">
        <v>17</v>
      </c>
      <c r="E194" t="s">
        <v>18</v>
      </c>
      <c r="F194" t="s">
        <v>19</v>
      </c>
      <c r="G194" t="s">
        <v>26</v>
      </c>
      <c r="H194" t="s">
        <v>65</v>
      </c>
      <c r="I194" t="s">
        <v>53</v>
      </c>
      <c r="J194" t="s">
        <v>23</v>
      </c>
      <c r="K194">
        <v>766</v>
      </c>
      <c r="L194">
        <v>19.2673731</v>
      </c>
      <c r="M194">
        <v>253.87757504944528</v>
      </c>
      <c r="N194">
        <v>1.1888006338824031E-2</v>
      </c>
      <c r="O194" s="1" t="str">
        <f>HYPERLINK(".\sm_car_250414_0011\sm_car_250414_0011_193_Ca139TrE_MaDLC_ode23t_1.png","figure")</f>
        <v>figure</v>
      </c>
      <c r="P194" t="s">
        <v>15</v>
      </c>
    </row>
    <row r="195" spans="1:16" x14ac:dyDescent="0.25">
      <c r="A195">
        <v>194</v>
      </c>
      <c r="B195">
        <v>2</v>
      </c>
      <c r="C195" t="s">
        <v>16</v>
      </c>
      <c r="D195" t="s">
        <v>17</v>
      </c>
      <c r="E195" t="s">
        <v>18</v>
      </c>
      <c r="F195" t="s">
        <v>19</v>
      </c>
      <c r="G195" t="s">
        <v>26</v>
      </c>
      <c r="H195" t="s">
        <v>21</v>
      </c>
      <c r="I195" t="s">
        <v>53</v>
      </c>
      <c r="J195" t="s">
        <v>23</v>
      </c>
      <c r="K195">
        <v>634</v>
      </c>
      <c r="L195">
        <v>9.4831231999999996</v>
      </c>
      <c r="M195">
        <v>253.90000433336763</v>
      </c>
      <c r="N195">
        <v>3.3371282063554553E-3</v>
      </c>
      <c r="O195" s="1" t="str">
        <f>HYPERLINK(".\sm_car_250414_0011\sm_car_250414_0011_194_Ca002TrN_MaDLC_ode23t_1.png","figure")</f>
        <v>figure</v>
      </c>
      <c r="P195" t="s">
        <v>15</v>
      </c>
    </row>
    <row r="196" spans="1:16" x14ac:dyDescent="0.25">
      <c r="A196">
        <v>195</v>
      </c>
      <c r="B196">
        <v>2</v>
      </c>
      <c r="C196" t="s">
        <v>16</v>
      </c>
      <c r="D196" t="s">
        <v>17</v>
      </c>
      <c r="E196" t="s">
        <v>18</v>
      </c>
      <c r="F196" t="s">
        <v>19</v>
      </c>
      <c r="G196" t="s">
        <v>26</v>
      </c>
      <c r="H196" t="s">
        <v>65</v>
      </c>
      <c r="I196" t="s">
        <v>53</v>
      </c>
      <c r="J196" t="s">
        <v>23</v>
      </c>
      <c r="K196">
        <v>791</v>
      </c>
      <c r="L196">
        <v>22.721259400000001</v>
      </c>
      <c r="M196">
        <v>253.83997308275849</v>
      </c>
      <c r="N196">
        <v>3.3926734565241645E-3</v>
      </c>
      <c r="O196" s="1" t="str">
        <f>HYPERLINK(".\sm_car_250414_0011\sm_car_250414_0011_195_Ca002TrE_MaDLC_ode23t_1.png","figure")</f>
        <v>figure</v>
      </c>
      <c r="P196" t="s">
        <v>15</v>
      </c>
    </row>
    <row r="197" spans="1:16" x14ac:dyDescent="0.25">
      <c r="A197">
        <v>196</v>
      </c>
      <c r="B197">
        <v>2</v>
      </c>
      <c r="C197" t="s">
        <v>16</v>
      </c>
      <c r="D197" t="s">
        <v>17</v>
      </c>
      <c r="E197" t="s">
        <v>18</v>
      </c>
      <c r="F197" t="s">
        <v>19</v>
      </c>
      <c r="G197" t="s">
        <v>26</v>
      </c>
      <c r="H197" t="s">
        <v>66</v>
      </c>
      <c r="I197" t="s">
        <v>53</v>
      </c>
      <c r="J197" t="s">
        <v>23</v>
      </c>
      <c r="K197">
        <v>916</v>
      </c>
      <c r="L197">
        <v>25.286368400000001</v>
      </c>
      <c r="M197">
        <v>253.58906424966762</v>
      </c>
      <c r="N197">
        <v>3.5312375439850996E-3</v>
      </c>
      <c r="O197" s="1" t="str">
        <f>HYPERLINK(".\sm_car_250414_0011\sm_car_250414_0011_196_Ca002TrT_MaDLC_ode23t_1.png","figure")</f>
        <v>figure</v>
      </c>
      <c r="P197" t="s">
        <v>15</v>
      </c>
    </row>
    <row r="198" spans="1:16" x14ac:dyDescent="0.25">
      <c r="A198">
        <v>197</v>
      </c>
      <c r="B198">
        <v>2</v>
      </c>
      <c r="C198" t="s">
        <v>16</v>
      </c>
      <c r="D198" t="s">
        <v>17</v>
      </c>
      <c r="E198" t="s">
        <v>18</v>
      </c>
      <c r="F198" t="s">
        <v>19</v>
      </c>
      <c r="G198" t="s">
        <v>26</v>
      </c>
      <c r="H198" t="s">
        <v>65</v>
      </c>
      <c r="I198" t="s">
        <v>53</v>
      </c>
      <c r="J198" t="s">
        <v>23</v>
      </c>
      <c r="K198">
        <v>793</v>
      </c>
      <c r="L198">
        <v>16.553878699999999</v>
      </c>
      <c r="M198">
        <v>253.84061674016567</v>
      </c>
      <c r="N198">
        <v>3.3896351311888395E-3</v>
      </c>
      <c r="O198" s="1" t="str">
        <f>HYPERLINK(".\sm_car_250414_0011\sm_car_250414_0011_197_Ca002TrE_MaDLC_ode23t_1.png","figure")</f>
        <v>figure</v>
      </c>
      <c r="P198" t="s">
        <v>15</v>
      </c>
    </row>
    <row r="199" spans="1:16" x14ac:dyDescent="0.25">
      <c r="A199">
        <v>198</v>
      </c>
      <c r="B199">
        <v>145</v>
      </c>
      <c r="C199" t="s">
        <v>46</v>
      </c>
      <c r="D199" t="s">
        <v>17</v>
      </c>
      <c r="E199" t="s">
        <v>50</v>
      </c>
      <c r="F199" t="s">
        <v>19</v>
      </c>
      <c r="G199" t="s">
        <v>26</v>
      </c>
      <c r="H199" t="s">
        <v>21</v>
      </c>
      <c r="I199" t="s">
        <v>53</v>
      </c>
      <c r="J199" t="s">
        <v>23</v>
      </c>
      <c r="K199">
        <v>487</v>
      </c>
      <c r="L199">
        <v>17.865940800000001</v>
      </c>
      <c r="M199">
        <v>254.26090186541876</v>
      </c>
      <c r="N199">
        <v>4.5453762582539969E-2</v>
      </c>
      <c r="O199" s="1" t="str">
        <f>HYPERLINK(".\sm_car_250414_0011\sm_car_250414_0011_198_Ca145TrN_MaDLC_ode23t_1.png","figure")</f>
        <v>figure</v>
      </c>
      <c r="P199" t="s">
        <v>15</v>
      </c>
    </row>
    <row r="200" spans="1:16" x14ac:dyDescent="0.25">
      <c r="A200">
        <v>199</v>
      </c>
      <c r="B200">
        <v>145</v>
      </c>
      <c r="C200" t="s">
        <v>46</v>
      </c>
      <c r="D200" t="s">
        <v>17</v>
      </c>
      <c r="E200" t="s">
        <v>50</v>
      </c>
      <c r="F200" t="s">
        <v>19</v>
      </c>
      <c r="G200" t="s">
        <v>26</v>
      </c>
      <c r="H200" t="s">
        <v>65</v>
      </c>
      <c r="I200" t="s">
        <v>53</v>
      </c>
      <c r="J200" t="s">
        <v>23</v>
      </c>
      <c r="K200">
        <v>560</v>
      </c>
      <c r="L200">
        <v>31.890104600000001</v>
      </c>
      <c r="M200">
        <v>254.12654475752146</v>
      </c>
      <c r="N200">
        <v>4.6233497366684695E-2</v>
      </c>
      <c r="O200" s="1" t="str">
        <f>HYPERLINK(".\sm_car_250414_0011\sm_car_250414_0011_199_Ca145TrE_MaDLC_ode23t_1.png","figure")</f>
        <v>figure</v>
      </c>
      <c r="P200" t="s">
        <v>15</v>
      </c>
    </row>
    <row r="201" spans="1:16" x14ac:dyDescent="0.25">
      <c r="A201">
        <v>200</v>
      </c>
      <c r="B201">
        <v>145</v>
      </c>
      <c r="C201" t="s">
        <v>46</v>
      </c>
      <c r="D201" t="s">
        <v>17</v>
      </c>
      <c r="E201" t="s">
        <v>50</v>
      </c>
      <c r="F201" t="s">
        <v>19</v>
      </c>
      <c r="G201" t="s">
        <v>26</v>
      </c>
      <c r="H201" t="s">
        <v>66</v>
      </c>
      <c r="I201" t="s">
        <v>53</v>
      </c>
      <c r="J201" t="s">
        <v>23</v>
      </c>
      <c r="K201">
        <v>600</v>
      </c>
      <c r="L201">
        <v>33.657214000000003</v>
      </c>
      <c r="M201">
        <v>253.25960144675213</v>
      </c>
      <c r="N201">
        <v>4.9207530333350125E-2</v>
      </c>
      <c r="O201" s="1" t="str">
        <f>HYPERLINK(".\sm_car_250414_0011\sm_car_250414_0011_200_Ca145TrT_MaDLC_ode23t_1.png","figure")</f>
        <v>figure</v>
      </c>
      <c r="P201" t="s">
        <v>15</v>
      </c>
    </row>
    <row r="202" spans="1:16" x14ac:dyDescent="0.25">
      <c r="A202">
        <v>201</v>
      </c>
      <c r="B202">
        <v>145</v>
      </c>
      <c r="C202" t="s">
        <v>46</v>
      </c>
      <c r="D202" t="s">
        <v>17</v>
      </c>
      <c r="E202" t="s">
        <v>50</v>
      </c>
      <c r="F202" t="s">
        <v>19</v>
      </c>
      <c r="G202" t="s">
        <v>26</v>
      </c>
      <c r="H202" t="s">
        <v>65</v>
      </c>
      <c r="I202" t="s">
        <v>53</v>
      </c>
      <c r="J202" t="s">
        <v>23</v>
      </c>
      <c r="K202">
        <v>560</v>
      </c>
      <c r="L202">
        <v>28.369758099999999</v>
      </c>
      <c r="M202">
        <v>253.30384111675301</v>
      </c>
      <c r="N202">
        <v>4.9397216514333486E-2</v>
      </c>
      <c r="O202" s="1" t="str">
        <f>HYPERLINK(".\sm_car_250414_0011\sm_car_250414_0011_201_Ca145TrE_MaDLC_ode23t_1.png","figure")</f>
        <v>figure</v>
      </c>
      <c r="P202" t="s">
        <v>15</v>
      </c>
    </row>
    <row r="203" spans="1:16" x14ac:dyDescent="0.25">
      <c r="A203">
        <v>202</v>
      </c>
      <c r="B203">
        <v>199</v>
      </c>
      <c r="C203" t="s">
        <v>46</v>
      </c>
      <c r="D203" t="s">
        <v>17</v>
      </c>
      <c r="E203" t="s">
        <v>109</v>
      </c>
      <c r="F203" t="s">
        <v>19</v>
      </c>
      <c r="G203" t="s">
        <v>26</v>
      </c>
      <c r="H203" t="s">
        <v>21</v>
      </c>
      <c r="I203" t="s">
        <v>53</v>
      </c>
      <c r="J203" t="s">
        <v>23</v>
      </c>
      <c r="K203">
        <v>483</v>
      </c>
      <c r="L203">
        <v>7.2080786000000003</v>
      </c>
      <c r="M203">
        <v>255.3453297362725</v>
      </c>
      <c r="N203">
        <v>4.1324330178382773E-2</v>
      </c>
      <c r="O203" s="1" t="str">
        <f>HYPERLINK(".\sm_car_250414_0011\sm_car_250414_0011_202_Ca199TrN_MaDLC_ode23t_1.png","figure")</f>
        <v>figure</v>
      </c>
      <c r="P203" t="s">
        <v>15</v>
      </c>
    </row>
    <row r="204" spans="1:16" x14ac:dyDescent="0.25">
      <c r="A204">
        <v>203</v>
      </c>
      <c r="B204">
        <v>199</v>
      </c>
      <c r="C204" t="s">
        <v>46</v>
      </c>
      <c r="D204" t="s">
        <v>17</v>
      </c>
      <c r="E204" t="s">
        <v>109</v>
      </c>
      <c r="F204" t="s">
        <v>19</v>
      </c>
      <c r="G204" t="s">
        <v>26</v>
      </c>
      <c r="H204" t="s">
        <v>65</v>
      </c>
      <c r="I204" t="s">
        <v>53</v>
      </c>
      <c r="J204" t="s">
        <v>23</v>
      </c>
      <c r="K204">
        <v>552</v>
      </c>
      <c r="L204">
        <v>17.594060200000001</v>
      </c>
      <c r="M204">
        <v>254.12773276408967</v>
      </c>
      <c r="N204">
        <v>4.6188562379163134E-2</v>
      </c>
      <c r="O204" s="1" t="str">
        <f>HYPERLINK(".\sm_car_250414_0011\sm_car_250414_0011_203_Ca199TrE_MaDLC_ode23t_1.png","figure")</f>
        <v>figure</v>
      </c>
      <c r="P204" t="s">
        <v>15</v>
      </c>
    </row>
    <row r="205" spans="1:16" x14ac:dyDescent="0.25">
      <c r="A205">
        <v>204</v>
      </c>
      <c r="B205">
        <v>199</v>
      </c>
      <c r="C205" t="s">
        <v>46</v>
      </c>
      <c r="D205" t="s">
        <v>17</v>
      </c>
      <c r="E205" t="s">
        <v>109</v>
      </c>
      <c r="F205" t="s">
        <v>19</v>
      </c>
      <c r="G205" t="s">
        <v>26</v>
      </c>
      <c r="H205" t="s">
        <v>66</v>
      </c>
      <c r="I205" t="s">
        <v>53</v>
      </c>
      <c r="J205" t="s">
        <v>23</v>
      </c>
      <c r="K205">
        <v>611</v>
      </c>
      <c r="L205">
        <v>15.7295964</v>
      </c>
      <c r="M205">
        <v>254.5418190974296</v>
      </c>
      <c r="N205">
        <v>4.4317152094191403E-2</v>
      </c>
      <c r="O205" s="1" t="str">
        <f>HYPERLINK(".\sm_car_250414_0011\sm_car_250414_0011_204_Ca199TrT_MaDLC_ode23t_1.png","figure")</f>
        <v>figure</v>
      </c>
      <c r="P205" t="s">
        <v>15</v>
      </c>
    </row>
    <row r="206" spans="1:16" x14ac:dyDescent="0.25">
      <c r="A206">
        <v>205</v>
      </c>
      <c r="B206">
        <v>199</v>
      </c>
      <c r="C206" t="s">
        <v>46</v>
      </c>
      <c r="D206" t="s">
        <v>17</v>
      </c>
      <c r="E206" t="s">
        <v>109</v>
      </c>
      <c r="F206" t="s">
        <v>19</v>
      </c>
      <c r="G206" t="s">
        <v>26</v>
      </c>
      <c r="H206" t="s">
        <v>65</v>
      </c>
      <c r="I206" t="s">
        <v>53</v>
      </c>
      <c r="J206" t="s">
        <v>23</v>
      </c>
      <c r="K206">
        <v>562</v>
      </c>
      <c r="L206">
        <v>12.493141100000001</v>
      </c>
      <c r="M206">
        <v>254.12796142054214</v>
      </c>
      <c r="N206">
        <v>4.623680946304054E-2</v>
      </c>
      <c r="O206" s="1" t="str">
        <f>HYPERLINK(".\sm_car_250414_0011\sm_car_250414_0011_205_Ca199TrE_MaDLC_ode23t_1.png","figure")</f>
        <v>figure</v>
      </c>
      <c r="P206" t="s">
        <v>15</v>
      </c>
    </row>
    <row r="207" spans="1:16" x14ac:dyDescent="0.25">
      <c r="A207">
        <v>206</v>
      </c>
      <c r="B207">
        <v>189</v>
      </c>
      <c r="C207" t="s">
        <v>45</v>
      </c>
      <c r="D207" t="s">
        <v>17</v>
      </c>
      <c r="E207" t="s">
        <v>107</v>
      </c>
      <c r="F207" t="s">
        <v>19</v>
      </c>
      <c r="G207" t="s">
        <v>26</v>
      </c>
      <c r="H207" t="s">
        <v>65</v>
      </c>
      <c r="I207" t="s">
        <v>67</v>
      </c>
      <c r="J207" t="s">
        <v>23</v>
      </c>
      <c r="K207">
        <v>463</v>
      </c>
      <c r="L207">
        <v>9.4184283000000004</v>
      </c>
      <c r="M207">
        <v>261.53480129808935</v>
      </c>
      <c r="N207">
        <v>1.3647221359169848E-3</v>
      </c>
      <c r="O207" s="1" t="str">
        <f>HYPERLINK(".\sm_car_250414_0011\sm_car_250414_0011_206_Ca189TrE_MaTRD_ode23t_1.png","figure")</f>
        <v>figure</v>
      </c>
      <c r="P207" t="s">
        <v>15</v>
      </c>
    </row>
    <row r="208" spans="1:16" x14ac:dyDescent="0.25">
      <c r="A208">
        <v>207</v>
      </c>
      <c r="B208">
        <v>189</v>
      </c>
      <c r="C208" t="s">
        <v>45</v>
      </c>
      <c r="D208" t="s">
        <v>17</v>
      </c>
      <c r="E208" t="s">
        <v>107</v>
      </c>
      <c r="F208" t="s">
        <v>19</v>
      </c>
      <c r="G208" t="s">
        <v>26</v>
      </c>
      <c r="H208" t="s">
        <v>65</v>
      </c>
      <c r="I208" t="s">
        <v>67</v>
      </c>
      <c r="J208" t="s">
        <v>23</v>
      </c>
      <c r="K208">
        <v>638</v>
      </c>
      <c r="L208">
        <v>12.2870443</v>
      </c>
      <c r="M208">
        <v>261.4272448063191</v>
      </c>
      <c r="N208">
        <v>-9.9032409767862095E-2</v>
      </c>
      <c r="O208" s="1" t="str">
        <f>HYPERLINK(".\sm_car_250414_0011\sm_car_250414_0011_207_Ca189TrU_MaTRD_ode23t_1.png","figure")</f>
        <v>figure</v>
      </c>
      <c r="P208" t="s">
        <v>15</v>
      </c>
    </row>
    <row r="209" spans="1:16" x14ac:dyDescent="0.25">
      <c r="A209">
        <v>208</v>
      </c>
      <c r="B209">
        <v>149</v>
      </c>
      <c r="C209" t="s">
        <v>46</v>
      </c>
      <c r="D209" t="s">
        <v>17</v>
      </c>
      <c r="E209" t="s">
        <v>68</v>
      </c>
      <c r="F209" t="s">
        <v>19</v>
      </c>
      <c r="G209" t="s">
        <v>26</v>
      </c>
      <c r="H209" t="s">
        <v>21</v>
      </c>
      <c r="I209" t="s">
        <v>69</v>
      </c>
      <c r="J209" t="s">
        <v>23</v>
      </c>
      <c r="K209">
        <v>608</v>
      </c>
      <c r="L209">
        <v>10.835852600000001</v>
      </c>
      <c r="M209">
        <v>-5.5790165541211856E-3</v>
      </c>
      <c r="N209">
        <v>-1.9325177432828466E-3</v>
      </c>
      <c r="O209" s="1" t="str">
        <f>HYPERLINK(".\sm_car_250414_0011\sm_car_250414_0011_208_Ca149TrN_MaPST_ode23t_1.png","figure")</f>
        <v>figure</v>
      </c>
      <c r="P209" t="s">
        <v>15</v>
      </c>
    </row>
    <row r="210" spans="1:16" x14ac:dyDescent="0.25">
      <c r="A210">
        <v>209</v>
      </c>
      <c r="B210">
        <v>139</v>
      </c>
      <c r="C210" t="s">
        <v>45</v>
      </c>
      <c r="D210" t="s">
        <v>17</v>
      </c>
      <c r="E210" t="s">
        <v>18</v>
      </c>
      <c r="F210" t="s">
        <v>19</v>
      </c>
      <c r="G210" t="s">
        <v>26</v>
      </c>
      <c r="H210" t="s">
        <v>21</v>
      </c>
      <c r="I210" t="s">
        <v>70</v>
      </c>
      <c r="J210" t="s">
        <v>23</v>
      </c>
      <c r="K210">
        <v>1577</v>
      </c>
      <c r="L210">
        <v>36.810522400000004</v>
      </c>
      <c r="M210">
        <v>37.051242257747774</v>
      </c>
      <c r="N210">
        <v>0.32458629373677744</v>
      </c>
      <c r="O210" s="1" t="str">
        <f>HYPERLINK(".\sm_car_250414_0011\sm_car_250414_0011_209_Ca139TrN_MaSKD_ode23t_1.png","figure")</f>
        <v>figure</v>
      </c>
      <c r="P210" t="s">
        <v>15</v>
      </c>
    </row>
    <row r="211" spans="1:16" x14ac:dyDescent="0.25">
      <c r="A211">
        <v>210</v>
      </c>
      <c r="B211">
        <v>139</v>
      </c>
      <c r="C211" t="s">
        <v>45</v>
      </c>
      <c r="D211" t="s">
        <v>17</v>
      </c>
      <c r="E211" t="s">
        <v>18</v>
      </c>
      <c r="F211" t="s">
        <v>19</v>
      </c>
      <c r="G211" t="s">
        <v>26</v>
      </c>
      <c r="H211" t="s">
        <v>21</v>
      </c>
      <c r="I211" t="s">
        <v>71</v>
      </c>
      <c r="J211" t="s">
        <v>23</v>
      </c>
      <c r="K211">
        <v>1114</v>
      </c>
      <c r="L211">
        <v>32.219171299999999</v>
      </c>
      <c r="M211">
        <v>3.4996080076307798</v>
      </c>
      <c r="N211">
        <v>27.102867467534715</v>
      </c>
      <c r="O211" s="1" t="str">
        <f>HYPERLINK(".\sm_car_250414_0011\sm_car_250414_0011_210_Ca139TrN_MaRAD_ode23t_1.png","figure")</f>
        <v>figure</v>
      </c>
      <c r="P211" t="s">
        <v>15</v>
      </c>
    </row>
    <row r="212" spans="1:16" x14ac:dyDescent="0.25">
      <c r="A212">
        <v>211</v>
      </c>
      <c r="B212">
        <v>184</v>
      </c>
      <c r="C212" t="s">
        <v>105</v>
      </c>
      <c r="D212" t="s">
        <v>120</v>
      </c>
      <c r="E212" t="s">
        <v>49</v>
      </c>
      <c r="F212" t="s">
        <v>19</v>
      </c>
      <c r="G212" t="s">
        <v>20</v>
      </c>
      <c r="H212" t="s">
        <v>21</v>
      </c>
      <c r="I212" t="s">
        <v>70</v>
      </c>
      <c r="J212" t="s">
        <v>23</v>
      </c>
      <c r="K212">
        <v>1332</v>
      </c>
      <c r="L212">
        <v>49.158734799999998</v>
      </c>
      <c r="M212">
        <v>36.391780298168435</v>
      </c>
      <c r="N212">
        <v>0.24997603447338734</v>
      </c>
      <c r="O212" s="1" t="str">
        <f>HYPERLINK(".\sm_car_250414_0011\sm_car_250414_0011_211_Ca184TrN_MaSKD_ode23t_1.png","figure")</f>
        <v>figure</v>
      </c>
      <c r="P212" t="s">
        <v>15</v>
      </c>
    </row>
    <row r="213" spans="1:16" x14ac:dyDescent="0.25">
      <c r="A213">
        <v>212</v>
      </c>
      <c r="B213">
        <v>184</v>
      </c>
      <c r="C213" t="s">
        <v>105</v>
      </c>
      <c r="D213" t="s">
        <v>120</v>
      </c>
      <c r="E213" t="s">
        <v>49</v>
      </c>
      <c r="F213" t="s">
        <v>19</v>
      </c>
      <c r="G213" t="s">
        <v>20</v>
      </c>
      <c r="H213" t="s">
        <v>21</v>
      </c>
      <c r="I213" t="s">
        <v>71</v>
      </c>
      <c r="J213" t="s">
        <v>23</v>
      </c>
      <c r="K213">
        <v>624</v>
      </c>
      <c r="L213">
        <v>24.051933300000002</v>
      </c>
      <c r="M213">
        <v>13.885022118108798</v>
      </c>
      <c r="N213">
        <v>23.763789220475395</v>
      </c>
      <c r="O213" s="1" t="str">
        <f>HYPERLINK(".\sm_car_250414_0011\sm_car_250414_0011_212_Ca184TrN_MaRAD_ode23t_1.png","figure")</f>
        <v>figure</v>
      </c>
      <c r="P213" t="s">
        <v>15</v>
      </c>
    </row>
    <row r="214" spans="1:16" x14ac:dyDescent="0.25">
      <c r="A214">
        <v>213</v>
      </c>
      <c r="B214">
        <v>198</v>
      </c>
      <c r="C214" t="s">
        <v>105</v>
      </c>
      <c r="D214" t="s">
        <v>120</v>
      </c>
      <c r="E214" t="s">
        <v>107</v>
      </c>
      <c r="F214" t="s">
        <v>19</v>
      </c>
      <c r="G214" t="s">
        <v>20</v>
      </c>
      <c r="H214" t="s">
        <v>21</v>
      </c>
      <c r="I214" t="s">
        <v>70</v>
      </c>
      <c r="J214" t="s">
        <v>23</v>
      </c>
      <c r="K214">
        <v>1407</v>
      </c>
      <c r="L214">
        <v>29.685871299999999</v>
      </c>
      <c r="M214">
        <v>36.382982853984949</v>
      </c>
      <c r="N214">
        <v>0.25043340474825027</v>
      </c>
      <c r="O214" s="1" t="str">
        <f>HYPERLINK(".\sm_car_250414_0011\sm_car_250414_0011_213_Ca198TrN_MaSKD_ode23t_1.png","figure")</f>
        <v>figure</v>
      </c>
      <c r="P214" t="s">
        <v>15</v>
      </c>
    </row>
    <row r="215" spans="1:16" x14ac:dyDescent="0.25">
      <c r="A215">
        <v>214</v>
      </c>
      <c r="B215">
        <v>198</v>
      </c>
      <c r="C215" t="s">
        <v>105</v>
      </c>
      <c r="D215" t="s">
        <v>120</v>
      </c>
      <c r="E215" t="s">
        <v>107</v>
      </c>
      <c r="F215" t="s">
        <v>19</v>
      </c>
      <c r="G215" t="s">
        <v>20</v>
      </c>
      <c r="H215" t="s">
        <v>21</v>
      </c>
      <c r="I215" t="s">
        <v>71</v>
      </c>
      <c r="J215" t="s">
        <v>23</v>
      </c>
      <c r="K215">
        <v>666</v>
      </c>
      <c r="L215">
        <v>13.7541039</v>
      </c>
      <c r="M215">
        <v>13.858444027024266</v>
      </c>
      <c r="N215">
        <v>23.71310075366155</v>
      </c>
      <c r="O215" s="1" t="str">
        <f>HYPERLINK(".\sm_car_250414_0011\sm_car_250414_0011_214_Ca198TrN_MaRAD_ode23t_1.png","figure")</f>
        <v>figure</v>
      </c>
      <c r="P215" t="s">
        <v>15</v>
      </c>
    </row>
    <row r="216" spans="1:16" x14ac:dyDescent="0.25">
      <c r="A216">
        <v>215</v>
      </c>
      <c r="B216">
        <v>156</v>
      </c>
      <c r="C216" t="s">
        <v>45</v>
      </c>
      <c r="D216" t="s">
        <v>17</v>
      </c>
      <c r="E216" t="s">
        <v>18</v>
      </c>
      <c r="F216" t="s">
        <v>19</v>
      </c>
      <c r="G216" t="s">
        <v>38</v>
      </c>
      <c r="H216" t="s">
        <v>21</v>
      </c>
      <c r="I216" t="s">
        <v>54</v>
      </c>
      <c r="J216" t="s">
        <v>23</v>
      </c>
      <c r="K216">
        <v>24236</v>
      </c>
      <c r="L216">
        <v>356.9118919</v>
      </c>
      <c r="M216">
        <v>19.306141262901988</v>
      </c>
      <c r="N216">
        <v>2.7064044984825943</v>
      </c>
      <c r="O216" s="1" t="str">
        <f>HYPERLINK(".\sm_car_250414_0011\sm_car_250414_0011_215_Ca156TrN_MaIPA_ode23t.png","figure")</f>
        <v>figure</v>
      </c>
      <c r="P216" t="s">
        <v>15</v>
      </c>
    </row>
    <row r="217" spans="1:16" x14ac:dyDescent="0.25">
      <c r="A217">
        <v>216</v>
      </c>
      <c r="B217">
        <v>130</v>
      </c>
      <c r="C217" t="s">
        <v>16</v>
      </c>
      <c r="D217" t="s">
        <v>17</v>
      </c>
      <c r="E217" t="s">
        <v>18</v>
      </c>
      <c r="F217" t="s">
        <v>19</v>
      </c>
      <c r="G217" t="s">
        <v>38</v>
      </c>
      <c r="H217" t="s">
        <v>21</v>
      </c>
      <c r="I217" t="s">
        <v>54</v>
      </c>
      <c r="J217" t="s">
        <v>23</v>
      </c>
      <c r="K217">
        <v>18114</v>
      </c>
      <c r="L217">
        <v>267.01664579999999</v>
      </c>
      <c r="M217">
        <v>16.357748331297593</v>
      </c>
      <c r="N217">
        <v>0.56875642955866101</v>
      </c>
      <c r="O217" s="1" t="str">
        <f>HYPERLINK(".\sm_car_250414_0011\sm_car_250414_0011_216_Ca130TrN_MaIPA_ode23t.png","figure")</f>
        <v>figure</v>
      </c>
      <c r="P217" t="s">
        <v>15</v>
      </c>
    </row>
    <row r="218" spans="1:16" x14ac:dyDescent="0.25">
      <c r="A218">
        <v>217</v>
      </c>
      <c r="B218">
        <v>171</v>
      </c>
      <c r="C218" t="s">
        <v>45</v>
      </c>
      <c r="D218" t="s">
        <v>17</v>
      </c>
      <c r="E218" t="s">
        <v>72</v>
      </c>
      <c r="F218" t="s">
        <v>19</v>
      </c>
      <c r="G218" t="s">
        <v>26</v>
      </c>
      <c r="H218" t="s">
        <v>21</v>
      </c>
      <c r="I218" t="s">
        <v>73</v>
      </c>
      <c r="J218" t="s">
        <v>23</v>
      </c>
      <c r="K218">
        <v>1373</v>
      </c>
      <c r="L218">
        <v>23.4202081</v>
      </c>
      <c r="M218">
        <v>338.79376796852227</v>
      </c>
      <c r="N218">
        <v>0.66359458112487091</v>
      </c>
      <c r="O218" s="1" t="str">
        <f>HYPERLINK(".\sm_car_250414_0011\sm_car_250414_0011_217_Ca171TrN_MaRDP_ode23t_1.png","figure")</f>
        <v>figure</v>
      </c>
      <c r="P218" t="s">
        <v>15</v>
      </c>
    </row>
    <row r="219" spans="1:16" x14ac:dyDescent="0.25">
      <c r="A219">
        <v>218</v>
      </c>
      <c r="B219">
        <v>172</v>
      </c>
      <c r="C219" t="s">
        <v>46</v>
      </c>
      <c r="D219" t="s">
        <v>17</v>
      </c>
      <c r="E219" t="s">
        <v>72</v>
      </c>
      <c r="F219" t="s">
        <v>19</v>
      </c>
      <c r="G219" t="s">
        <v>26</v>
      </c>
      <c r="H219" t="s">
        <v>21</v>
      </c>
      <c r="I219" t="s">
        <v>73</v>
      </c>
      <c r="J219" t="s">
        <v>23</v>
      </c>
      <c r="K219">
        <v>1227</v>
      </c>
      <c r="L219">
        <v>11.9425595</v>
      </c>
      <c r="M219">
        <v>137.93021495672815</v>
      </c>
      <c r="N219">
        <v>3.6787936739008563E-2</v>
      </c>
      <c r="O219" s="1" t="str">
        <f>HYPERLINK(".\sm_car_250414_0011\sm_car_250414_0011_218_Ca172TrN_MaRDP_ode23t_1.png","figure")</f>
        <v>figure</v>
      </c>
      <c r="P219" t="s">
        <v>15</v>
      </c>
    </row>
    <row r="220" spans="1:16" x14ac:dyDescent="0.25">
      <c r="A220">
        <v>219</v>
      </c>
      <c r="B220">
        <v>139</v>
      </c>
      <c r="C220" t="s">
        <v>45</v>
      </c>
      <c r="D220" t="s">
        <v>17</v>
      </c>
      <c r="E220" t="s">
        <v>18</v>
      </c>
      <c r="F220" t="s">
        <v>19</v>
      </c>
      <c r="G220" t="s">
        <v>26</v>
      </c>
      <c r="H220" t="s">
        <v>21</v>
      </c>
      <c r="I220" t="s">
        <v>74</v>
      </c>
      <c r="J220" t="s">
        <v>23</v>
      </c>
      <c r="K220">
        <v>1481</v>
      </c>
      <c r="L220">
        <v>19.597325000000001</v>
      </c>
      <c r="M220">
        <v>364.51483619541409</v>
      </c>
      <c r="N220">
        <v>0.84678797678643047</v>
      </c>
      <c r="O220" s="1" t="str">
        <f>HYPERLINK(".\sm_car_250414_0011\sm_car_250414_0011_219_Ca139TrN_MaZPL_ode23t_1.png","figure")</f>
        <v>figure</v>
      </c>
      <c r="P220" t="s">
        <v>15</v>
      </c>
    </row>
    <row r="221" spans="1:16" x14ac:dyDescent="0.25">
      <c r="A221">
        <v>220</v>
      </c>
      <c r="B221">
        <v>165</v>
      </c>
      <c r="C221" t="s">
        <v>45</v>
      </c>
      <c r="D221" t="s">
        <v>35</v>
      </c>
      <c r="E221" t="s">
        <v>49</v>
      </c>
      <c r="F221" t="s">
        <v>19</v>
      </c>
      <c r="G221" t="s">
        <v>26</v>
      </c>
      <c r="H221" t="s">
        <v>21</v>
      </c>
      <c r="I221" t="s">
        <v>74</v>
      </c>
      <c r="J221" t="s">
        <v>23</v>
      </c>
      <c r="K221">
        <v>2105</v>
      </c>
      <c r="L221">
        <v>10.5529945</v>
      </c>
      <c r="M221">
        <v>397.68495803332058</v>
      </c>
      <c r="N221">
        <v>0.3348470775476588</v>
      </c>
      <c r="O221" s="1" t="str">
        <f>HYPERLINK(".\sm_car_250414_0011\sm_car_250414_0011_220_Ca165TrN_MaZPL_ode23t_1.png","figure")</f>
        <v>figure</v>
      </c>
      <c r="P221" t="s">
        <v>15</v>
      </c>
    </row>
    <row r="222" spans="1:16" x14ac:dyDescent="0.25">
      <c r="A222">
        <v>221</v>
      </c>
      <c r="B222">
        <v>171</v>
      </c>
      <c r="C222" t="s">
        <v>45</v>
      </c>
      <c r="D222" t="s">
        <v>17</v>
      </c>
      <c r="E222" t="s">
        <v>72</v>
      </c>
      <c r="F222" t="s">
        <v>19</v>
      </c>
      <c r="G222" t="s">
        <v>26</v>
      </c>
      <c r="H222" t="s">
        <v>21</v>
      </c>
      <c r="I222" t="s">
        <v>74</v>
      </c>
      <c r="J222" t="s">
        <v>23</v>
      </c>
      <c r="K222">
        <v>1479</v>
      </c>
      <c r="L222">
        <v>24.110694200000001</v>
      </c>
      <c r="M222">
        <v>364.33389952807124</v>
      </c>
      <c r="N222">
        <v>0.73295852955730889</v>
      </c>
      <c r="O222" s="1" t="str">
        <f>HYPERLINK(".\sm_car_250414_0011\sm_car_250414_0011_221_Ca171TrN_MaZPL_ode23t_1.png","figure")</f>
        <v>figure</v>
      </c>
      <c r="P222" t="s">
        <v>15</v>
      </c>
    </row>
    <row r="223" spans="1:16" x14ac:dyDescent="0.25">
      <c r="A223">
        <v>222</v>
      </c>
      <c r="B223">
        <v>165</v>
      </c>
      <c r="C223" t="s">
        <v>45</v>
      </c>
      <c r="D223" t="s">
        <v>35</v>
      </c>
      <c r="E223" t="s">
        <v>49</v>
      </c>
      <c r="F223" t="s">
        <v>19</v>
      </c>
      <c r="G223" t="s">
        <v>26</v>
      </c>
      <c r="H223" t="s">
        <v>21</v>
      </c>
      <c r="I223" t="s">
        <v>75</v>
      </c>
      <c r="J223" t="s">
        <v>23</v>
      </c>
      <c r="K223">
        <v>504</v>
      </c>
      <c r="L223">
        <v>5.0682865000000001</v>
      </c>
      <c r="M223">
        <v>378.33541155264504</v>
      </c>
      <c r="N223">
        <v>0.32213547291874578</v>
      </c>
      <c r="O223" s="1" t="str">
        <f>HYPERLINK(".\sm_car_250414_0011\sm_car_250414_0011_222_Ca165TrN_MaCPL_ode23t_1.png","figure")</f>
        <v>figure</v>
      </c>
      <c r="P223" t="s">
        <v>15</v>
      </c>
    </row>
    <row r="224" spans="1:16" x14ac:dyDescent="0.25">
      <c r="A224">
        <v>223</v>
      </c>
      <c r="B224">
        <v>170</v>
      </c>
      <c r="C224" t="s">
        <v>45</v>
      </c>
      <c r="D224" t="s">
        <v>35</v>
      </c>
      <c r="E224" t="s">
        <v>49</v>
      </c>
      <c r="F224" t="s">
        <v>19</v>
      </c>
      <c r="G224" t="s">
        <v>20</v>
      </c>
      <c r="H224" t="s">
        <v>21</v>
      </c>
      <c r="I224" t="s">
        <v>75</v>
      </c>
      <c r="J224" t="s">
        <v>23</v>
      </c>
      <c r="K224">
        <v>465</v>
      </c>
      <c r="L224">
        <v>3.4847716000000002</v>
      </c>
      <c r="M224">
        <v>380.91793190860193</v>
      </c>
      <c r="N224">
        <v>0.32782964600872139</v>
      </c>
      <c r="O224" s="1" t="str">
        <f>HYPERLINK(".\sm_car_250414_0011\sm_car_250414_0011_223_Ca170TrN_MaCPL_ode23t_1.png","figure")</f>
        <v>figure</v>
      </c>
      <c r="P224" t="s">
        <v>15</v>
      </c>
    </row>
    <row r="225" spans="1:16" x14ac:dyDescent="0.25">
      <c r="A225">
        <v>224</v>
      </c>
      <c r="B225">
        <v>171</v>
      </c>
      <c r="C225" t="s">
        <v>45</v>
      </c>
      <c r="D225" t="s">
        <v>17</v>
      </c>
      <c r="E225" t="s">
        <v>72</v>
      </c>
      <c r="F225" t="s">
        <v>19</v>
      </c>
      <c r="G225" t="s">
        <v>26</v>
      </c>
      <c r="H225" t="s">
        <v>21</v>
      </c>
      <c r="I225" t="s">
        <v>76</v>
      </c>
      <c r="J225" t="s">
        <v>23</v>
      </c>
      <c r="K225">
        <v>2475</v>
      </c>
      <c r="L225">
        <v>40.137552200000002</v>
      </c>
      <c r="M225">
        <v>152.36713650324597</v>
      </c>
      <c r="N225">
        <v>1.9120003695300746E-3</v>
      </c>
      <c r="O225" s="1" t="str">
        <f>HYPERLINK(".\sm_car_250414_0011\sm_car_250414_0011_224_Ca171TrN_MaRDR_ode23t_1.png","figure")</f>
        <v>figure</v>
      </c>
      <c r="P225" t="s">
        <v>15</v>
      </c>
    </row>
    <row r="226" spans="1:16" x14ac:dyDescent="0.25">
      <c r="A226">
        <v>225</v>
      </c>
      <c r="B226">
        <v>172</v>
      </c>
      <c r="C226" t="s">
        <v>46</v>
      </c>
      <c r="D226" t="s">
        <v>17</v>
      </c>
      <c r="E226" t="s">
        <v>72</v>
      </c>
      <c r="F226" t="s">
        <v>19</v>
      </c>
      <c r="G226" t="s">
        <v>26</v>
      </c>
      <c r="H226" t="s">
        <v>21</v>
      </c>
      <c r="I226" t="s">
        <v>76</v>
      </c>
      <c r="J226" t="s">
        <v>23</v>
      </c>
      <c r="K226">
        <v>2952</v>
      </c>
      <c r="L226">
        <v>27.171550499999999</v>
      </c>
      <c r="M226">
        <v>146.50271367037044</v>
      </c>
      <c r="N226">
        <v>-4.8612575758399191E-3</v>
      </c>
      <c r="O226" s="1" t="str">
        <f>HYPERLINK(".\sm_car_250414_0011\sm_car_250414_0011_225_Ca172TrN_MaRDR_ode23t_1.png","figure")</f>
        <v>figure</v>
      </c>
      <c r="P226" t="s">
        <v>15</v>
      </c>
    </row>
    <row r="227" spans="1:16" x14ac:dyDescent="0.25">
      <c r="A227">
        <v>226</v>
      </c>
      <c r="B227">
        <v>139</v>
      </c>
      <c r="C227" t="s">
        <v>45</v>
      </c>
      <c r="D227" t="s">
        <v>17</v>
      </c>
      <c r="E227" t="s">
        <v>18</v>
      </c>
      <c r="F227" t="s">
        <v>19</v>
      </c>
      <c r="G227" t="s">
        <v>26</v>
      </c>
      <c r="H227" t="s">
        <v>21</v>
      </c>
      <c r="I227" t="s">
        <v>77</v>
      </c>
      <c r="J227" t="s">
        <v>23</v>
      </c>
      <c r="K227">
        <v>2955</v>
      </c>
      <c r="L227">
        <v>33.664569999999998</v>
      </c>
      <c r="M227">
        <v>176.47842589639299</v>
      </c>
      <c r="N227">
        <v>8.1473434253469398E-4</v>
      </c>
      <c r="O227" s="1" t="str">
        <f>HYPERLINK(".\sm_car_250414_0011\sm_car_250414_0011_226_Ca139TrN_MaZRR_ode23t_1.png","figure")</f>
        <v>figure</v>
      </c>
      <c r="P227" t="s">
        <v>15</v>
      </c>
    </row>
    <row r="228" spans="1:16" x14ac:dyDescent="0.25">
      <c r="A228">
        <v>227</v>
      </c>
      <c r="B228">
        <v>165</v>
      </c>
      <c r="C228" t="s">
        <v>45</v>
      </c>
      <c r="D228" t="s">
        <v>35</v>
      </c>
      <c r="E228" t="s">
        <v>49</v>
      </c>
      <c r="F228" t="s">
        <v>19</v>
      </c>
      <c r="G228" t="s">
        <v>26</v>
      </c>
      <c r="H228" t="s">
        <v>21</v>
      </c>
      <c r="I228" t="s">
        <v>77</v>
      </c>
      <c r="J228" t="s">
        <v>23</v>
      </c>
      <c r="K228">
        <v>3553</v>
      </c>
      <c r="L228">
        <v>20.520060099999998</v>
      </c>
      <c r="M228">
        <v>176.8146171468648</v>
      </c>
      <c r="N228">
        <v>8.1716243289086985E-5</v>
      </c>
      <c r="O228" s="1" t="str">
        <f>HYPERLINK(".\sm_car_250414_0011\sm_car_250414_0011_227_Ca165TrN_MaZRR_ode23t_1.png","figure")</f>
        <v>figure</v>
      </c>
      <c r="P228" t="s">
        <v>15</v>
      </c>
    </row>
    <row r="229" spans="1:16" x14ac:dyDescent="0.25">
      <c r="A229">
        <v>228</v>
      </c>
      <c r="B229">
        <v>171</v>
      </c>
      <c r="C229" t="s">
        <v>45</v>
      </c>
      <c r="D229" t="s">
        <v>17</v>
      </c>
      <c r="E229" t="s">
        <v>72</v>
      </c>
      <c r="F229" t="s">
        <v>19</v>
      </c>
      <c r="G229" t="s">
        <v>26</v>
      </c>
      <c r="H229" t="s">
        <v>21</v>
      </c>
      <c r="I229" t="s">
        <v>77</v>
      </c>
      <c r="J229" t="s">
        <v>23</v>
      </c>
      <c r="K229">
        <v>2986</v>
      </c>
      <c r="L229">
        <v>50.844768999999999</v>
      </c>
      <c r="M229">
        <v>176.48396407176148</v>
      </c>
      <c r="N229">
        <v>8.4029405499591917E-4</v>
      </c>
      <c r="O229" s="1" t="str">
        <f>HYPERLINK(".\sm_car_250414_0011\sm_car_250414_0011_228_Ca171TrN_MaZRR_ode23t_1.png","figure")</f>
        <v>figure</v>
      </c>
      <c r="P229" t="s">
        <v>15</v>
      </c>
    </row>
    <row r="230" spans="1:16" x14ac:dyDescent="0.25">
      <c r="A230">
        <v>229</v>
      </c>
      <c r="B230">
        <v>170</v>
      </c>
      <c r="C230" t="s">
        <v>45</v>
      </c>
      <c r="D230" t="s">
        <v>35</v>
      </c>
      <c r="E230" t="s">
        <v>49</v>
      </c>
      <c r="F230" t="s">
        <v>19</v>
      </c>
      <c r="G230" t="s">
        <v>20</v>
      </c>
      <c r="H230" t="s">
        <v>21</v>
      </c>
      <c r="I230" t="s">
        <v>78</v>
      </c>
      <c r="J230" t="s">
        <v>23</v>
      </c>
      <c r="K230">
        <v>5010</v>
      </c>
      <c r="L230">
        <v>17.898240999999999</v>
      </c>
      <c r="M230">
        <v>-5.9990719953370117</v>
      </c>
      <c r="N230">
        <v>2.9190648043425534E-3</v>
      </c>
      <c r="O230" s="1" t="str">
        <f>HYPERLINK(".\sm_car_250414_0011\sm_car_250414_0011_229_Ca170TrN_MaCMP_ode23t_1.png","figure")</f>
        <v>figure</v>
      </c>
      <c r="P230" t="s">
        <v>15</v>
      </c>
    </row>
    <row r="231" spans="1:16" x14ac:dyDescent="0.25">
      <c r="A231">
        <v>230</v>
      </c>
      <c r="B231">
        <v>170</v>
      </c>
      <c r="C231" t="s">
        <v>45</v>
      </c>
      <c r="D231" t="s">
        <v>35</v>
      </c>
      <c r="E231" t="s">
        <v>49</v>
      </c>
      <c r="F231" t="s">
        <v>19</v>
      </c>
      <c r="G231" t="s">
        <v>20</v>
      </c>
      <c r="H231" t="s">
        <v>21</v>
      </c>
      <c r="I231" t="s">
        <v>79</v>
      </c>
      <c r="J231" t="s">
        <v>23</v>
      </c>
      <c r="K231">
        <v>1829</v>
      </c>
      <c r="L231">
        <v>12.101839200000001</v>
      </c>
      <c r="M231">
        <v>-5.9645297527751202</v>
      </c>
      <c r="N231">
        <v>2.7236971088541585E-3</v>
      </c>
      <c r="O231" s="1" t="str">
        <f>HYPERLINK(".\sm_car_250414_0011\sm_car_250414_0011_230_Ca170TrN_MaCMF_ode23t_1.png","figure")</f>
        <v>figure</v>
      </c>
      <c r="P231" t="s">
        <v>15</v>
      </c>
    </row>
    <row r="232" spans="1:16" x14ac:dyDescent="0.25">
      <c r="A232">
        <v>231</v>
      </c>
      <c r="B232">
        <v>170</v>
      </c>
      <c r="C232" t="s">
        <v>45</v>
      </c>
      <c r="D232" t="s">
        <v>35</v>
      </c>
      <c r="E232" t="s">
        <v>49</v>
      </c>
      <c r="F232" t="s">
        <v>19</v>
      </c>
      <c r="G232" t="s">
        <v>20</v>
      </c>
      <c r="H232" t="s">
        <v>21</v>
      </c>
      <c r="I232" t="s">
        <v>80</v>
      </c>
      <c r="J232" t="s">
        <v>23</v>
      </c>
      <c r="K232">
        <v>4609</v>
      </c>
      <c r="L232">
        <v>34.685768199999998</v>
      </c>
      <c r="M232">
        <v>-329.51009407332702</v>
      </c>
      <c r="N232">
        <v>6.0639136686986017</v>
      </c>
      <c r="O232" s="1" t="str">
        <f>HYPERLINK(".\sm_car_250414_0011\sm_car_250414_0011_231_Ca170TrN_MaMPO_ode23t_1.png","figure")</f>
        <v>figure</v>
      </c>
      <c r="P232" t="s">
        <v>15</v>
      </c>
    </row>
    <row r="233" spans="1:16" x14ac:dyDescent="0.25">
      <c r="A233">
        <v>232</v>
      </c>
      <c r="B233">
        <v>170</v>
      </c>
      <c r="C233" t="s">
        <v>45</v>
      </c>
      <c r="D233" t="s">
        <v>35</v>
      </c>
      <c r="E233" t="s">
        <v>49</v>
      </c>
      <c r="F233" t="s">
        <v>19</v>
      </c>
      <c r="G233" t="s">
        <v>20</v>
      </c>
      <c r="H233" t="s">
        <v>21</v>
      </c>
      <c r="I233" t="s">
        <v>81</v>
      </c>
      <c r="J233" t="s">
        <v>23</v>
      </c>
      <c r="K233">
        <v>1204</v>
      </c>
      <c r="L233">
        <v>9.7329000000000008</v>
      </c>
      <c r="M233">
        <v>-13.897550707519279</v>
      </c>
      <c r="N233">
        <v>0.20769660102888565</v>
      </c>
      <c r="O233" s="1" t="str">
        <f>HYPERLINK(".\sm_car_250414_0011\sm_car_250414_0011_232_Ca170TrN_MaMCI_ode23t_1.png","figure")</f>
        <v>figure</v>
      </c>
      <c r="P233" t="s">
        <v>15</v>
      </c>
    </row>
    <row r="234" spans="1:16" x14ac:dyDescent="0.25">
      <c r="A234">
        <v>233</v>
      </c>
      <c r="B234">
        <v>170</v>
      </c>
      <c r="C234" t="s">
        <v>45</v>
      </c>
      <c r="D234" t="s">
        <v>35</v>
      </c>
      <c r="E234" t="s">
        <v>49</v>
      </c>
      <c r="F234" t="s">
        <v>19</v>
      </c>
      <c r="G234" t="s">
        <v>20</v>
      </c>
      <c r="H234" t="s">
        <v>21</v>
      </c>
      <c r="I234" t="s">
        <v>110</v>
      </c>
      <c r="J234" t="s">
        <v>23</v>
      </c>
      <c r="K234">
        <v>6073</v>
      </c>
      <c r="L234">
        <v>18.689982700000002</v>
      </c>
      <c r="M234">
        <v>-5.9993972379445921</v>
      </c>
      <c r="N234">
        <v>-4.4752493875231912E-3</v>
      </c>
      <c r="O234" s="1" t="str">
        <f>HYPERLINK(".\sm_car_250414_0011\sm_car_250414_0011_233_Ca170TrN_MaCHO_ode23t_1.png","figure")</f>
        <v>figure</v>
      </c>
      <c r="P234" t="s">
        <v>15</v>
      </c>
    </row>
    <row r="235" spans="1:16" x14ac:dyDescent="0.25">
      <c r="A235">
        <v>234</v>
      </c>
      <c r="B235">
        <v>170</v>
      </c>
      <c r="C235" t="s">
        <v>45</v>
      </c>
      <c r="D235" t="s">
        <v>35</v>
      </c>
      <c r="E235" t="s">
        <v>49</v>
      </c>
      <c r="F235" t="s">
        <v>19</v>
      </c>
      <c r="G235" t="s">
        <v>20</v>
      </c>
      <c r="H235" t="s">
        <v>21</v>
      </c>
      <c r="I235" t="s">
        <v>111</v>
      </c>
      <c r="J235" t="s">
        <v>23</v>
      </c>
      <c r="K235">
        <v>3418</v>
      </c>
      <c r="L235">
        <v>17.257085199999999</v>
      </c>
      <c r="M235">
        <v>-5.9995710731965417</v>
      </c>
      <c r="N235">
        <v>-4.5022106862034304E-3</v>
      </c>
      <c r="O235" s="1" t="str">
        <f>HYPERLINK(".\sm_car_250414_0011\sm_car_250414_0011_234_Ca170TrN_MaCHF_ode23t_1.png","figure")</f>
        <v>figure</v>
      </c>
      <c r="P235" t="s">
        <v>15</v>
      </c>
    </row>
    <row r="236" spans="1:16" x14ac:dyDescent="0.25">
      <c r="A236">
        <v>235</v>
      </c>
      <c r="B236">
        <v>170</v>
      </c>
      <c r="C236" t="s">
        <v>45</v>
      </c>
      <c r="D236" t="s">
        <v>35</v>
      </c>
      <c r="E236" t="s">
        <v>49</v>
      </c>
      <c r="F236" t="s">
        <v>19</v>
      </c>
      <c r="G236" t="s">
        <v>20</v>
      </c>
      <c r="H236" t="s">
        <v>21</v>
      </c>
      <c r="I236" t="s">
        <v>82</v>
      </c>
      <c r="J236" t="s">
        <v>23</v>
      </c>
      <c r="K236">
        <v>7077</v>
      </c>
      <c r="L236">
        <v>30.4877547</v>
      </c>
      <c r="M236">
        <v>-751.82150146193067</v>
      </c>
      <c r="N236">
        <v>628.25551362628812</v>
      </c>
      <c r="O236" s="1" t="str">
        <f>HYPERLINK(".\sm_car_250414_0011\sm_car_250414_0011_235_Ca170TrN_MaCKY_ode23t_1.png","figure")</f>
        <v>figure</v>
      </c>
      <c r="P236" t="s">
        <v>15</v>
      </c>
    </row>
    <row r="237" spans="1:16" x14ac:dyDescent="0.25">
      <c r="A237">
        <v>236</v>
      </c>
      <c r="B237">
        <v>170</v>
      </c>
      <c r="C237" t="s">
        <v>45</v>
      </c>
      <c r="D237" t="s">
        <v>35</v>
      </c>
      <c r="E237" t="s">
        <v>49</v>
      </c>
      <c r="F237" t="s">
        <v>19</v>
      </c>
      <c r="G237" t="s">
        <v>20</v>
      </c>
      <c r="H237" t="s">
        <v>21</v>
      </c>
      <c r="I237" t="s">
        <v>83</v>
      </c>
      <c r="J237" t="s">
        <v>23</v>
      </c>
      <c r="K237">
        <v>2177</v>
      </c>
      <c r="L237">
        <v>15.460666099999999</v>
      </c>
      <c r="M237">
        <v>-758.45727781527444</v>
      </c>
      <c r="N237">
        <v>632.5649538544202</v>
      </c>
      <c r="O237" s="1" t="str">
        <f>HYPERLINK(".\sm_car_250414_0011\sm_car_250414_0011_236_Ca170TrN_MaCKF_ode23t_1.png","figure")</f>
        <v>figure</v>
      </c>
      <c r="P237" t="s">
        <v>15</v>
      </c>
    </row>
    <row r="238" spans="1:16" x14ac:dyDescent="0.25">
      <c r="A238">
        <v>237</v>
      </c>
      <c r="B238">
        <v>170</v>
      </c>
      <c r="C238" t="s">
        <v>45</v>
      </c>
      <c r="D238" t="s">
        <v>35</v>
      </c>
      <c r="E238" t="s">
        <v>49</v>
      </c>
      <c r="F238" t="s">
        <v>19</v>
      </c>
      <c r="G238" t="s">
        <v>20</v>
      </c>
      <c r="H238" t="s">
        <v>21</v>
      </c>
      <c r="I238" t="s">
        <v>84</v>
      </c>
      <c r="J238" t="s">
        <v>23</v>
      </c>
      <c r="K238">
        <v>2751</v>
      </c>
      <c r="L238">
        <v>16.9434325</v>
      </c>
      <c r="M238">
        <v>177.30517667750314</v>
      </c>
      <c r="N238">
        <v>288.17176479005514</v>
      </c>
      <c r="O238" s="1" t="str">
        <f>HYPERLINK(".\sm_car_250414_0011\sm_car_250414_0011_237_Ca170TrN_MaCNN_ode23t_1.png","figure")</f>
        <v>figure</v>
      </c>
      <c r="P238" t="s">
        <v>15</v>
      </c>
    </row>
    <row r="239" spans="1:16" x14ac:dyDescent="0.25">
      <c r="A239">
        <v>238</v>
      </c>
      <c r="B239">
        <v>170</v>
      </c>
      <c r="C239" t="s">
        <v>45</v>
      </c>
      <c r="D239" t="s">
        <v>35</v>
      </c>
      <c r="E239" t="s">
        <v>49</v>
      </c>
      <c r="F239" t="s">
        <v>19</v>
      </c>
      <c r="G239" t="s">
        <v>20</v>
      </c>
      <c r="H239" t="s">
        <v>21</v>
      </c>
      <c r="I239" t="s">
        <v>85</v>
      </c>
      <c r="J239" t="s">
        <v>23</v>
      </c>
      <c r="K239">
        <v>4421</v>
      </c>
      <c r="L239">
        <v>70.236828599999996</v>
      </c>
      <c r="M239">
        <v>2995.8489756346107</v>
      </c>
      <c r="N239">
        <v>-3063.9311078288224</v>
      </c>
      <c r="O239" s="1" t="str">
        <f>HYPERLINK(".\sm_car_250414_0011\sm_car_250414_0011_238_Ca170TrN_MaCNF_ode23t_1.png","figure")</f>
        <v>figure</v>
      </c>
      <c r="P239" t="s">
        <v>15</v>
      </c>
    </row>
    <row r="240" spans="1:16" x14ac:dyDescent="0.25">
      <c r="A240">
        <v>239</v>
      </c>
      <c r="B240">
        <v>170</v>
      </c>
      <c r="C240" t="s">
        <v>45</v>
      </c>
      <c r="D240" t="s">
        <v>35</v>
      </c>
      <c r="E240" t="s">
        <v>49</v>
      </c>
      <c r="F240" t="s">
        <v>19</v>
      </c>
      <c r="G240" t="s">
        <v>20</v>
      </c>
      <c r="H240" t="s">
        <v>21</v>
      </c>
      <c r="I240" t="s">
        <v>86</v>
      </c>
      <c r="J240" t="s">
        <v>23</v>
      </c>
      <c r="K240">
        <v>2939</v>
      </c>
      <c r="L240">
        <v>13.2986024</v>
      </c>
      <c r="M240">
        <v>522.30734507778118</v>
      </c>
      <c r="N240">
        <v>-164.27057997378705</v>
      </c>
      <c r="O240" s="1" t="str">
        <f>HYPERLINK(".\sm_car_250414_0011\sm_car_250414_0011_239_Ca170TrN_MaCSZ_ode23t_1.png","figure")</f>
        <v>figure</v>
      </c>
      <c r="P240" t="s">
        <v>15</v>
      </c>
    </row>
    <row r="241" spans="1:16" x14ac:dyDescent="0.25">
      <c r="A241">
        <v>240</v>
      </c>
      <c r="B241">
        <v>170</v>
      </c>
      <c r="C241" t="s">
        <v>45</v>
      </c>
      <c r="D241" t="s">
        <v>35</v>
      </c>
      <c r="E241" t="s">
        <v>49</v>
      </c>
      <c r="F241" t="s">
        <v>19</v>
      </c>
      <c r="G241" t="s">
        <v>20</v>
      </c>
      <c r="H241" t="s">
        <v>21</v>
      </c>
      <c r="I241" t="s">
        <v>87</v>
      </c>
      <c r="J241" t="s">
        <v>23</v>
      </c>
      <c r="K241">
        <v>5685</v>
      </c>
      <c r="L241">
        <v>78.948741600000005</v>
      </c>
      <c r="M241">
        <v>-8.9937960572226867</v>
      </c>
      <c r="N241">
        <v>1.0053205588384115E-2</v>
      </c>
      <c r="O241" s="1" t="str">
        <f>HYPERLINK(".\sm_car_250414_0011\sm_car_250414_0011_240_Ca170TrN_MaCSF_ode23t_1.png","figure")</f>
        <v>figure</v>
      </c>
      <c r="P241" t="s">
        <v>15</v>
      </c>
    </row>
    <row r="242" spans="1:16" x14ac:dyDescent="0.25">
      <c r="A242">
        <v>241</v>
      </c>
      <c r="B242">
        <v>170</v>
      </c>
      <c r="C242" t="s">
        <v>45</v>
      </c>
      <c r="D242" t="s">
        <v>35</v>
      </c>
      <c r="E242" t="s">
        <v>49</v>
      </c>
      <c r="F242" t="s">
        <v>19</v>
      </c>
      <c r="G242" t="s">
        <v>20</v>
      </c>
      <c r="H242" t="s">
        <v>21</v>
      </c>
      <c r="I242" t="s">
        <v>88</v>
      </c>
      <c r="J242" t="s">
        <v>23</v>
      </c>
      <c r="K242">
        <v>2035</v>
      </c>
      <c r="L242">
        <v>16.059693599999999</v>
      </c>
      <c r="M242">
        <v>208.95173271957245</v>
      </c>
      <c r="N242">
        <v>379.20664701615067</v>
      </c>
      <c r="O242" s="1" t="str">
        <f>HYPERLINK(".\sm_car_250414_0011\sm_car_250414_0011_241_Ca170TrN_MaCPU_ode23t_1.png","figure")</f>
        <v>figure</v>
      </c>
      <c r="P242" t="s">
        <v>15</v>
      </c>
    </row>
    <row r="243" spans="1:16" x14ac:dyDescent="0.25">
      <c r="A243">
        <v>242</v>
      </c>
      <c r="B243">
        <v>170</v>
      </c>
      <c r="C243" t="s">
        <v>45</v>
      </c>
      <c r="D243" t="s">
        <v>35</v>
      </c>
      <c r="E243" t="s">
        <v>49</v>
      </c>
      <c r="F243" t="s">
        <v>19</v>
      </c>
      <c r="G243" t="s">
        <v>20</v>
      </c>
      <c r="H243" t="s">
        <v>21</v>
      </c>
      <c r="I243" t="s">
        <v>89</v>
      </c>
      <c r="J243" t="s">
        <v>23</v>
      </c>
      <c r="K243">
        <v>2558</v>
      </c>
      <c r="L243">
        <v>19.137906399999999</v>
      </c>
      <c r="M243">
        <v>183.04745642911462</v>
      </c>
      <c r="N243">
        <v>-170.21937160498237</v>
      </c>
      <c r="O243" s="1" t="str">
        <f>HYPERLINK(".\sm_car_250414_0011\sm_car_250414_0011_242_Ca170TrN_MaCPD_ode23t_1.png","figure")</f>
        <v>figure</v>
      </c>
      <c r="P243" t="s">
        <v>15</v>
      </c>
    </row>
    <row r="244" spans="1:16" x14ac:dyDescent="0.25">
      <c r="A244">
        <v>243</v>
      </c>
      <c r="B244">
        <v>202</v>
      </c>
      <c r="C244" t="s">
        <v>45</v>
      </c>
      <c r="D244" t="s">
        <v>35</v>
      </c>
      <c r="E244" t="s">
        <v>107</v>
      </c>
      <c r="F244" t="s">
        <v>19</v>
      </c>
      <c r="G244" t="s">
        <v>20</v>
      </c>
      <c r="H244" t="s">
        <v>21</v>
      </c>
      <c r="I244" t="s">
        <v>79</v>
      </c>
      <c r="J244" t="s">
        <v>23</v>
      </c>
      <c r="K244">
        <v>1797</v>
      </c>
      <c r="L244">
        <v>3.9058842999999999</v>
      </c>
      <c r="M244">
        <v>-5.9732505400745399</v>
      </c>
      <c r="N244">
        <v>2.8077915143428587E-3</v>
      </c>
      <c r="O244" s="1" t="str">
        <f>HYPERLINK(".\sm_car_250414_0011\sm_car_250414_0011_243_Ca202TrN_MaCMF_ode23t_1.png","figure")</f>
        <v>figure</v>
      </c>
      <c r="P244" t="s">
        <v>15</v>
      </c>
    </row>
    <row r="245" spans="1:16" x14ac:dyDescent="0.25">
      <c r="A245">
        <v>244</v>
      </c>
      <c r="B245">
        <v>202</v>
      </c>
      <c r="C245" t="s">
        <v>45</v>
      </c>
      <c r="D245" t="s">
        <v>35</v>
      </c>
      <c r="E245" t="s">
        <v>107</v>
      </c>
      <c r="F245" t="s">
        <v>19</v>
      </c>
      <c r="G245" t="s">
        <v>20</v>
      </c>
      <c r="H245" t="s">
        <v>21</v>
      </c>
      <c r="I245" t="s">
        <v>80</v>
      </c>
      <c r="J245" t="s">
        <v>23</v>
      </c>
      <c r="K245">
        <v>4499</v>
      </c>
      <c r="L245">
        <v>22.1713977</v>
      </c>
      <c r="M245">
        <v>-329.50809157633853</v>
      </c>
      <c r="N245">
        <v>6.0587194077147268</v>
      </c>
      <c r="O245" s="1" t="str">
        <f>HYPERLINK(".\sm_car_250414_0011\sm_car_250414_0011_244_Ca202TrN_MaMPO_ode23t_1.png","figure")</f>
        <v>figure</v>
      </c>
      <c r="P245" t="s">
        <v>15</v>
      </c>
    </row>
    <row r="246" spans="1:16" x14ac:dyDescent="0.25">
      <c r="A246">
        <v>245</v>
      </c>
      <c r="B246">
        <v>202</v>
      </c>
      <c r="C246" t="s">
        <v>45</v>
      </c>
      <c r="D246" t="s">
        <v>35</v>
      </c>
      <c r="E246" t="s">
        <v>107</v>
      </c>
      <c r="F246" t="s">
        <v>19</v>
      </c>
      <c r="G246" t="s">
        <v>20</v>
      </c>
      <c r="H246" t="s">
        <v>21</v>
      </c>
      <c r="I246" t="s">
        <v>81</v>
      </c>
      <c r="J246" t="s">
        <v>23</v>
      </c>
      <c r="K246">
        <v>1193</v>
      </c>
      <c r="L246">
        <v>5.5436002999999996</v>
      </c>
      <c r="M246">
        <v>-13.902917110453195</v>
      </c>
      <c r="N246">
        <v>0.2046734003144195</v>
      </c>
      <c r="O246" s="1" t="str">
        <f>HYPERLINK(".\sm_car_250414_0011\sm_car_250414_0011_245_Ca202TrN_MaMCI_ode23t_1.png","figure")</f>
        <v>figure</v>
      </c>
      <c r="P246" t="s">
        <v>15</v>
      </c>
    </row>
    <row r="247" spans="1:16" x14ac:dyDescent="0.25">
      <c r="A247">
        <v>246</v>
      </c>
      <c r="B247">
        <v>202</v>
      </c>
      <c r="C247" t="s">
        <v>45</v>
      </c>
      <c r="D247" t="s">
        <v>35</v>
      </c>
      <c r="E247" t="s">
        <v>107</v>
      </c>
      <c r="F247" t="s">
        <v>19</v>
      </c>
      <c r="G247" t="s">
        <v>20</v>
      </c>
      <c r="H247" t="s">
        <v>21</v>
      </c>
      <c r="I247" t="s">
        <v>83</v>
      </c>
      <c r="J247" t="s">
        <v>23</v>
      </c>
      <c r="K247">
        <v>3626</v>
      </c>
      <c r="L247">
        <v>8.7370678000000002</v>
      </c>
      <c r="M247">
        <v>-5.9908518780683089</v>
      </c>
      <c r="N247">
        <v>-7.1870564873795081E-3</v>
      </c>
      <c r="O247" s="1" t="str">
        <f>HYPERLINK(".\sm_car_250414_0011\sm_car_250414_0011_246_Ca202TrN_MaCKF_ode23t_1.png","figure")</f>
        <v>figure</v>
      </c>
      <c r="P247" t="s">
        <v>15</v>
      </c>
    </row>
    <row r="248" spans="1:16" x14ac:dyDescent="0.25">
      <c r="A248">
        <v>247</v>
      </c>
      <c r="B248">
        <v>202</v>
      </c>
      <c r="C248" t="s">
        <v>45</v>
      </c>
      <c r="D248" t="s">
        <v>35</v>
      </c>
      <c r="E248" t="s">
        <v>107</v>
      </c>
      <c r="F248" t="s">
        <v>19</v>
      </c>
      <c r="G248" t="s">
        <v>20</v>
      </c>
      <c r="H248" t="s">
        <v>21</v>
      </c>
      <c r="I248" t="s">
        <v>85</v>
      </c>
      <c r="J248" t="s">
        <v>23</v>
      </c>
      <c r="K248">
        <v>10227</v>
      </c>
      <c r="L248">
        <v>109.3226592</v>
      </c>
      <c r="M248">
        <v>-8.9984482519704176</v>
      </c>
      <c r="N248">
        <v>4.7059211791373567E-2</v>
      </c>
      <c r="O248" s="1" t="str">
        <f>HYPERLINK(".\sm_car_250414_0011\sm_car_250414_0011_247_Ca202TrN_MaCNF_ode23t_1.png","figure")</f>
        <v>figure</v>
      </c>
      <c r="P248" t="s">
        <v>15</v>
      </c>
    </row>
    <row r="249" spans="1:16" x14ac:dyDescent="0.25">
      <c r="A249">
        <v>248</v>
      </c>
      <c r="B249">
        <v>202</v>
      </c>
      <c r="C249" t="s">
        <v>45</v>
      </c>
      <c r="D249" t="s">
        <v>35</v>
      </c>
      <c r="E249" t="s">
        <v>107</v>
      </c>
      <c r="F249" t="s">
        <v>19</v>
      </c>
      <c r="G249" t="s">
        <v>20</v>
      </c>
      <c r="H249" t="s">
        <v>21</v>
      </c>
      <c r="I249" t="s">
        <v>87</v>
      </c>
      <c r="J249" t="s">
        <v>23</v>
      </c>
      <c r="K249">
        <v>5745</v>
      </c>
      <c r="L249">
        <v>44.114528900000003</v>
      </c>
      <c r="M249">
        <v>-8.9431525670925076</v>
      </c>
      <c r="N249">
        <v>9.7566684280262807E-3</v>
      </c>
      <c r="O249" s="1" t="str">
        <f>HYPERLINK(".\sm_car_250414_0011\sm_car_250414_0011_248_Ca202TrN_MaCSF_ode23t_1.png","figure")</f>
        <v>figure</v>
      </c>
      <c r="P249" t="s">
        <v>15</v>
      </c>
    </row>
    <row r="250" spans="1:16" x14ac:dyDescent="0.25">
      <c r="A250">
        <v>249</v>
      </c>
      <c r="B250">
        <v>202</v>
      </c>
      <c r="C250" t="s">
        <v>45</v>
      </c>
      <c r="D250" t="s">
        <v>35</v>
      </c>
      <c r="E250" t="s">
        <v>107</v>
      </c>
      <c r="F250" t="s">
        <v>19</v>
      </c>
      <c r="G250" t="s">
        <v>20</v>
      </c>
      <c r="H250" t="s">
        <v>21</v>
      </c>
      <c r="I250" t="s">
        <v>78</v>
      </c>
      <c r="J250" t="s">
        <v>23</v>
      </c>
      <c r="K250">
        <v>5538</v>
      </c>
      <c r="L250">
        <v>18.670174299999999</v>
      </c>
      <c r="M250">
        <v>-5.999398283026526</v>
      </c>
      <c r="N250">
        <v>2.9353198212814595E-3</v>
      </c>
      <c r="O250" s="1" t="str">
        <f>HYPERLINK(".\sm_car_250414_0011\sm_car_250414_0011_249_Ca202TrN_MaCMP_ode23t_1.png","figure")</f>
        <v>figure</v>
      </c>
      <c r="P250" t="s">
        <v>15</v>
      </c>
    </row>
    <row r="251" spans="1:16" x14ac:dyDescent="0.25">
      <c r="A251">
        <v>250</v>
      </c>
      <c r="B251">
        <v>202</v>
      </c>
      <c r="C251" t="s">
        <v>45</v>
      </c>
      <c r="D251" t="s">
        <v>35</v>
      </c>
      <c r="E251" t="s">
        <v>107</v>
      </c>
      <c r="F251" t="s">
        <v>19</v>
      </c>
      <c r="G251" t="s">
        <v>20</v>
      </c>
      <c r="H251" t="s">
        <v>21</v>
      </c>
      <c r="I251" t="s">
        <v>82</v>
      </c>
      <c r="J251" t="s">
        <v>23</v>
      </c>
      <c r="K251">
        <v>14905</v>
      </c>
      <c r="L251">
        <v>52.845054699999999</v>
      </c>
      <c r="M251">
        <v>-5.9990245248567993</v>
      </c>
      <c r="N251">
        <v>-8.8922096543663648E-3</v>
      </c>
      <c r="O251" s="1" t="str">
        <f>HYPERLINK(".\sm_car_250414_0011\sm_car_250414_0011_250_Ca202TrN_MaCKY_ode23t_1.png","figure")</f>
        <v>figure</v>
      </c>
      <c r="P251" t="s">
        <v>15</v>
      </c>
    </row>
    <row r="252" spans="1:16" x14ac:dyDescent="0.25">
      <c r="A252">
        <v>251</v>
      </c>
      <c r="B252">
        <v>202</v>
      </c>
      <c r="C252" t="s">
        <v>45</v>
      </c>
      <c r="D252" t="s">
        <v>35</v>
      </c>
      <c r="E252" t="s">
        <v>107</v>
      </c>
      <c r="F252" t="s">
        <v>19</v>
      </c>
      <c r="G252" t="s">
        <v>20</v>
      </c>
      <c r="H252" t="s">
        <v>21</v>
      </c>
      <c r="I252" t="s">
        <v>75</v>
      </c>
      <c r="J252" t="s">
        <v>23</v>
      </c>
      <c r="K252">
        <v>460</v>
      </c>
      <c r="L252">
        <v>2.5122463000000002</v>
      </c>
      <c r="M252">
        <v>381.37293638019747</v>
      </c>
      <c r="N252">
        <v>0.32912509632959175</v>
      </c>
      <c r="O252" s="1" t="str">
        <f>HYPERLINK(".\sm_car_250414_0011\sm_car_250414_0011_251_Ca202TrN_MaCPL_ode23t_1.png","figure")</f>
        <v>figure</v>
      </c>
      <c r="P252" t="s">
        <v>15</v>
      </c>
    </row>
    <row r="253" spans="1:16" x14ac:dyDescent="0.25">
      <c r="A253">
        <v>252</v>
      </c>
      <c r="B253">
        <v>140</v>
      </c>
      <c r="C253" t="s">
        <v>45</v>
      </c>
      <c r="D253" t="s">
        <v>17</v>
      </c>
      <c r="E253" t="s">
        <v>49</v>
      </c>
      <c r="F253" t="s">
        <v>19</v>
      </c>
      <c r="G253" t="s">
        <v>26</v>
      </c>
      <c r="H253" t="s">
        <v>21</v>
      </c>
      <c r="I253" t="s">
        <v>112</v>
      </c>
      <c r="J253" t="s">
        <v>23</v>
      </c>
      <c r="K253">
        <v>2732</v>
      </c>
      <c r="L253">
        <v>40.838022000000002</v>
      </c>
      <c r="M253">
        <v>176.28155875832888</v>
      </c>
      <c r="N253">
        <v>7.2208190920120408E-4</v>
      </c>
      <c r="O253" s="1" t="str">
        <f>HYPERLINK(".\sm_car_250414_0011\sm_car_250414_0011_252_Ca140TrN_MaCRR_ode23t_1.png","figure")</f>
        <v>figure</v>
      </c>
      <c r="P253" t="s">
        <v>15</v>
      </c>
    </row>
    <row r="254" spans="1:16" x14ac:dyDescent="0.25">
      <c r="A254">
        <v>253</v>
      </c>
      <c r="B254">
        <v>189</v>
      </c>
      <c r="C254" t="s">
        <v>45</v>
      </c>
      <c r="D254" t="s">
        <v>17</v>
      </c>
      <c r="E254" t="s">
        <v>107</v>
      </c>
      <c r="F254" t="s">
        <v>19</v>
      </c>
      <c r="G254" t="s">
        <v>26</v>
      </c>
      <c r="H254" t="s">
        <v>21</v>
      </c>
      <c r="I254" t="s">
        <v>112</v>
      </c>
      <c r="J254" t="s">
        <v>23</v>
      </c>
      <c r="K254">
        <v>3355</v>
      </c>
      <c r="L254">
        <v>37.114694299999996</v>
      </c>
      <c r="M254">
        <v>176.34114341350272</v>
      </c>
      <c r="N254">
        <v>7.5811201728804732E-4</v>
      </c>
      <c r="O254" s="1" t="str">
        <f>HYPERLINK(".\sm_car_250414_0011\sm_car_250414_0011_253_Ca189TrN_MaCRR_ode23t_1.png","figure")</f>
        <v>figure</v>
      </c>
      <c r="P254" t="s">
        <v>15</v>
      </c>
    </row>
    <row r="255" spans="1:16" x14ac:dyDescent="0.25">
      <c r="A255">
        <v>254</v>
      </c>
      <c r="B255">
        <v>173</v>
      </c>
      <c r="C255" t="s">
        <v>45</v>
      </c>
      <c r="D255" t="s">
        <v>35</v>
      </c>
      <c r="E255" t="s">
        <v>49</v>
      </c>
      <c r="F255" t="s">
        <v>19</v>
      </c>
      <c r="G255" t="s">
        <v>90</v>
      </c>
      <c r="H255" t="s">
        <v>21</v>
      </c>
      <c r="I255" t="s">
        <v>91</v>
      </c>
      <c r="J255" t="s">
        <v>92</v>
      </c>
      <c r="K255">
        <v>1595</v>
      </c>
      <c r="L255">
        <v>59.351107300000002</v>
      </c>
      <c r="M255">
        <v>51.299667292212206</v>
      </c>
      <c r="N255">
        <v>9.0084138817176865E-3</v>
      </c>
      <c r="O255" s="1" t="str">
        <f>HYPERLINK(".\sm_car_250414_0011\sm_car_250414_0011_254_Ca173TrN_MaDCA_daessc_1.png","figure")</f>
        <v>figure</v>
      </c>
      <c r="P255" t="s">
        <v>15</v>
      </c>
    </row>
    <row r="256" spans="1:16" x14ac:dyDescent="0.25">
      <c r="A256">
        <v>255</v>
      </c>
      <c r="B256">
        <v>173</v>
      </c>
      <c r="C256" t="s">
        <v>45</v>
      </c>
      <c r="D256" t="s">
        <v>35</v>
      </c>
      <c r="E256" t="s">
        <v>49</v>
      </c>
      <c r="F256" t="s">
        <v>19</v>
      </c>
      <c r="G256" t="s">
        <v>90</v>
      </c>
      <c r="H256" t="s">
        <v>21</v>
      </c>
      <c r="I256" t="s">
        <v>93</v>
      </c>
      <c r="J256" t="s">
        <v>92</v>
      </c>
      <c r="K256">
        <v>4143</v>
      </c>
      <c r="L256">
        <v>104.0371892</v>
      </c>
      <c r="M256">
        <v>980.46614980919958</v>
      </c>
      <c r="N256">
        <v>0.72239416866001649</v>
      </c>
      <c r="O256" s="1" t="str">
        <f>HYPERLINK(".\sm_car_250414_0011\sm_car_250414_0011_255_Ca173TrN_MaDC1_daessc_1.png","figure")</f>
        <v>figure</v>
      </c>
      <c r="P256" t="s">
        <v>15</v>
      </c>
    </row>
    <row r="257" spans="1:16" x14ac:dyDescent="0.25">
      <c r="A257">
        <v>256</v>
      </c>
      <c r="B257">
        <v>165</v>
      </c>
      <c r="C257" t="s">
        <v>45</v>
      </c>
      <c r="D257" t="s">
        <v>35</v>
      </c>
      <c r="E257" t="s">
        <v>49</v>
      </c>
      <c r="F257" t="s">
        <v>19</v>
      </c>
      <c r="G257" t="s">
        <v>26</v>
      </c>
      <c r="H257" t="s">
        <v>21</v>
      </c>
      <c r="I257" t="s">
        <v>91</v>
      </c>
      <c r="J257" t="s">
        <v>23</v>
      </c>
      <c r="K257">
        <v>323</v>
      </c>
      <c r="L257">
        <v>3.9101224999999999</v>
      </c>
      <c r="M257">
        <v>53.509370062741581</v>
      </c>
      <c r="N257">
        <v>9.8722574662738535E-3</v>
      </c>
      <c r="O257" s="1" t="str">
        <f>HYPERLINK(".\sm_car_250414_0011\sm_car_250414_0011_256_Ca165TrN_MaDCA_ode23t_1.png","figure")</f>
        <v>figure</v>
      </c>
      <c r="P257" t="s">
        <v>15</v>
      </c>
    </row>
    <row r="258" spans="1:16" x14ac:dyDescent="0.25">
      <c r="A258">
        <v>257</v>
      </c>
      <c r="B258">
        <v>165</v>
      </c>
      <c r="C258" t="s">
        <v>45</v>
      </c>
      <c r="D258" t="s">
        <v>35</v>
      </c>
      <c r="E258" t="s">
        <v>49</v>
      </c>
      <c r="F258" t="s">
        <v>19</v>
      </c>
      <c r="G258" t="s">
        <v>26</v>
      </c>
      <c r="H258" t="s">
        <v>21</v>
      </c>
      <c r="I258" t="s">
        <v>93</v>
      </c>
      <c r="J258" t="s">
        <v>23</v>
      </c>
      <c r="K258">
        <v>1194</v>
      </c>
      <c r="L258">
        <v>9.1561698000000007</v>
      </c>
      <c r="M258">
        <v>992.65424839007846</v>
      </c>
      <c r="N258">
        <v>0.78838705234437167</v>
      </c>
      <c r="O258" s="1" t="str">
        <f>HYPERLINK(".\sm_car_250414_0011\sm_car_250414_0011_257_Ca165TrN_MaDC1_ode23t_1.png","figure")</f>
        <v>figure</v>
      </c>
      <c r="P258" t="s">
        <v>15</v>
      </c>
    </row>
    <row r="259" spans="1:16" x14ac:dyDescent="0.25">
      <c r="A259">
        <v>258</v>
      </c>
      <c r="B259">
        <v>196</v>
      </c>
      <c r="C259" t="s">
        <v>45</v>
      </c>
      <c r="D259" t="s">
        <v>35</v>
      </c>
      <c r="E259" t="s">
        <v>107</v>
      </c>
      <c r="F259" t="s">
        <v>19</v>
      </c>
      <c r="G259" t="s">
        <v>90</v>
      </c>
      <c r="H259" t="s">
        <v>21</v>
      </c>
      <c r="I259" t="s">
        <v>93</v>
      </c>
      <c r="J259" t="s">
        <v>92</v>
      </c>
      <c r="K259">
        <v>4088</v>
      </c>
      <c r="L259">
        <v>49.791628899999999</v>
      </c>
      <c r="M259">
        <v>980.46291470411711</v>
      </c>
      <c r="N259">
        <v>0.72250999103930302</v>
      </c>
      <c r="O259" s="1" t="str">
        <f>HYPERLINK(".\sm_car_250414_0011\sm_car_250414_0011_258_Ca196TrN_MaDC1_daessc_1.png","figure")</f>
        <v>figure</v>
      </c>
      <c r="P259" t="s">
        <v>15</v>
      </c>
    </row>
    <row r="260" spans="1:16" x14ac:dyDescent="0.25">
      <c r="A260">
        <v>259</v>
      </c>
      <c r="B260">
        <v>179</v>
      </c>
      <c r="C260" t="s">
        <v>45</v>
      </c>
      <c r="D260" t="s">
        <v>57</v>
      </c>
      <c r="E260" t="s">
        <v>18</v>
      </c>
      <c r="F260" t="s">
        <v>19</v>
      </c>
      <c r="G260" t="s">
        <v>26</v>
      </c>
      <c r="H260" t="s">
        <v>21</v>
      </c>
      <c r="I260" t="s">
        <v>22</v>
      </c>
      <c r="J260" t="s">
        <v>23</v>
      </c>
      <c r="K260">
        <v>474</v>
      </c>
      <c r="L260">
        <v>4.7930391999999999</v>
      </c>
      <c r="M260">
        <v>147.8441993471184</v>
      </c>
      <c r="N260">
        <v>9.4943911169451042E-2</v>
      </c>
      <c r="O260" s="1" t="str">
        <f>HYPERLINK(".\sm_car_250414_0011\sm_car_250414_0011_259_Ca179TrN_MaWOT_ode23t_1.png","figure")</f>
        <v>figure</v>
      </c>
      <c r="P260" t="s">
        <v>15</v>
      </c>
    </row>
    <row r="261" spans="1:16" x14ac:dyDescent="0.25">
      <c r="A261">
        <v>260</v>
      </c>
      <c r="B261">
        <v>180</v>
      </c>
      <c r="C261" t="s">
        <v>45</v>
      </c>
      <c r="D261" t="s">
        <v>57</v>
      </c>
      <c r="E261" t="s">
        <v>49</v>
      </c>
      <c r="F261" t="s">
        <v>19</v>
      </c>
      <c r="G261" t="s">
        <v>26</v>
      </c>
      <c r="H261" t="s">
        <v>21</v>
      </c>
      <c r="I261" t="s">
        <v>22</v>
      </c>
      <c r="J261" t="s">
        <v>23</v>
      </c>
      <c r="K261">
        <v>519</v>
      </c>
      <c r="L261">
        <v>7.1124742000000003</v>
      </c>
      <c r="M261">
        <v>147.86626347806171</v>
      </c>
      <c r="N261">
        <v>9.4540839885179681E-2</v>
      </c>
      <c r="O261" s="1" t="str">
        <f>HYPERLINK(".\sm_car_250414_0011\sm_car_250414_0011_260_Ca180TrN_MaWOT_ode23t_1.png","figure")</f>
        <v>figure</v>
      </c>
      <c r="P261" t="s">
        <v>15</v>
      </c>
    </row>
    <row r="262" spans="1:16" x14ac:dyDescent="0.25">
      <c r="A262">
        <v>261</v>
      </c>
      <c r="B262">
        <v>197</v>
      </c>
      <c r="C262" t="s">
        <v>45</v>
      </c>
      <c r="D262" t="s">
        <v>57</v>
      </c>
      <c r="E262" t="s">
        <v>107</v>
      </c>
      <c r="F262" t="s">
        <v>19</v>
      </c>
      <c r="G262" t="s">
        <v>26</v>
      </c>
      <c r="H262" t="s">
        <v>21</v>
      </c>
      <c r="I262" t="s">
        <v>22</v>
      </c>
      <c r="J262" t="s">
        <v>23</v>
      </c>
      <c r="K262">
        <v>462</v>
      </c>
      <c r="L262">
        <v>2.1771162999999998</v>
      </c>
      <c r="M262">
        <v>147.86044572222826</v>
      </c>
      <c r="N262">
        <v>9.4504709432079073E-2</v>
      </c>
      <c r="O262" s="1" t="str">
        <f>HYPERLINK(".\sm_car_250414_0011\sm_car_250414_0011_261_Ca197TrN_MaWOT_ode23t_1.png","figure")</f>
        <v>figure</v>
      </c>
      <c r="P262" t="s">
        <v>15</v>
      </c>
    </row>
    <row r="263" spans="1:16" x14ac:dyDescent="0.25">
      <c r="A263">
        <v>262</v>
      </c>
      <c r="B263">
        <v>182</v>
      </c>
      <c r="C263" t="s">
        <v>45</v>
      </c>
      <c r="D263" t="s">
        <v>17</v>
      </c>
      <c r="E263" t="s">
        <v>49</v>
      </c>
      <c r="F263" t="s">
        <v>19</v>
      </c>
      <c r="G263" t="s">
        <v>26</v>
      </c>
      <c r="H263" t="s">
        <v>21</v>
      </c>
      <c r="I263" t="s">
        <v>64</v>
      </c>
      <c r="J263" t="s">
        <v>23</v>
      </c>
      <c r="K263">
        <v>421</v>
      </c>
      <c r="L263">
        <v>13.1304868</v>
      </c>
      <c r="M263">
        <v>62.248050675610131</v>
      </c>
      <c r="N263">
        <v>-24.542736932717091</v>
      </c>
      <c r="O263" s="1" t="str">
        <f>HYPERLINK(".\sm_car_250414_0011\sm_car_250414_0011_262_Ca182TrN_MaTUR_ode23t_1.png","figure")</f>
        <v>figure</v>
      </c>
      <c r="P263" t="s">
        <v>15</v>
      </c>
    </row>
    <row r="264" spans="1:16" x14ac:dyDescent="0.25">
      <c r="A264">
        <v>263</v>
      </c>
      <c r="B264">
        <v>203</v>
      </c>
      <c r="C264" t="s">
        <v>45</v>
      </c>
      <c r="D264" t="s">
        <v>17</v>
      </c>
      <c r="E264" t="s">
        <v>107</v>
      </c>
      <c r="F264" t="s">
        <v>19</v>
      </c>
      <c r="G264" t="s">
        <v>26</v>
      </c>
      <c r="H264" t="s">
        <v>21</v>
      </c>
      <c r="I264" t="s">
        <v>64</v>
      </c>
      <c r="J264" t="s">
        <v>23</v>
      </c>
      <c r="K264">
        <v>362</v>
      </c>
      <c r="L264">
        <v>4.7716042999999999</v>
      </c>
      <c r="M264">
        <v>62.262500244230537</v>
      </c>
      <c r="N264">
        <v>-24.564044523671043</v>
      </c>
      <c r="O264" s="1" t="str">
        <f>HYPERLINK(".\sm_car_250414_0011\sm_car_250414_0011_263_Ca203TrN_MaTUR_ode23t_1.png","figure")</f>
        <v>figure</v>
      </c>
      <c r="P264" t="s">
        <v>15</v>
      </c>
    </row>
    <row r="265" spans="1:16" x14ac:dyDescent="0.25">
      <c r="A265">
        <v>264</v>
      </c>
      <c r="B265">
        <v>185</v>
      </c>
      <c r="C265" t="s">
        <v>45</v>
      </c>
      <c r="D265" t="s">
        <v>17</v>
      </c>
      <c r="E265" t="s">
        <v>18</v>
      </c>
      <c r="F265" t="s">
        <v>19</v>
      </c>
      <c r="G265" t="s">
        <v>26</v>
      </c>
      <c r="H265" t="s">
        <v>21</v>
      </c>
      <c r="I265" t="s">
        <v>64</v>
      </c>
      <c r="J265" t="s">
        <v>23</v>
      </c>
      <c r="K265">
        <v>516</v>
      </c>
      <c r="L265">
        <v>20.595455000000001</v>
      </c>
      <c r="M265">
        <v>112.70032347106626</v>
      </c>
      <c r="N265">
        <v>-79.260578552895041</v>
      </c>
      <c r="O265" s="1" t="str">
        <f>HYPERLINK(".\sm_car_250414_0011\sm_car_250414_0011_264_Ca185TrN_MaTUR_ode23t_1.png","figure")</f>
        <v>figure</v>
      </c>
      <c r="P265" t="s">
        <v>15</v>
      </c>
    </row>
    <row r="266" spans="1:16" x14ac:dyDescent="0.25">
      <c r="A266">
        <v>265</v>
      </c>
      <c r="B266">
        <v>188</v>
      </c>
      <c r="C266" t="s">
        <v>45</v>
      </c>
      <c r="D266" t="s">
        <v>113</v>
      </c>
      <c r="E266" t="s">
        <v>49</v>
      </c>
      <c r="F266" t="s">
        <v>19</v>
      </c>
      <c r="G266" t="s">
        <v>26</v>
      </c>
      <c r="H266" t="s">
        <v>21</v>
      </c>
      <c r="I266" t="s">
        <v>64</v>
      </c>
      <c r="J266" t="s">
        <v>23</v>
      </c>
      <c r="K266">
        <v>558</v>
      </c>
      <c r="L266">
        <v>7.9470478</v>
      </c>
      <c r="M266">
        <v>140.65232852867624</v>
      </c>
      <c r="N266">
        <v>-71.76902592185742</v>
      </c>
      <c r="O266" s="1" t="str">
        <f>HYPERLINK(".\sm_car_250414_0011\sm_car_250414_0011_265_Ca188TrN_MaTUR_ode23t_1.png","figure")</f>
        <v>figure</v>
      </c>
      <c r="P266" t="s">
        <v>15</v>
      </c>
    </row>
    <row r="267" spans="1:16" x14ac:dyDescent="0.25">
      <c r="A267">
        <v>266</v>
      </c>
      <c r="B267" t="s">
        <v>94</v>
      </c>
      <c r="C267" t="s">
        <v>95</v>
      </c>
      <c r="D267" t="s">
        <v>35</v>
      </c>
      <c r="E267" t="s">
        <v>18</v>
      </c>
      <c r="F267" t="s">
        <v>19</v>
      </c>
      <c r="G267" t="s">
        <v>96</v>
      </c>
      <c r="H267" t="s">
        <v>21</v>
      </c>
      <c r="I267" t="s">
        <v>22</v>
      </c>
      <c r="J267" t="s">
        <v>23</v>
      </c>
      <c r="K267">
        <v>450</v>
      </c>
      <c r="L267">
        <v>13.475843100000001</v>
      </c>
      <c r="M267">
        <v>79.191473099722828</v>
      </c>
      <c r="N267">
        <v>-0.33363508893979904</v>
      </c>
      <c r="O267" s="1" t="str">
        <f>HYPERLINK(".\sm_car_250414_0011\sm_car_Axle3_250414_0011_266_CaAxle3_000TrN_MaWOT_ode23t_1.png","figure")</f>
        <v>figure</v>
      </c>
      <c r="P267" t="s">
        <v>15</v>
      </c>
    </row>
    <row r="268" spans="1:16" x14ac:dyDescent="0.25">
      <c r="A268">
        <v>267</v>
      </c>
      <c r="B268" t="s">
        <v>99</v>
      </c>
      <c r="C268" t="s">
        <v>100</v>
      </c>
      <c r="D268" t="s">
        <v>35</v>
      </c>
      <c r="E268" t="s">
        <v>18</v>
      </c>
      <c r="F268" t="s">
        <v>19</v>
      </c>
      <c r="G268" t="s">
        <v>96</v>
      </c>
      <c r="H268" t="s">
        <v>21</v>
      </c>
      <c r="I268" t="s">
        <v>22</v>
      </c>
      <c r="J268" t="s">
        <v>23</v>
      </c>
      <c r="K268">
        <v>479</v>
      </c>
      <c r="L268">
        <v>12.1193671</v>
      </c>
      <c r="M268">
        <v>69.133267510463625</v>
      </c>
      <c r="N268">
        <v>8.3860487409241985E-2</v>
      </c>
      <c r="O268" s="1" t="str">
        <f>HYPERLINK(".\sm_car_250414_0011\sm_car_Axle3_250414_0011_267_CaAxle3_008TrN_MaWOT_ode23t_1.png","figure")</f>
        <v>figure</v>
      </c>
      <c r="P268" t="s">
        <v>15</v>
      </c>
    </row>
    <row r="269" spans="1:16" x14ac:dyDescent="0.25">
      <c r="A269">
        <v>268</v>
      </c>
      <c r="B269" t="s">
        <v>97</v>
      </c>
      <c r="C269" t="s">
        <v>95</v>
      </c>
      <c r="D269" t="s">
        <v>35</v>
      </c>
      <c r="E269" t="s">
        <v>49</v>
      </c>
      <c r="F269" t="s">
        <v>19</v>
      </c>
      <c r="G269" t="s">
        <v>98</v>
      </c>
      <c r="H269" t="s">
        <v>21</v>
      </c>
      <c r="I269" t="s">
        <v>22</v>
      </c>
      <c r="J269" t="s">
        <v>23</v>
      </c>
      <c r="K269">
        <v>426</v>
      </c>
      <c r="L269">
        <v>12.9868451</v>
      </c>
      <c r="M269">
        <v>79.26753082601013</v>
      </c>
      <c r="N269">
        <v>-0.31346583892466412</v>
      </c>
      <c r="O269" s="1" t="str">
        <f>HYPERLINK(".\sm_car_250414_0011\sm_car_Axle3_250414_0011_268_CaAxle3_003TrN_MaWOT_ode23t_1.png","figure")</f>
        <v>figure</v>
      </c>
      <c r="P269" t="s">
        <v>15</v>
      </c>
    </row>
    <row r="270" spans="1:16" x14ac:dyDescent="0.25">
      <c r="A270">
        <v>269</v>
      </c>
      <c r="B270" t="s">
        <v>114</v>
      </c>
      <c r="C270" t="s">
        <v>95</v>
      </c>
      <c r="D270" t="s">
        <v>35</v>
      </c>
      <c r="E270" t="s">
        <v>107</v>
      </c>
      <c r="F270" t="s">
        <v>19</v>
      </c>
      <c r="G270" t="s">
        <v>98</v>
      </c>
      <c r="H270" t="s">
        <v>21</v>
      </c>
      <c r="I270" t="s">
        <v>22</v>
      </c>
      <c r="J270" t="s">
        <v>23</v>
      </c>
      <c r="K270">
        <v>439</v>
      </c>
      <c r="L270">
        <v>1.9266312000000001</v>
      </c>
      <c r="M270">
        <v>80.15351788240514</v>
      </c>
      <c r="N270">
        <v>-0.31968629273114602</v>
      </c>
      <c r="O270" s="1" t="str">
        <f>HYPERLINK(".\sm_car_250414_0011\sm_car_Axle3_250414_0011_269_CaAxle3_017TrN_MaWOT_ode23t_1.png","figure")</f>
        <v>figure</v>
      </c>
      <c r="P270" t="s">
        <v>15</v>
      </c>
    </row>
    <row r="271" spans="1:16" x14ac:dyDescent="0.25">
      <c r="A271">
        <v>270</v>
      </c>
      <c r="B271" t="s">
        <v>101</v>
      </c>
      <c r="C271" t="s">
        <v>100</v>
      </c>
      <c r="D271" t="s">
        <v>35</v>
      </c>
      <c r="E271" t="s">
        <v>49</v>
      </c>
      <c r="F271" t="s">
        <v>19</v>
      </c>
      <c r="G271" t="s">
        <v>96</v>
      </c>
      <c r="H271" t="s">
        <v>102</v>
      </c>
      <c r="I271" t="s">
        <v>22</v>
      </c>
      <c r="J271" t="s">
        <v>23</v>
      </c>
      <c r="K271">
        <v>379</v>
      </c>
      <c r="L271">
        <v>33.0471656</v>
      </c>
      <c r="M271">
        <v>23.327283758737099</v>
      </c>
      <c r="N271">
        <v>2.4827836515485882E-3</v>
      </c>
      <c r="O271" s="1" t="str">
        <f>HYPERLINK(".\sm_car_250414_0011\sm_car_Axle3_250414_0011_270_CaAxle3_010TrK_MaWOT_ode23t_1.png","figure")</f>
        <v>figure</v>
      </c>
      <c r="P271" t="s">
        <v>15</v>
      </c>
    </row>
    <row r="272" spans="1:16" x14ac:dyDescent="0.25">
      <c r="A272">
        <v>271</v>
      </c>
      <c r="B272" t="s">
        <v>101</v>
      </c>
      <c r="C272" t="s">
        <v>100</v>
      </c>
      <c r="D272" t="s">
        <v>35</v>
      </c>
      <c r="E272" t="s">
        <v>49</v>
      </c>
      <c r="F272" t="s">
        <v>19</v>
      </c>
      <c r="G272" t="s">
        <v>96</v>
      </c>
      <c r="H272" t="s">
        <v>102</v>
      </c>
      <c r="I272" t="s">
        <v>22</v>
      </c>
      <c r="J272" t="s">
        <v>23</v>
      </c>
      <c r="K272">
        <v>402</v>
      </c>
      <c r="L272">
        <v>33.9734269</v>
      </c>
      <c r="M272">
        <v>23.441137317233412</v>
      </c>
      <c r="N272">
        <v>2.5318258846586152E-3</v>
      </c>
      <c r="O272" s="1" t="str">
        <f>HYPERLINK(".\sm_car_250414_0011\sm_car_Axle3_250414_0011_271_CaAxle3_010TrK_MaWOT_ode23t_1.png","figure")</f>
        <v>figure</v>
      </c>
      <c r="P272" t="s">
        <v>15</v>
      </c>
    </row>
    <row r="273" spans="1:16" x14ac:dyDescent="0.25">
      <c r="A273">
        <v>272</v>
      </c>
      <c r="B273" t="s">
        <v>115</v>
      </c>
      <c r="C273" t="s">
        <v>100</v>
      </c>
      <c r="D273" t="s">
        <v>35</v>
      </c>
      <c r="E273" t="s">
        <v>107</v>
      </c>
      <c r="F273" t="s">
        <v>19</v>
      </c>
      <c r="G273" t="s">
        <v>96</v>
      </c>
      <c r="H273" t="s">
        <v>102</v>
      </c>
      <c r="I273" t="s">
        <v>22</v>
      </c>
      <c r="J273" t="s">
        <v>23</v>
      </c>
      <c r="K273">
        <v>395</v>
      </c>
      <c r="L273">
        <v>2.4624413000000001</v>
      </c>
      <c r="M273">
        <v>26.915043021668794</v>
      </c>
      <c r="N273">
        <v>3.6189184600081623E-3</v>
      </c>
      <c r="O273" s="1" t="str">
        <f>HYPERLINK(".\sm_car_250414_0011\sm_car_Axle3_250414_0011_272_CaAxle3_019TrK_MaWOT_ode23t_1.png","figure")</f>
        <v>figure</v>
      </c>
      <c r="P273" t="s">
        <v>15</v>
      </c>
    </row>
    <row r="274" spans="1:16" x14ac:dyDescent="0.25">
      <c r="A274">
        <v>273</v>
      </c>
      <c r="B274" t="s">
        <v>115</v>
      </c>
      <c r="C274" t="s">
        <v>100</v>
      </c>
      <c r="D274" t="s">
        <v>35</v>
      </c>
      <c r="E274" t="s">
        <v>107</v>
      </c>
      <c r="F274" t="s">
        <v>19</v>
      </c>
      <c r="G274" t="s">
        <v>96</v>
      </c>
      <c r="H274" t="s">
        <v>102</v>
      </c>
      <c r="I274" t="s">
        <v>22</v>
      </c>
      <c r="J274" t="s">
        <v>23</v>
      </c>
      <c r="K274">
        <v>396</v>
      </c>
      <c r="L274">
        <v>2.6268416999999999</v>
      </c>
      <c r="M274">
        <v>26.904154781457223</v>
      </c>
      <c r="N274">
        <v>3.6114672267954853E-3</v>
      </c>
      <c r="O274" s="1" t="str">
        <f>HYPERLINK(".\sm_car_250414_0011\sm_car_Axle3_250414_0011_273_CaAxle3_019TrK_MaWOT_ode23t_1.png","figure")</f>
        <v>figure</v>
      </c>
      <c r="P274" t="s">
        <v>15</v>
      </c>
    </row>
    <row r="275" spans="1:16" x14ac:dyDescent="0.25">
      <c r="A275">
        <v>274</v>
      </c>
      <c r="B275" t="s">
        <v>103</v>
      </c>
      <c r="C275" t="s">
        <v>100</v>
      </c>
      <c r="D275" t="s">
        <v>35</v>
      </c>
      <c r="E275" t="s">
        <v>18</v>
      </c>
      <c r="F275" t="s">
        <v>19</v>
      </c>
      <c r="G275" t="s">
        <v>104</v>
      </c>
      <c r="H275" t="s">
        <v>102</v>
      </c>
      <c r="I275" t="s">
        <v>53</v>
      </c>
      <c r="J275" t="s">
        <v>23</v>
      </c>
      <c r="K275">
        <v>669</v>
      </c>
      <c r="L275">
        <v>21.310287800000001</v>
      </c>
      <c r="M275">
        <v>253.20044181820992</v>
      </c>
      <c r="N275">
        <v>-9.6923652458091869E-2</v>
      </c>
      <c r="O275" s="1" t="str">
        <f>HYPERLINK(".\sm_car_250414_0011\sm_car_Axle3_250414_0011_274_CaAxle3_012TrK_MaDLC_ode23t_1.png","figure")</f>
        <v>figure</v>
      </c>
      <c r="P275" t="s">
        <v>15</v>
      </c>
    </row>
    <row r="276" spans="1:16" x14ac:dyDescent="0.25">
      <c r="A276">
        <v>275</v>
      </c>
      <c r="B276" t="s">
        <v>103</v>
      </c>
      <c r="C276" t="s">
        <v>100</v>
      </c>
      <c r="D276" t="s">
        <v>35</v>
      </c>
      <c r="E276" t="s">
        <v>18</v>
      </c>
      <c r="F276" t="s">
        <v>19</v>
      </c>
      <c r="G276" t="s">
        <v>104</v>
      </c>
      <c r="H276" t="s">
        <v>102</v>
      </c>
      <c r="I276" t="s">
        <v>53</v>
      </c>
      <c r="J276" t="s">
        <v>23</v>
      </c>
      <c r="K276">
        <v>761</v>
      </c>
      <c r="L276">
        <v>18.703303600000002</v>
      </c>
      <c r="M276">
        <v>254.24577857215235</v>
      </c>
      <c r="N276">
        <v>-9.851911464804175E-2</v>
      </c>
      <c r="O276" s="1" t="str">
        <f>HYPERLINK(".\sm_car_250414_0011\sm_car_Axle3_250414_0011_275_CaAxle3_012TrK_MaDLC_ode23t_1.png","figure")</f>
        <v>figure</v>
      </c>
      <c r="P276" t="s">
        <v>15</v>
      </c>
    </row>
    <row r="277" spans="1:16" x14ac:dyDescent="0.25">
      <c r="A277">
        <v>276</v>
      </c>
      <c r="B277" t="s">
        <v>103</v>
      </c>
      <c r="C277" t="s">
        <v>100</v>
      </c>
      <c r="D277" t="s">
        <v>35</v>
      </c>
      <c r="E277" t="s">
        <v>18</v>
      </c>
      <c r="F277" t="s">
        <v>19</v>
      </c>
      <c r="G277" t="s">
        <v>104</v>
      </c>
      <c r="H277" t="s">
        <v>102</v>
      </c>
      <c r="I277" t="s">
        <v>53</v>
      </c>
      <c r="J277" t="s">
        <v>23</v>
      </c>
      <c r="K277">
        <v>654</v>
      </c>
      <c r="L277">
        <v>15.4596953</v>
      </c>
      <c r="M277">
        <v>255.48311603288721</v>
      </c>
      <c r="N277">
        <v>-0.10384457382500356</v>
      </c>
      <c r="O277" s="1" t="str">
        <f>HYPERLINK(".\sm_car_250414_0011\sm_car_Axle3_250414_0011_276_CaAxle3_012TrK_MaDLC_ode23t_1.png","figure")</f>
        <v>figure</v>
      </c>
      <c r="P277" t="s">
        <v>15</v>
      </c>
    </row>
    <row r="278" spans="1:16" x14ac:dyDescent="0.25">
      <c r="A278">
        <v>277</v>
      </c>
      <c r="B278" t="s">
        <v>103</v>
      </c>
      <c r="C278" t="s">
        <v>100</v>
      </c>
      <c r="D278" t="s">
        <v>35</v>
      </c>
      <c r="E278" t="s">
        <v>18</v>
      </c>
      <c r="F278" t="s">
        <v>19</v>
      </c>
      <c r="G278" t="s">
        <v>104</v>
      </c>
      <c r="H278" t="s">
        <v>102</v>
      </c>
      <c r="I278" t="s">
        <v>53</v>
      </c>
      <c r="J278" t="s">
        <v>23</v>
      </c>
      <c r="K278">
        <v>938</v>
      </c>
      <c r="L278">
        <v>19.283571299999998</v>
      </c>
      <c r="M278">
        <v>253.32002971791792</v>
      </c>
      <c r="N278">
        <v>-8.9164001208727584E-2</v>
      </c>
      <c r="O278" s="1" t="str">
        <f>HYPERLINK(".\sm_car_250414_0011\sm_car_Axle3_250414_0011_277_CaAxle3_012TrK_MaDLC_ode23t_1.png","figure")</f>
        <v>figure</v>
      </c>
      <c r="P278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BF5A-E781-4286-9ADB-BB9ED936C00E}">
  <dimension ref="A1:R286"/>
  <sheetViews>
    <sheetView workbookViewId="0">
      <selection activeCell="S15" sqref="S15"/>
    </sheetView>
  </sheetViews>
  <sheetFormatPr defaultRowHeight="15" x14ac:dyDescent="0.25"/>
  <cols>
    <col min="1" max="1" width="4.42578125" bestFit="1" customWidth="1"/>
    <col min="2" max="2" width="10" bestFit="1" customWidth="1"/>
    <col min="3" max="3" width="14" bestFit="1" customWidth="1"/>
    <col min="4" max="4" width="12.42578125" bestFit="1" customWidth="1"/>
    <col min="5" max="5" width="11.85546875" bestFit="1" customWidth="1"/>
    <col min="6" max="6" width="11.42578125" bestFit="1" customWidth="1"/>
    <col min="7" max="7" width="16.85546875" bestFit="1" customWidth="1"/>
    <col min="8" max="8" width="8.5703125" bestFit="1" customWidth="1"/>
    <col min="9" max="9" width="27.140625" bestFit="1" customWidth="1"/>
    <col min="10" max="10" width="7.140625" bestFit="1" customWidth="1"/>
    <col min="11" max="11" width="7.28515625" bestFit="1" customWidth="1"/>
    <col min="12" max="12" width="6.5703125" bestFit="1" customWidth="1"/>
    <col min="13" max="13" width="7.5703125" bestFit="1" customWidth="1"/>
    <col min="14" max="14" width="8.28515625" bestFit="1" customWidth="1"/>
    <col min="15" max="15" width="6.5703125" bestFit="1" customWidth="1"/>
    <col min="16" max="16" width="4.85546875" bestFit="1" customWidth="1"/>
  </cols>
  <sheetData>
    <row r="1" spans="1: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R1" s="2" t="s">
        <v>136</v>
      </c>
    </row>
    <row r="2" spans="1:18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419</v>
      </c>
      <c r="L2" s="10">
        <v>6.3364120000000002</v>
      </c>
      <c r="M2" s="10">
        <v>231.16977804581785</v>
      </c>
      <c r="N2" s="10">
        <v>-4.2167209273321557E-3</v>
      </c>
      <c r="O2" s="1" t="str">
        <f>HYPERLINK(".\sm_car_250418_1417\sm_car_250418_1417_001_Ca000TrN_MaWOT_ode23t.png","figure")</f>
        <v>figure</v>
      </c>
      <c r="P2" t="s">
        <v>15</v>
      </c>
      <c r="R2" s="2" t="s">
        <v>116</v>
      </c>
    </row>
    <row r="3" spans="1:18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24</v>
      </c>
      <c r="J3" t="s">
        <v>23</v>
      </c>
      <c r="K3">
        <v>535</v>
      </c>
      <c r="L3" s="10">
        <v>7.5852963000000004</v>
      </c>
      <c r="M3" s="10">
        <v>71.237682164595498</v>
      </c>
      <c r="N3" s="10">
        <v>-0.53746460590208933</v>
      </c>
      <c r="O3" s="1" t="str">
        <f>HYPERLINK(".\sm_car_250418_1417\sm_car_250418_1417_002_Ca000TrN_MaLSS_ode23t.png","figure")</f>
        <v>figure</v>
      </c>
      <c r="P3" t="s">
        <v>15</v>
      </c>
      <c r="R3" s="2" t="s">
        <v>117</v>
      </c>
    </row>
    <row r="4" spans="1:18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21</v>
      </c>
      <c r="I4" t="s">
        <v>22</v>
      </c>
      <c r="J4" t="s">
        <v>23</v>
      </c>
      <c r="K4">
        <v>407</v>
      </c>
      <c r="L4" s="10">
        <v>6.8921932999999997</v>
      </c>
      <c r="M4" s="10">
        <v>230.25741075167508</v>
      </c>
      <c r="N4" s="10">
        <v>-1.463310265392751E-2</v>
      </c>
      <c r="O4" s="1" t="str">
        <f>HYPERLINK(".\sm_car_250418_1417\sm_car_250418_1417_003_Ca001TrN_MaWOT_ode23t.png","figure")</f>
        <v>figure</v>
      </c>
      <c r="P4" t="s">
        <v>15</v>
      </c>
      <c r="R4" s="2" t="s">
        <v>118</v>
      </c>
    </row>
    <row r="5" spans="1:18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25</v>
      </c>
      <c r="H5" t="s">
        <v>21</v>
      </c>
      <c r="I5" t="s">
        <v>24</v>
      </c>
      <c r="J5" t="s">
        <v>23</v>
      </c>
      <c r="K5">
        <v>519</v>
      </c>
      <c r="L5" s="10">
        <v>7.2882205000000004</v>
      </c>
      <c r="M5" s="10">
        <v>70.957678338714601</v>
      </c>
      <c r="N5" s="10">
        <v>-0.53384777274093631</v>
      </c>
      <c r="O5" s="1" t="str">
        <f>HYPERLINK(".\sm_car_250418_1417\sm_car_250418_1417_004_Ca001TrN_MaLSS_ode23t.png","figure")</f>
        <v>figure</v>
      </c>
      <c r="P5" t="s">
        <v>15</v>
      </c>
      <c r="R5" t="s">
        <v>137</v>
      </c>
    </row>
    <row r="6" spans="1:18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26</v>
      </c>
      <c r="H6" t="s">
        <v>21</v>
      </c>
      <c r="I6" t="s">
        <v>22</v>
      </c>
      <c r="J6" t="s">
        <v>23</v>
      </c>
      <c r="K6">
        <v>438</v>
      </c>
      <c r="L6" s="10">
        <v>11.488620299999999</v>
      </c>
      <c r="M6" s="10">
        <v>230.3866525574833</v>
      </c>
      <c r="N6" s="10">
        <v>5.2552455895464791E-2</v>
      </c>
      <c r="O6" s="1" t="str">
        <f>HYPERLINK(".\sm_car_250418_1417\sm_car_250418_1417_005_Ca002TrN_MaWOT_ode23t.png","figure")</f>
        <v>figure</v>
      </c>
      <c r="P6" t="s">
        <v>15</v>
      </c>
    </row>
    <row r="7" spans="1:18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26</v>
      </c>
      <c r="H7" t="s">
        <v>21</v>
      </c>
      <c r="I7" t="s">
        <v>24</v>
      </c>
      <c r="J7" t="s">
        <v>23</v>
      </c>
      <c r="K7">
        <v>531</v>
      </c>
      <c r="L7" s="10">
        <v>11.7719801</v>
      </c>
      <c r="M7" s="10">
        <v>70.954822241933982</v>
      </c>
      <c r="N7" s="10">
        <v>-0.53201919543448861</v>
      </c>
      <c r="O7" s="1" t="str">
        <f>HYPERLINK(".\sm_car_250418_1417\sm_car_250418_1417_006_Ca002TrN_MaLSS_ode23t.png","figure")</f>
        <v>figure</v>
      </c>
      <c r="P7" t="s">
        <v>15</v>
      </c>
    </row>
    <row r="8" spans="1:18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27</v>
      </c>
      <c r="H8" t="s">
        <v>21</v>
      </c>
      <c r="I8" t="s">
        <v>22</v>
      </c>
      <c r="J8" t="s">
        <v>23</v>
      </c>
      <c r="K8">
        <v>462</v>
      </c>
      <c r="L8" s="10">
        <v>11.162960099999999</v>
      </c>
      <c r="M8" s="10">
        <v>229.9751145263688</v>
      </c>
      <c r="N8" s="10">
        <v>5.1365341862990063E-2</v>
      </c>
      <c r="O8" s="1" t="str">
        <f>HYPERLINK(".\sm_car_250418_1417\sm_car_250418_1417_007_Ca003TrN_MaWOT_ode23t.png","figure")</f>
        <v>figure</v>
      </c>
      <c r="P8" t="s">
        <v>15</v>
      </c>
    </row>
    <row r="9" spans="1:18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27</v>
      </c>
      <c r="H9" t="s">
        <v>21</v>
      </c>
      <c r="I9" t="s">
        <v>24</v>
      </c>
      <c r="J9" t="s">
        <v>23</v>
      </c>
      <c r="K9">
        <v>583</v>
      </c>
      <c r="L9" s="10">
        <v>12.375928699999999</v>
      </c>
      <c r="M9" s="10">
        <v>70.837110353862897</v>
      </c>
      <c r="N9" s="10">
        <v>-0.52818837935119556</v>
      </c>
      <c r="O9" s="1" t="str">
        <f>HYPERLINK(".\sm_car_250418_1417\sm_car_250418_1417_008_Ca003TrN_MaLSS_ode23t.png","figure")</f>
        <v>figure</v>
      </c>
      <c r="P9" t="s">
        <v>15</v>
      </c>
    </row>
    <row r="10" spans="1:18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20</v>
      </c>
      <c r="H10" t="s">
        <v>21</v>
      </c>
      <c r="I10" t="s">
        <v>22</v>
      </c>
      <c r="J10" t="s">
        <v>23</v>
      </c>
      <c r="K10">
        <v>1083</v>
      </c>
      <c r="L10" s="10">
        <v>10.829682099999999</v>
      </c>
      <c r="M10" s="10">
        <v>231.36499344638909</v>
      </c>
      <c r="N10" s="10">
        <v>-5.678703146996626E-3</v>
      </c>
      <c r="O10" s="1" t="str">
        <f>HYPERLINK(".\sm_car_250418_1417\sm_car_250418_1417_009_Ca004TrN_MaWOT_ode23t.png","figure")</f>
        <v>figure</v>
      </c>
      <c r="P10" t="s">
        <v>15</v>
      </c>
    </row>
    <row r="11" spans="1:18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20</v>
      </c>
      <c r="H11" t="s">
        <v>21</v>
      </c>
      <c r="I11" t="s">
        <v>24</v>
      </c>
      <c r="J11" t="s">
        <v>23</v>
      </c>
      <c r="K11">
        <v>1204</v>
      </c>
      <c r="L11" s="10">
        <v>12.818503</v>
      </c>
      <c r="M11" s="10">
        <v>71.251039877141437</v>
      </c>
      <c r="N11" s="10">
        <v>-0.54015569646764505</v>
      </c>
      <c r="O11" s="1" t="str">
        <f>HYPERLINK(".\sm_car_250418_1417\sm_car_250418_1417_010_Ca004TrN_MaLSS_ode23t.png","figure")</f>
        <v>figure</v>
      </c>
      <c r="P11" t="s">
        <v>15</v>
      </c>
    </row>
    <row r="12" spans="1:18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25</v>
      </c>
      <c r="H12" t="s">
        <v>21</v>
      </c>
      <c r="I12" t="s">
        <v>22</v>
      </c>
      <c r="J12" t="s">
        <v>23</v>
      </c>
      <c r="K12">
        <v>1120</v>
      </c>
      <c r="L12" s="10">
        <v>12.6958912</v>
      </c>
      <c r="M12" s="10">
        <v>230.33570844955057</v>
      </c>
      <c r="N12" s="10">
        <v>-9.6169929437572195E-3</v>
      </c>
      <c r="O12" s="1" t="str">
        <f>HYPERLINK(".\sm_car_250418_1417\sm_car_250418_1417_011_Ca005TrN_MaWOT_ode23t.png","figure")</f>
        <v>figure</v>
      </c>
      <c r="P12" t="s">
        <v>15</v>
      </c>
    </row>
    <row r="13" spans="1:18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25</v>
      </c>
      <c r="H13" t="s">
        <v>21</v>
      </c>
      <c r="I13" t="s">
        <v>24</v>
      </c>
      <c r="J13" t="s">
        <v>23</v>
      </c>
      <c r="K13">
        <v>1231</v>
      </c>
      <c r="L13" s="10">
        <v>14.749834399999999</v>
      </c>
      <c r="M13" s="10">
        <v>70.974773522062037</v>
      </c>
      <c r="N13" s="10">
        <v>-0.53847437371217233</v>
      </c>
      <c r="O13" s="1" t="str">
        <f>HYPERLINK(".\sm_car_250418_1417\sm_car_250418_1417_012_Ca005TrN_MaLSS_ode23t.png","figure")</f>
        <v>figure</v>
      </c>
      <c r="P13" t="s">
        <v>15</v>
      </c>
    </row>
    <row r="14" spans="1:18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26</v>
      </c>
      <c r="H14" t="s">
        <v>21</v>
      </c>
      <c r="I14" t="s">
        <v>22</v>
      </c>
      <c r="J14" t="s">
        <v>23</v>
      </c>
      <c r="K14">
        <v>1205</v>
      </c>
      <c r="L14" s="10">
        <v>15.085846399999999</v>
      </c>
      <c r="M14" s="10">
        <v>230.41603717099116</v>
      </c>
      <c r="N14" s="10">
        <v>5.1014450886816429E-2</v>
      </c>
      <c r="O14" s="1" t="str">
        <f>HYPERLINK(".\sm_car_250418_1417\sm_car_250418_1417_013_Ca006TrN_MaWOT_ode23t.png","figure")</f>
        <v>figure</v>
      </c>
      <c r="P14" t="s">
        <v>15</v>
      </c>
    </row>
    <row r="15" spans="1:18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26</v>
      </c>
      <c r="H15" t="s">
        <v>21</v>
      </c>
      <c r="I15" t="s">
        <v>24</v>
      </c>
      <c r="J15" t="s">
        <v>23</v>
      </c>
      <c r="K15">
        <v>1302</v>
      </c>
      <c r="L15" s="10">
        <v>15.6755467</v>
      </c>
      <c r="M15" s="10">
        <v>70.962446784200893</v>
      </c>
      <c r="N15" s="10">
        <v>-0.53379821540881067</v>
      </c>
      <c r="O15" s="1" t="str">
        <f>HYPERLINK(".\sm_car_250418_1417\sm_car_250418_1417_014_Ca006TrN_MaLSS_ode23t.png","figure")</f>
        <v>figure</v>
      </c>
      <c r="P15" t="s">
        <v>15</v>
      </c>
    </row>
    <row r="16" spans="1:18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27</v>
      </c>
      <c r="H16" t="s">
        <v>21</v>
      </c>
      <c r="I16" t="s">
        <v>22</v>
      </c>
      <c r="J16" t="s">
        <v>23</v>
      </c>
      <c r="K16">
        <v>1187</v>
      </c>
      <c r="L16" s="10">
        <v>17.403166800000001</v>
      </c>
      <c r="M16" s="10">
        <v>229.92141308988465</v>
      </c>
      <c r="N16" s="10">
        <v>5.5510012812839155E-2</v>
      </c>
      <c r="O16" s="1" t="str">
        <f>HYPERLINK(".\sm_car_250418_1417\sm_car_250418_1417_015_Ca007TrN_MaWOT_ode23t.png","figure")</f>
        <v>figure</v>
      </c>
      <c r="P16" t="s">
        <v>15</v>
      </c>
    </row>
    <row r="17" spans="1:16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27</v>
      </c>
      <c r="H17" t="s">
        <v>21</v>
      </c>
      <c r="I17" t="s">
        <v>24</v>
      </c>
      <c r="J17" t="s">
        <v>23</v>
      </c>
      <c r="K17">
        <v>1264</v>
      </c>
      <c r="L17" s="10">
        <v>16.3217818</v>
      </c>
      <c r="M17" s="10">
        <v>70.840155591255154</v>
      </c>
      <c r="N17" s="10">
        <v>-0.52950775914611048</v>
      </c>
      <c r="O17" s="1" t="str">
        <f>HYPERLINK(".\sm_car_250418_1417\sm_car_250418_1417_016_Ca007TrN_MaLSS_ode23t.png","figure")</f>
        <v>figure</v>
      </c>
      <c r="P17" t="s">
        <v>15</v>
      </c>
    </row>
    <row r="18" spans="1:16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>
        <v>410</v>
      </c>
      <c r="L18" s="10">
        <v>5.6343674999999998</v>
      </c>
      <c r="M18" s="10">
        <v>231.95469718550959</v>
      </c>
      <c r="N18" s="10">
        <v>-7.1805169816792955E-2</v>
      </c>
      <c r="O18" s="1" t="str">
        <f>HYPERLINK(".\sm_car_250418_1417\sm_car_250418_1417_017_Ca016TrN_MaWOT_ode23t.png","figure")</f>
        <v>figure</v>
      </c>
      <c r="P18" t="s">
        <v>15</v>
      </c>
    </row>
    <row r="19" spans="1:16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20</v>
      </c>
      <c r="H19" t="s">
        <v>21</v>
      </c>
      <c r="I19" t="s">
        <v>24</v>
      </c>
      <c r="J19" t="s">
        <v>23</v>
      </c>
      <c r="K19">
        <v>487</v>
      </c>
      <c r="L19" s="10">
        <v>5.9757213</v>
      </c>
      <c r="M19" s="10">
        <v>71.519094904101436</v>
      </c>
      <c r="N19" s="10">
        <v>-2.156394133050862E-2</v>
      </c>
      <c r="O19" s="1" t="str">
        <f>HYPERLINK(".\sm_car_250418_1417\sm_car_250418_1417_018_Ca016TrN_MaLSS_ode23t.png","figure")</f>
        <v>figure</v>
      </c>
      <c r="P19" t="s">
        <v>15</v>
      </c>
    </row>
    <row r="20" spans="1:16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>
        <v>396</v>
      </c>
      <c r="L20" s="10">
        <v>7.2425978000000004</v>
      </c>
      <c r="M20" s="10">
        <v>231.36823643428059</v>
      </c>
      <c r="N20" s="10">
        <v>8.704881989051139E-3</v>
      </c>
      <c r="O20" s="1" t="str">
        <f>HYPERLINK(".\sm_car_250418_1417\sm_car_250418_1417_019_Ca032TrN_MaWOT_ode23t.png","figure")</f>
        <v>figure</v>
      </c>
      <c r="P20" t="s">
        <v>15</v>
      </c>
    </row>
    <row r="21" spans="1:16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20</v>
      </c>
      <c r="H21" t="s">
        <v>21</v>
      </c>
      <c r="I21" t="s">
        <v>24</v>
      </c>
      <c r="J21" t="s">
        <v>23</v>
      </c>
      <c r="K21">
        <v>519</v>
      </c>
      <c r="L21" s="10">
        <v>8.9284359000000002</v>
      </c>
      <c r="M21" s="10">
        <v>71.25913440593186</v>
      </c>
      <c r="N21" s="10">
        <v>-0.52291335482209034</v>
      </c>
      <c r="O21" s="1" t="str">
        <f>HYPERLINK(".\sm_car_250418_1417\sm_car_250418_1417_020_Ca032TrN_MaLSS_ode23t.png","figure")</f>
        <v>figure</v>
      </c>
      <c r="P21" t="s">
        <v>15</v>
      </c>
    </row>
    <row r="22" spans="1:16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>
        <v>408</v>
      </c>
      <c r="L22" s="10">
        <v>7.8997636</v>
      </c>
      <c r="M22" s="10">
        <v>231.35449648369442</v>
      </c>
      <c r="N22" s="10">
        <v>-1.7846832942849094E-2</v>
      </c>
      <c r="O22" s="1" t="str">
        <f>HYPERLINK(".\sm_car_250418_1417\sm_car_250418_1417_021_Ca048TrN_MaWOT_ode23t.png","figure")</f>
        <v>figure</v>
      </c>
      <c r="P22" t="s">
        <v>15</v>
      </c>
    </row>
    <row r="23" spans="1:16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20</v>
      </c>
      <c r="H23" t="s">
        <v>21</v>
      </c>
      <c r="I23" t="s">
        <v>24</v>
      </c>
      <c r="J23" t="s">
        <v>23</v>
      </c>
      <c r="K23">
        <v>523</v>
      </c>
      <c r="L23" s="10">
        <v>8.5011024000000006</v>
      </c>
      <c r="M23" s="10">
        <v>71.243091366038328</v>
      </c>
      <c r="N23" s="10">
        <v>-0.52846715496410079</v>
      </c>
      <c r="O23" s="1" t="str">
        <f>HYPERLINK(".\sm_car_250418_1417\sm_car_250418_1417_022_Ca048TrN_MaLSS_ode23t.png","figure")</f>
        <v>figure</v>
      </c>
      <c r="P23" t="s">
        <v>15</v>
      </c>
    </row>
    <row r="24" spans="1:16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 t="s">
        <v>23</v>
      </c>
      <c r="K24">
        <v>401</v>
      </c>
      <c r="L24" s="10">
        <v>8.7375188999999995</v>
      </c>
      <c r="M24" s="10">
        <v>231.3913327640237</v>
      </c>
      <c r="N24" s="10">
        <v>1.0575311749426356E-2</v>
      </c>
      <c r="O24" s="1" t="str">
        <f>HYPERLINK(".\sm_car_250418_1417\sm_car_250418_1417_023_Ca064TrN_MaWOT_ode23t.png","figure")</f>
        <v>figure</v>
      </c>
      <c r="P24" t="s">
        <v>15</v>
      </c>
    </row>
    <row r="25" spans="1:16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20</v>
      </c>
      <c r="H25" t="s">
        <v>21</v>
      </c>
      <c r="I25" t="s">
        <v>24</v>
      </c>
      <c r="J25" t="s">
        <v>23</v>
      </c>
      <c r="K25">
        <v>515</v>
      </c>
      <c r="L25" s="10">
        <v>8.3816886000000004</v>
      </c>
      <c r="M25" s="10">
        <v>71.257168561263001</v>
      </c>
      <c r="N25" s="10">
        <v>-0.51773374300368213</v>
      </c>
      <c r="O25" s="1" t="str">
        <f>HYPERLINK(".\sm_car_250418_1417\sm_car_250418_1417_024_Ca064TrN_MaLSS_ode23t.png","figure")</f>
        <v>figure</v>
      </c>
      <c r="P25" t="s">
        <v>15</v>
      </c>
    </row>
    <row r="26" spans="1:16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23</v>
      </c>
      <c r="K26">
        <v>409</v>
      </c>
      <c r="L26" s="10">
        <v>9.2979202000000001</v>
      </c>
      <c r="M26" s="10">
        <v>230.9221422762601</v>
      </c>
      <c r="N26" s="10">
        <v>-1.8904178456361612E-2</v>
      </c>
      <c r="O26" s="1" t="str">
        <f>HYPERLINK(".\sm_car_250418_1417\sm_car_250418_1417_025_Ca080TrN_MaWOT_ode23t.png","figure")</f>
        <v>figure</v>
      </c>
      <c r="P26" t="s">
        <v>15</v>
      </c>
    </row>
    <row r="27" spans="1:16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20</v>
      </c>
      <c r="H27" t="s">
        <v>21</v>
      </c>
      <c r="I27" t="s">
        <v>24</v>
      </c>
      <c r="J27" t="s">
        <v>23</v>
      </c>
      <c r="K27">
        <v>511</v>
      </c>
      <c r="L27" s="10">
        <v>8.6093963000000002</v>
      </c>
      <c r="M27" s="10">
        <v>71.24162695167638</v>
      </c>
      <c r="N27" s="10">
        <v>-0.52753129859912873</v>
      </c>
      <c r="O27" s="1" t="str">
        <f>HYPERLINK(".\sm_car_250418_1417\sm_car_250418_1417_026_Ca080TrN_MaLSS_ode23t.png","figure")</f>
        <v>figure</v>
      </c>
      <c r="P27" t="s">
        <v>15</v>
      </c>
    </row>
    <row r="28" spans="1:16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23</v>
      </c>
      <c r="K28">
        <v>408</v>
      </c>
      <c r="L28" s="10">
        <v>6.6053063999999999</v>
      </c>
      <c r="M28" s="10">
        <v>233.14094901124781</v>
      </c>
      <c r="N28" s="10">
        <v>2.2170175894673228E-2</v>
      </c>
      <c r="O28" s="1" t="str">
        <f>HYPERLINK(".\sm_car_250418_1417\sm_car_250418_1417_027_Ca096TrN_MaWOT_ode23t.png","figure")</f>
        <v>figure</v>
      </c>
      <c r="P28" t="s">
        <v>15</v>
      </c>
    </row>
    <row r="29" spans="1:16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20</v>
      </c>
      <c r="H29" t="s">
        <v>21</v>
      </c>
      <c r="I29" t="s">
        <v>24</v>
      </c>
      <c r="J29" t="s">
        <v>23</v>
      </c>
      <c r="K29">
        <v>508</v>
      </c>
      <c r="L29" s="10">
        <v>7.0457044</v>
      </c>
      <c r="M29" s="10">
        <v>71.764371320611247</v>
      </c>
      <c r="N29" s="10">
        <v>-0.52600636362762243</v>
      </c>
      <c r="O29" s="1" t="str">
        <f>HYPERLINK(".\sm_car_250418_1417\sm_car_250418_1417_028_Ca096TrN_MaLSS_ode23t.png","figure")</f>
        <v>figure</v>
      </c>
      <c r="P29" t="s">
        <v>15</v>
      </c>
    </row>
    <row r="30" spans="1:16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 t="s">
        <v>23</v>
      </c>
      <c r="K30">
        <v>371</v>
      </c>
      <c r="L30" s="10">
        <v>2.4681810999999998</v>
      </c>
      <c r="M30" s="10">
        <v>242.67152292699501</v>
      </c>
      <c r="N30" s="10">
        <v>0.2345591293344764</v>
      </c>
      <c r="O30" s="1" t="str">
        <f>HYPERLINK(".\sm_car_250418_1417\sm_car_250418_1417_029_Ca112TrN_MaWOT_ode23t.png","figure")</f>
        <v>figure</v>
      </c>
      <c r="P30" t="s">
        <v>15</v>
      </c>
    </row>
    <row r="31" spans="1:16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20</v>
      </c>
      <c r="H31" t="s">
        <v>21</v>
      </c>
      <c r="I31" t="s">
        <v>24</v>
      </c>
      <c r="J31" t="s">
        <v>23</v>
      </c>
      <c r="K31">
        <v>480</v>
      </c>
      <c r="L31" s="10">
        <v>2.7471233000000002</v>
      </c>
      <c r="M31" s="10">
        <v>74.659633852677175</v>
      </c>
      <c r="N31" s="10">
        <v>-0.33798931083008427</v>
      </c>
      <c r="O31" s="1" t="str">
        <f>HYPERLINK(".\sm_car_250418_1417\sm_car_250418_1417_030_Ca112TrN_MaLSS_ode23t.png","figure")</f>
        <v>figure</v>
      </c>
      <c r="P31" t="s">
        <v>15</v>
      </c>
    </row>
    <row r="32" spans="1:16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25</v>
      </c>
      <c r="H32" t="s">
        <v>21</v>
      </c>
      <c r="I32" t="s">
        <v>22</v>
      </c>
      <c r="J32" t="s">
        <v>23</v>
      </c>
      <c r="K32">
        <v>365</v>
      </c>
      <c r="L32" s="10">
        <v>3.160326</v>
      </c>
      <c r="M32" s="10">
        <v>241.58095919907919</v>
      </c>
      <c r="N32" s="10">
        <v>0.23108069325636199</v>
      </c>
      <c r="O32" s="1" t="str">
        <f>HYPERLINK(".\sm_car_250418_1417\sm_car_250418_1417_031_Ca113TrN_MaWOT_ode23t.png","figure")</f>
        <v>figure</v>
      </c>
      <c r="P32" t="s">
        <v>15</v>
      </c>
    </row>
    <row r="33" spans="1:16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25</v>
      </c>
      <c r="H33" t="s">
        <v>21</v>
      </c>
      <c r="I33" t="s">
        <v>24</v>
      </c>
      <c r="J33" t="s">
        <v>23</v>
      </c>
      <c r="K33">
        <v>472</v>
      </c>
      <c r="L33" s="10">
        <v>2.7871248999999998</v>
      </c>
      <c r="M33" s="10">
        <v>74.347327706198811</v>
      </c>
      <c r="N33" s="10">
        <v>-0.33499338802632245</v>
      </c>
      <c r="O33" s="1" t="str">
        <f>HYPERLINK(".\sm_car_250418_1417\sm_car_250418_1417_032_Ca113TrN_MaLSS_ode23t.png","figure")</f>
        <v>figure</v>
      </c>
      <c r="P33" t="s">
        <v>15</v>
      </c>
    </row>
    <row r="34" spans="1:16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26</v>
      </c>
      <c r="H34" t="s">
        <v>21</v>
      </c>
      <c r="I34" t="s">
        <v>22</v>
      </c>
      <c r="J34" t="s">
        <v>23</v>
      </c>
      <c r="K34">
        <v>373</v>
      </c>
      <c r="L34" s="10">
        <v>3.0219925000000001</v>
      </c>
      <c r="M34" s="10">
        <v>241.47230011590744</v>
      </c>
      <c r="N34" s="10">
        <v>0.22924440727364045</v>
      </c>
      <c r="O34" s="1" t="str">
        <f>HYPERLINK(".\sm_car_250418_1417\sm_car_250418_1417_033_Ca114TrN_MaWOT_ode23t.png","figure")</f>
        <v>figure</v>
      </c>
      <c r="P34" t="s">
        <v>15</v>
      </c>
    </row>
    <row r="35" spans="1:16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26</v>
      </c>
      <c r="H35" t="s">
        <v>21</v>
      </c>
      <c r="I35" t="s">
        <v>24</v>
      </c>
      <c r="J35" t="s">
        <v>23</v>
      </c>
      <c r="K35">
        <v>480</v>
      </c>
      <c r="L35" s="10">
        <v>3.0916611000000001</v>
      </c>
      <c r="M35" s="10">
        <v>74.350535679116291</v>
      </c>
      <c r="N35" s="10">
        <v>-0.33405184714518538</v>
      </c>
      <c r="O35" s="1" t="str">
        <f>HYPERLINK(".\sm_car_250418_1417\sm_car_250418_1417_034_Ca114TrN_MaLSS_ode23t.png","figure")</f>
        <v>figure</v>
      </c>
      <c r="P35" t="s">
        <v>15</v>
      </c>
    </row>
    <row r="36" spans="1:16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27</v>
      </c>
      <c r="H36" t="s">
        <v>21</v>
      </c>
      <c r="I36" t="s">
        <v>22</v>
      </c>
      <c r="J36" t="s">
        <v>23</v>
      </c>
      <c r="K36">
        <v>389</v>
      </c>
      <c r="L36" s="10">
        <v>3.1475966999999998</v>
      </c>
      <c r="M36" s="10">
        <v>241.2073858908829</v>
      </c>
      <c r="N36" s="10">
        <v>0.2278053888307488</v>
      </c>
      <c r="O36" s="1" t="str">
        <f>HYPERLINK(".\sm_car_250418_1417\sm_car_250418_1417_035_Ca115TrN_MaWOT_ode23t.png","figure")</f>
        <v>figure</v>
      </c>
      <c r="P36" t="s">
        <v>15</v>
      </c>
    </row>
    <row r="37" spans="1:16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27</v>
      </c>
      <c r="H37" t="s">
        <v>21</v>
      </c>
      <c r="I37" t="s">
        <v>24</v>
      </c>
      <c r="J37" t="s">
        <v>23</v>
      </c>
      <c r="K37">
        <v>523</v>
      </c>
      <c r="L37" s="10">
        <v>3.7052204999999998</v>
      </c>
      <c r="M37" s="10">
        <v>74.209862859405021</v>
      </c>
      <c r="N37" s="10">
        <v>-0.33245455080859615</v>
      </c>
      <c r="O37" s="1" t="str">
        <f>HYPERLINK(".\sm_car_250418_1417\sm_car_250418_1417_036_Ca115TrN_MaLSS_ode23t.png","figure")</f>
        <v>figure</v>
      </c>
      <c r="P37" t="s">
        <v>15</v>
      </c>
    </row>
    <row r="38" spans="1:16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20</v>
      </c>
      <c r="H38" t="s">
        <v>21</v>
      </c>
      <c r="I38" t="s">
        <v>22</v>
      </c>
      <c r="J38" t="s">
        <v>23</v>
      </c>
      <c r="K38">
        <v>943</v>
      </c>
      <c r="L38" s="10">
        <v>4.4116394999999997</v>
      </c>
      <c r="M38" s="10">
        <v>242.63118630005806</v>
      </c>
      <c r="N38" s="10">
        <v>0.2327919371692862</v>
      </c>
      <c r="O38" s="1" t="str">
        <f>HYPERLINK(".\sm_car_250418_1417\sm_car_250418_1417_037_Ca116TrN_MaWOT_ode23t.png","figure")</f>
        <v>figure</v>
      </c>
      <c r="P38" t="s">
        <v>15</v>
      </c>
    </row>
    <row r="39" spans="1:16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20</v>
      </c>
      <c r="H39" t="s">
        <v>21</v>
      </c>
      <c r="I39" t="s">
        <v>24</v>
      </c>
      <c r="J39" t="s">
        <v>23</v>
      </c>
      <c r="K39">
        <v>1060</v>
      </c>
      <c r="L39" s="10">
        <v>4.7064446000000002</v>
      </c>
      <c r="M39" s="10">
        <v>74.660234080632137</v>
      </c>
      <c r="N39" s="10">
        <v>-0.34043153147504285</v>
      </c>
      <c r="O39" s="1" t="str">
        <f>HYPERLINK(".\sm_car_250418_1417\sm_car_250418_1417_038_Ca116TrN_MaLSS_ode23t.png","figure")</f>
        <v>figure</v>
      </c>
      <c r="P39" t="s">
        <v>15</v>
      </c>
    </row>
    <row r="40" spans="1:16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25</v>
      </c>
      <c r="H40" t="s">
        <v>21</v>
      </c>
      <c r="I40" t="s">
        <v>22</v>
      </c>
      <c r="J40" t="s">
        <v>23</v>
      </c>
      <c r="K40">
        <v>955</v>
      </c>
      <c r="L40" s="10">
        <v>4.9141595000000002</v>
      </c>
      <c r="M40" s="10">
        <v>241.25997355936263</v>
      </c>
      <c r="N40" s="10">
        <v>0.23003619284985113</v>
      </c>
      <c r="O40" s="1" t="str">
        <f>HYPERLINK(".\sm_car_250418_1417\sm_car_250418_1417_039_Ca117TrN_MaWOT_ode23t.png","figure")</f>
        <v>figure</v>
      </c>
      <c r="P40" t="s">
        <v>15</v>
      </c>
    </row>
    <row r="41" spans="1:16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25</v>
      </c>
      <c r="H41" t="s">
        <v>21</v>
      </c>
      <c r="I41" t="s">
        <v>24</v>
      </c>
      <c r="J41" t="s">
        <v>23</v>
      </c>
      <c r="K41">
        <v>1049</v>
      </c>
      <c r="L41" s="10">
        <v>5.1887150999999996</v>
      </c>
      <c r="M41" s="10">
        <v>74.351684862220708</v>
      </c>
      <c r="N41" s="10">
        <v>-0.33712441838713736</v>
      </c>
      <c r="O41" s="1" t="str">
        <f>HYPERLINK(".\sm_car_250418_1417\sm_car_250418_1417_040_Ca117TrN_MaLSS_ode23t.png","figure")</f>
        <v>figure</v>
      </c>
      <c r="P41" t="s">
        <v>15</v>
      </c>
    </row>
    <row r="42" spans="1:16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26</v>
      </c>
      <c r="H42" t="s">
        <v>21</v>
      </c>
      <c r="I42" t="s">
        <v>22</v>
      </c>
      <c r="J42" t="s">
        <v>23</v>
      </c>
      <c r="K42">
        <v>943</v>
      </c>
      <c r="L42" s="10">
        <v>5.0219601000000003</v>
      </c>
      <c r="M42" s="10">
        <v>241.50511673820654</v>
      </c>
      <c r="N42" s="10">
        <v>0.22806034066150777</v>
      </c>
      <c r="O42" s="1" t="str">
        <f>HYPERLINK(".\sm_car_250418_1417\sm_car_250418_1417_041_Ca118TrN_MaWOT_ode23t.png","figure")</f>
        <v>figure</v>
      </c>
      <c r="P42" t="s">
        <v>15</v>
      </c>
    </row>
    <row r="43" spans="1:16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26</v>
      </c>
      <c r="H43" t="s">
        <v>21</v>
      </c>
      <c r="I43" t="s">
        <v>24</v>
      </c>
      <c r="J43" t="s">
        <v>23</v>
      </c>
      <c r="K43">
        <v>1061</v>
      </c>
      <c r="L43" s="10">
        <v>6.074147</v>
      </c>
      <c r="M43" s="10">
        <v>74.351553995799762</v>
      </c>
      <c r="N43" s="10">
        <v>-0.33607662289089918</v>
      </c>
      <c r="O43" s="1" t="str">
        <f>HYPERLINK(".\sm_car_250418_1417\sm_car_250418_1417_042_Ca118TrN_MaLSS_ode23t.png","figure")</f>
        <v>figure</v>
      </c>
      <c r="P43" t="s">
        <v>15</v>
      </c>
    </row>
    <row r="44" spans="1:16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27</v>
      </c>
      <c r="H44" t="s">
        <v>21</v>
      </c>
      <c r="I44" t="s">
        <v>22</v>
      </c>
      <c r="J44" t="s">
        <v>23</v>
      </c>
      <c r="K44">
        <v>957</v>
      </c>
      <c r="L44" s="10">
        <v>5.0638718999999996</v>
      </c>
      <c r="M44" s="10">
        <v>240.81336339439341</v>
      </c>
      <c r="N44" s="10">
        <v>0.22682437451207685</v>
      </c>
      <c r="O44" s="1" t="str">
        <f>HYPERLINK(".\sm_car_250418_1417\sm_car_250418_1417_043_Ca119TrN_MaWOT_ode23t.png","figure")</f>
        <v>figure</v>
      </c>
      <c r="P44" t="s">
        <v>15</v>
      </c>
    </row>
    <row r="45" spans="1:16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27</v>
      </c>
      <c r="H45" t="s">
        <v>21</v>
      </c>
      <c r="I45" t="s">
        <v>24</v>
      </c>
      <c r="J45" t="s">
        <v>23</v>
      </c>
      <c r="K45">
        <v>1063</v>
      </c>
      <c r="L45" s="10">
        <v>5.4922572000000001</v>
      </c>
      <c r="M45" s="10">
        <v>74.200974528559343</v>
      </c>
      <c r="N45" s="10">
        <v>-0.33358286583740676</v>
      </c>
      <c r="O45" s="1" t="str">
        <f>HYPERLINK(".\sm_car_250418_1417\sm_car_250418_1417_044_Ca119TrN_MaLSS_ode23t.png","figure")</f>
        <v>figure</v>
      </c>
      <c r="P45" t="s">
        <v>15</v>
      </c>
    </row>
    <row r="46" spans="1:16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23</v>
      </c>
      <c r="K46">
        <v>315</v>
      </c>
      <c r="L46" s="10">
        <v>5.8543976999999998</v>
      </c>
      <c r="M46" s="10">
        <v>99.772003095248778</v>
      </c>
      <c r="N46" s="10">
        <v>-1.62699639392123E-2</v>
      </c>
      <c r="O46" s="1" t="str">
        <f>HYPERLINK(".\sm_car_250418_1417\sm_car_250418_1417_045_Ca128TrN_MaWOT_ode23t.png","figure")</f>
        <v>figure</v>
      </c>
      <c r="P46" t="s">
        <v>15</v>
      </c>
    </row>
    <row r="47" spans="1:16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23</v>
      </c>
      <c r="K47">
        <v>437</v>
      </c>
      <c r="L47" s="10">
        <v>7.2977359000000002</v>
      </c>
      <c r="M47" s="10">
        <v>36.954451306250583</v>
      </c>
      <c r="N47" s="10">
        <v>-0.1312904780720284</v>
      </c>
      <c r="O47" s="1" t="str">
        <f>HYPERLINK(".\sm_car_250418_1417\sm_car_250418_1417_046_Ca128TrN_MaLSS_ode23t.png","figure")</f>
        <v>figure</v>
      </c>
      <c r="P47" t="s">
        <v>15</v>
      </c>
    </row>
    <row r="48" spans="1:16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23</v>
      </c>
      <c r="K48">
        <v>338</v>
      </c>
      <c r="L48" s="10">
        <v>7.1549161000000003</v>
      </c>
      <c r="M48" s="10">
        <v>229.36143135431726</v>
      </c>
      <c r="N48" s="10">
        <v>5.9765294846570526E-2</v>
      </c>
      <c r="O48" s="1" t="str">
        <f>HYPERLINK(".\sm_car_250418_1417\sm_car_250418_1417_047_Ca129TrN_MaWOT_ode23t.png","figure")</f>
        <v>figure</v>
      </c>
      <c r="P48" t="s">
        <v>15</v>
      </c>
    </row>
    <row r="49" spans="1:16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23</v>
      </c>
      <c r="K49">
        <v>481</v>
      </c>
      <c r="L49" s="10">
        <v>8.2599903999999995</v>
      </c>
      <c r="M49" s="10">
        <v>70.691839705449013</v>
      </c>
      <c r="N49" s="10">
        <v>-0.52369740283598099</v>
      </c>
      <c r="O49" s="1" t="str">
        <f>HYPERLINK(".\sm_car_250418_1417\sm_car_250418_1417_048_Ca129TrN_MaLSS_ode23t.png","figure")</f>
        <v>figure</v>
      </c>
      <c r="P49" t="s">
        <v>15</v>
      </c>
    </row>
    <row r="50" spans="1:16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23</v>
      </c>
      <c r="K50">
        <v>785</v>
      </c>
      <c r="L50" s="10">
        <v>22.0923844</v>
      </c>
      <c r="M50" s="10">
        <v>217.23142440098442</v>
      </c>
      <c r="N50" s="10">
        <v>-1.5381186711235479</v>
      </c>
      <c r="O50" s="1" t="str">
        <f>HYPERLINK(".\sm_car_250418_1417\sm_car_250418_1417_049_Ca130TrN_MaWOT_ode23t.png","figure")</f>
        <v>figure</v>
      </c>
      <c r="P50" t="s">
        <v>15</v>
      </c>
    </row>
    <row r="51" spans="1:16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23</v>
      </c>
      <c r="K51">
        <v>774</v>
      </c>
      <c r="L51" s="10">
        <v>20.811748600000001</v>
      </c>
      <c r="M51" s="10">
        <v>68.770414534175188</v>
      </c>
      <c r="N51" s="10">
        <v>-0.54591814181333798</v>
      </c>
      <c r="O51" s="1" t="str">
        <f>HYPERLINK(".\sm_car_250418_1417\sm_car_250418_1417_050_Ca130TrN_MaLSS_ode23t.png","figure")</f>
        <v>figure</v>
      </c>
      <c r="P51" t="s">
        <v>15</v>
      </c>
    </row>
    <row r="52" spans="1:16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23</v>
      </c>
      <c r="K52">
        <v>354</v>
      </c>
      <c r="L52" s="10">
        <v>4.8501494000000003</v>
      </c>
      <c r="M52" s="10">
        <v>230.01508410490689</v>
      </c>
      <c r="N52" s="10">
        <v>-4.0829059191464387E-2</v>
      </c>
      <c r="O52" s="1" t="str">
        <f>HYPERLINK(".\sm_car_250418_1417\sm_car_250418_1417_051_Ca131TrN_MaWOT_ode23t.png","figure")</f>
        <v>figure</v>
      </c>
      <c r="P52" t="s">
        <v>15</v>
      </c>
    </row>
    <row r="53" spans="1:16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23</v>
      </c>
      <c r="K53">
        <v>504</v>
      </c>
      <c r="L53" s="10">
        <v>5.6290754999999999</v>
      </c>
      <c r="M53" s="10">
        <v>70.975257249845328</v>
      </c>
      <c r="N53" s="10">
        <v>-0.53986369484110475</v>
      </c>
      <c r="O53" s="1" t="str">
        <f>HYPERLINK(".\sm_car_250418_1417\sm_car_250418_1417_052_Ca131TrN_MaLSS_ode23t.png","figure")</f>
        <v>figure</v>
      </c>
      <c r="P53" t="s">
        <v>15</v>
      </c>
    </row>
    <row r="54" spans="1:16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23</v>
      </c>
      <c r="K54">
        <v>354</v>
      </c>
      <c r="L54" s="10">
        <v>4.5865425999999996</v>
      </c>
      <c r="M54" s="10">
        <v>230.40691527981528</v>
      </c>
      <c r="N54" s="10">
        <v>-1.1461656788512737E-2</v>
      </c>
      <c r="O54" s="1" t="str">
        <f>HYPERLINK(".\sm_car_250418_1417\sm_car_250418_1417_053_Ca132TrN_MaWOT_ode23t.png","figure")</f>
        <v>figure</v>
      </c>
      <c r="P54" t="s">
        <v>15</v>
      </c>
    </row>
    <row r="55" spans="1:16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23</v>
      </c>
      <c r="K55">
        <v>505</v>
      </c>
      <c r="L55" s="10">
        <v>5.9855787999999999</v>
      </c>
      <c r="M55" s="10">
        <v>70.96347888587853</v>
      </c>
      <c r="N55" s="10">
        <v>-0.53620033247222632</v>
      </c>
      <c r="O55" s="1" t="str">
        <f>HYPERLINK(".\sm_car_250418_1417\sm_car_250418_1417_054_Ca132TrN_MaLSS_ode23t.png","figure")</f>
        <v>figure</v>
      </c>
      <c r="P55" t="s">
        <v>15</v>
      </c>
    </row>
    <row r="56" spans="1:16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23</v>
      </c>
      <c r="K56">
        <v>374</v>
      </c>
      <c r="L56" s="10">
        <v>4.8977912999999997</v>
      </c>
      <c r="M56" s="10">
        <v>230.30905389366359</v>
      </c>
      <c r="N56" s="10">
        <v>-1.0624810504668951E-2</v>
      </c>
      <c r="O56" s="1" t="str">
        <f>HYPERLINK(".\sm_car_250418_1417\sm_car_250418_1417_055_Ca133TrN_MaWOT_ode23t.png","figure")</f>
        <v>figure</v>
      </c>
      <c r="P56" t="s">
        <v>15</v>
      </c>
    </row>
    <row r="57" spans="1:16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23</v>
      </c>
      <c r="K57">
        <v>505</v>
      </c>
      <c r="L57" s="10">
        <v>5.6794302999999999</v>
      </c>
      <c r="M57" s="10">
        <v>70.97448307165061</v>
      </c>
      <c r="N57" s="10">
        <v>-0.53521135424357735</v>
      </c>
      <c r="O57" s="1" t="str">
        <f>HYPERLINK(".\sm_car_250418_1417\sm_car_250418_1417_056_Ca133TrN_MaLSS_ode23t.png","figure")</f>
        <v>figure</v>
      </c>
      <c r="P57" t="s">
        <v>15</v>
      </c>
    </row>
    <row r="58" spans="1:16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23</v>
      </c>
      <c r="K58">
        <v>351</v>
      </c>
      <c r="L58" s="10">
        <v>5.0782897</v>
      </c>
      <c r="M58" s="10">
        <v>230.29615300014996</v>
      </c>
      <c r="N58" s="10">
        <v>-1.2341585892134454E-2</v>
      </c>
      <c r="O58" s="1" t="str">
        <f>HYPERLINK(".\sm_car_250418_1417\sm_car_250418_1417_057_Ca134TrN_MaWOT_ode23t.png","figure")</f>
        <v>figure</v>
      </c>
      <c r="P58" t="s">
        <v>15</v>
      </c>
    </row>
    <row r="59" spans="1:16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23</v>
      </c>
      <c r="K59">
        <v>509</v>
      </c>
      <c r="L59" s="10">
        <v>5.8795573000000001</v>
      </c>
      <c r="M59" s="10">
        <v>70.978322001033732</v>
      </c>
      <c r="N59" s="10">
        <v>-0.53360223891402436</v>
      </c>
      <c r="O59" s="1" t="str">
        <f>HYPERLINK(".\sm_car_250418_1417\sm_car_250418_1417_058_Ca134TrN_MaLSS_ode23t.png","figure")</f>
        <v>figure</v>
      </c>
      <c r="P59" t="s">
        <v>15</v>
      </c>
    </row>
    <row r="60" spans="1:16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23</v>
      </c>
      <c r="K60">
        <v>341</v>
      </c>
      <c r="L60" s="10">
        <v>4.7035688000000002</v>
      </c>
      <c r="M60" s="10">
        <v>230.37032136123273</v>
      </c>
      <c r="N60" s="10">
        <v>-1.1643340862021817E-2</v>
      </c>
      <c r="O60" s="1" t="str">
        <f>HYPERLINK(".\sm_car_250418_1417\sm_car_250418_1417_059_Ca135TrN_MaWOT_ode23t.png","figure")</f>
        <v>figure</v>
      </c>
      <c r="P60" t="s">
        <v>15</v>
      </c>
    </row>
    <row r="61" spans="1:16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23</v>
      </c>
      <c r="K61">
        <v>486</v>
      </c>
      <c r="L61" s="10">
        <v>5.2937303</v>
      </c>
      <c r="M61" s="10">
        <v>70.98234388700304</v>
      </c>
      <c r="N61" s="10">
        <v>-0.53532475709214233</v>
      </c>
      <c r="O61" s="1" t="str">
        <f>HYPERLINK(".\sm_car_250418_1417\sm_car_250418_1417_060_Ca135TrN_MaLSS_ode23t.png","figure")</f>
        <v>figure</v>
      </c>
      <c r="P61" t="s">
        <v>15</v>
      </c>
    </row>
    <row r="62" spans="1:16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23</v>
      </c>
      <c r="K62">
        <v>374</v>
      </c>
      <c r="L62" s="10">
        <v>5.8995321000000001</v>
      </c>
      <c r="M62" s="10">
        <v>230.41111760038538</v>
      </c>
      <c r="N62" s="10">
        <v>5.3015671980534071E-2</v>
      </c>
      <c r="O62" s="1" t="str">
        <f>HYPERLINK(".\sm_car_250418_1417\sm_car_250418_1417_061_Ca136TrN_MaWOT_ode23t.png","figure")</f>
        <v>figure</v>
      </c>
      <c r="P62" t="s">
        <v>15</v>
      </c>
    </row>
    <row r="63" spans="1:16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23</v>
      </c>
      <c r="K63">
        <v>490</v>
      </c>
      <c r="L63" s="10">
        <v>6.9792154000000002</v>
      </c>
      <c r="M63" s="10">
        <v>70.984104286412759</v>
      </c>
      <c r="N63" s="10">
        <v>-0.52956895615916422</v>
      </c>
      <c r="O63" s="1" t="str">
        <f>HYPERLINK(".\sm_car_250418_1417\sm_car_250418_1417_062_Ca136TrN_MaLSS_ode23t.png","figure")</f>
        <v>figure</v>
      </c>
      <c r="P63" t="s">
        <v>15</v>
      </c>
    </row>
    <row r="64" spans="1:16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23</v>
      </c>
      <c r="K64">
        <v>330</v>
      </c>
      <c r="L64" s="10">
        <v>4.1048935000000002</v>
      </c>
      <c r="M64" s="10">
        <v>231.37618502744672</v>
      </c>
      <c r="N64" s="10">
        <v>0.13995991279649961</v>
      </c>
      <c r="O64" s="1" t="str">
        <f>HYPERLINK(".\sm_car_250418_1417\sm_car_250418_1417_063_Ca137TrN_MaWOT_ode23t.png","figure")</f>
        <v>figure</v>
      </c>
      <c r="P64" t="s">
        <v>15</v>
      </c>
    </row>
    <row r="65" spans="1:16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23</v>
      </c>
      <c r="K65">
        <v>470</v>
      </c>
      <c r="L65" s="10">
        <v>4.5442077000000003</v>
      </c>
      <c r="M65" s="10">
        <v>71.242988050325067</v>
      </c>
      <c r="N65" s="10">
        <v>-0.51191002257608276</v>
      </c>
      <c r="O65" s="1" t="str">
        <f>HYPERLINK(".\sm_car_250418_1417\sm_car_250418_1417_064_Ca137TrN_MaLSS_ode23t.png","figure")</f>
        <v>figure</v>
      </c>
      <c r="P65" t="s">
        <v>15</v>
      </c>
    </row>
    <row r="66" spans="1:16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23</v>
      </c>
      <c r="K66">
        <v>325</v>
      </c>
      <c r="L66" s="10">
        <v>5.6067014999999998</v>
      </c>
      <c r="M66" s="10">
        <v>231.3463009843779</v>
      </c>
      <c r="N66" s="10">
        <v>0.14575438232711665</v>
      </c>
      <c r="O66" s="1" t="str">
        <f>HYPERLINK(".\sm_car_250418_1417\sm_car_250418_1417_065_Ca138TrN_MaWOT_ode23t.png","figure")</f>
        <v>figure</v>
      </c>
      <c r="P66" t="s">
        <v>15</v>
      </c>
    </row>
    <row r="67" spans="1:16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23</v>
      </c>
      <c r="K67">
        <v>493</v>
      </c>
      <c r="L67" s="10">
        <v>6.9193666</v>
      </c>
      <c r="M67" s="10">
        <v>71.135576288788812</v>
      </c>
      <c r="N67" s="10">
        <v>-0.82740227219901075</v>
      </c>
      <c r="O67" s="1" t="str">
        <f>HYPERLINK(".\sm_car_250418_1417\sm_car_250418_1417_066_Ca138TrN_MaLSS_ode23t.png","figure")</f>
        <v>figure</v>
      </c>
      <c r="P67" t="s">
        <v>15</v>
      </c>
    </row>
    <row r="68" spans="1:16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23</v>
      </c>
      <c r="K68">
        <v>671</v>
      </c>
      <c r="L68" s="10">
        <v>27.132391399999999</v>
      </c>
      <c r="M68" s="10">
        <v>405.22521200659475</v>
      </c>
      <c r="N68" s="10">
        <v>1.765474891034553</v>
      </c>
      <c r="O68" s="1" t="str">
        <f>HYPERLINK(".\sm_car_250418_1417\sm_car_250418_1417_067_Ca139TrN_MaWOT_ode23t.png","figure")</f>
        <v>figure</v>
      </c>
      <c r="P68" t="s">
        <v>15</v>
      </c>
    </row>
    <row r="69" spans="1:16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23</v>
      </c>
      <c r="K69">
        <v>639</v>
      </c>
      <c r="L69" s="10">
        <v>17.943784900000001</v>
      </c>
      <c r="M69" s="10">
        <v>154.33411938409554</v>
      </c>
      <c r="N69" s="10">
        <v>-0.5828356450196378</v>
      </c>
      <c r="O69" s="1" t="str">
        <f>HYPERLINK(".\sm_car_250418_1417\sm_car_250418_1417_068_Ca139TrN_MaLSS_ode23t.png","figure")</f>
        <v>figure</v>
      </c>
      <c r="P69" t="s">
        <v>15</v>
      </c>
    </row>
    <row r="70" spans="1:16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23</v>
      </c>
      <c r="K70">
        <v>1959</v>
      </c>
      <c r="L70" s="10">
        <v>36.962556300000003</v>
      </c>
      <c r="M70" s="10">
        <v>405.30241437866147</v>
      </c>
      <c r="N70" s="10">
        <v>1.6154649449540242</v>
      </c>
      <c r="O70" s="1" t="str">
        <f>HYPERLINK(".\sm_car_250418_1417\sm_car_250418_1417_069_Ca141TrN_MaWOT_ode23t.png","figure")</f>
        <v>figure</v>
      </c>
      <c r="P70" t="s">
        <v>15</v>
      </c>
    </row>
    <row r="71" spans="1:16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23</v>
      </c>
      <c r="K71">
        <v>1851</v>
      </c>
      <c r="L71" s="10">
        <v>26.785744300000001</v>
      </c>
      <c r="M71" s="10">
        <v>154.41111044063848</v>
      </c>
      <c r="N71" s="10">
        <v>-0.58377816152746875</v>
      </c>
      <c r="O71" s="1" t="str">
        <f>HYPERLINK(".\sm_car_250418_1417\sm_car_250418_1417_070_Ca141TrN_MaLSS_ode23t.png","figure")</f>
        <v>figure</v>
      </c>
      <c r="P71" t="s">
        <v>15</v>
      </c>
    </row>
    <row r="72" spans="1:16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23</v>
      </c>
      <c r="K72">
        <v>359</v>
      </c>
      <c r="L72" s="10">
        <v>21.640006700000001</v>
      </c>
      <c r="M72" s="10">
        <v>95.798909803790707</v>
      </c>
      <c r="N72" s="10">
        <v>-3.0921415269115043E-2</v>
      </c>
      <c r="O72" s="1" t="str">
        <f>HYPERLINK(".\sm_car_250418_1417\sm_car_250418_1417_071_Ca143TrN_MaWOT_ode23t.png","figure")</f>
        <v>figure</v>
      </c>
      <c r="P72" t="s">
        <v>15</v>
      </c>
    </row>
    <row r="73" spans="1:16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23</v>
      </c>
      <c r="K73">
        <v>456</v>
      </c>
      <c r="L73" s="10">
        <v>21.197206300000001</v>
      </c>
      <c r="M73" s="10">
        <v>25.006273945906685</v>
      </c>
      <c r="N73" s="10">
        <v>-5.3111840781539355E-2</v>
      </c>
      <c r="O73" s="1" t="str">
        <f>HYPERLINK(".\sm_car_250418_1417\sm_car_250418_1417_072_Ca143TrN_MaLSS_ode23t.png","figure")</f>
        <v>figure</v>
      </c>
      <c r="P73" t="s">
        <v>15</v>
      </c>
    </row>
    <row r="74" spans="1:16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23</v>
      </c>
      <c r="K74">
        <v>338</v>
      </c>
      <c r="L74" s="10">
        <v>14.155589900000001</v>
      </c>
      <c r="M74" s="10">
        <v>114.02423535293833</v>
      </c>
      <c r="N74" s="10">
        <v>0.53031998803598834</v>
      </c>
      <c r="O74" s="1" t="str">
        <f>HYPERLINK(".\sm_car_250418_1417\sm_car_250418_1417_073_Ca144TrN_MaWOT_ode23t.png","figure")</f>
        <v>figure</v>
      </c>
      <c r="P74" t="s">
        <v>15</v>
      </c>
    </row>
    <row r="75" spans="1:16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23</v>
      </c>
      <c r="K75">
        <v>451</v>
      </c>
      <c r="L75" s="10">
        <v>13.7063161</v>
      </c>
      <c r="M75" s="10">
        <v>35.602955949824107</v>
      </c>
      <c r="N75" s="10">
        <v>-3.2606167194787254E-2</v>
      </c>
      <c r="O75" s="1" t="str">
        <f>HYPERLINK(".\sm_car_250418_1417\sm_car_250418_1417_074_Ca144TrN_MaLSS_ode23t.png","figure")</f>
        <v>figure</v>
      </c>
      <c r="P75" t="s">
        <v>15</v>
      </c>
    </row>
    <row r="76" spans="1:16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23</v>
      </c>
      <c r="K76">
        <v>2510</v>
      </c>
      <c r="L76" s="10">
        <v>30.254247500000002</v>
      </c>
      <c r="M76" s="10">
        <v>399.76594910800122</v>
      </c>
      <c r="N76" s="10">
        <v>-16.255044174757227</v>
      </c>
      <c r="O76" s="1" t="str">
        <f>HYPERLINK(".\sm_car_250418_1417\sm_car_250418_1417_075_Ca147TrN_MaWOT_ode23t.png","figure")</f>
        <v>figure</v>
      </c>
      <c r="P76" t="s">
        <v>15</v>
      </c>
    </row>
    <row r="77" spans="1:16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23</v>
      </c>
      <c r="K77">
        <v>1276</v>
      </c>
      <c r="L77" s="10">
        <v>18.105688700000002</v>
      </c>
      <c r="M77" s="10">
        <v>151.93874460164366</v>
      </c>
      <c r="N77" s="10">
        <v>-2.4098040140581656</v>
      </c>
      <c r="O77" s="1" t="str">
        <f>HYPERLINK(".\sm_car_250418_1417\sm_car_250418_1417_076_Ca147TrN_MaLSS_ode23t.png","figure")</f>
        <v>figure</v>
      </c>
      <c r="P77" t="s">
        <v>15</v>
      </c>
    </row>
    <row r="78" spans="1:16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23</v>
      </c>
      <c r="K78">
        <v>312</v>
      </c>
      <c r="L78" s="10">
        <v>8.3852253000000001</v>
      </c>
      <c r="M78" s="10">
        <v>229.67542025612829</v>
      </c>
      <c r="N78" s="10">
        <v>5.5980890335133957E-3</v>
      </c>
      <c r="O78" s="1" t="str">
        <f>HYPERLINK(".\sm_car_250418_1417\sm_car_250418_1417_077_Ca215TrN_MaWOT_ode23t.png","figure")</f>
        <v>figure</v>
      </c>
      <c r="P78" t="s">
        <v>15</v>
      </c>
    </row>
    <row r="79" spans="1:16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23</v>
      </c>
      <c r="K79">
        <v>471</v>
      </c>
      <c r="L79" s="10">
        <v>8.2987670999999992</v>
      </c>
      <c r="M79" s="10">
        <v>81.26828189226714</v>
      </c>
      <c r="N79" s="10">
        <v>-0.22189443475888274</v>
      </c>
      <c r="O79" s="1" t="str">
        <f>HYPERLINK(".\sm_car_250418_1417\sm_car_250418_1417_078_Ca215TrN_MaLSS_ode23t.png","figure")</f>
        <v>figure</v>
      </c>
      <c r="P79" t="s">
        <v>15</v>
      </c>
    </row>
    <row r="80" spans="1:16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26</v>
      </c>
      <c r="H80" t="s">
        <v>21</v>
      </c>
      <c r="I80" t="s">
        <v>22</v>
      </c>
      <c r="J80" t="s">
        <v>23</v>
      </c>
      <c r="K80">
        <v>344</v>
      </c>
      <c r="L80" s="10">
        <v>4.3880881</v>
      </c>
      <c r="M80" s="10">
        <v>230.38897369222414</v>
      </c>
      <c r="N80" s="10">
        <v>0.16929975278586892</v>
      </c>
      <c r="O80" s="1" t="str">
        <f>HYPERLINK(".\sm_car_250418_1417\sm_car_250418_1417_079_Ca218TrN_MaWOT_ode23t.png","figure")</f>
        <v>figure</v>
      </c>
      <c r="P80" t="s">
        <v>15</v>
      </c>
    </row>
    <row r="81" spans="1:16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26</v>
      </c>
      <c r="H81" t="s">
        <v>21</v>
      </c>
      <c r="I81" t="s">
        <v>24</v>
      </c>
      <c r="J81" t="s">
        <v>23</v>
      </c>
      <c r="K81">
        <v>480</v>
      </c>
      <c r="L81" s="10">
        <v>5.0460259000000001</v>
      </c>
      <c r="M81" s="10">
        <v>70.95771913190174</v>
      </c>
      <c r="N81" s="10">
        <v>-0.53383747434508533</v>
      </c>
      <c r="O81" s="1" t="str">
        <f>HYPERLINK(".\sm_car_250418_1417\sm_car_250418_1417_080_Ca218TrN_MaLSS_ode23t.png","figure")</f>
        <v>figure</v>
      </c>
      <c r="P81" t="s">
        <v>15</v>
      </c>
    </row>
    <row r="82" spans="1:16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26</v>
      </c>
      <c r="H82" t="s">
        <v>21</v>
      </c>
      <c r="I82" t="s">
        <v>22</v>
      </c>
      <c r="J82" t="s">
        <v>23</v>
      </c>
      <c r="K82">
        <v>400</v>
      </c>
      <c r="L82" s="10">
        <v>7.0693000000000001</v>
      </c>
      <c r="M82" s="10">
        <v>229.82387731095011</v>
      </c>
      <c r="N82" s="10">
        <v>0.16995736211490436</v>
      </c>
      <c r="O82" s="1" t="str">
        <f>HYPERLINK(".\sm_car_250418_1417\sm_car_250418_1417_081_Ca219TrN_MaWOT_ode23t.png","figure")</f>
        <v>figure</v>
      </c>
      <c r="P82" t="s">
        <v>15</v>
      </c>
    </row>
    <row r="83" spans="1:16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26</v>
      </c>
      <c r="H83" t="s">
        <v>21</v>
      </c>
      <c r="I83" t="s">
        <v>24</v>
      </c>
      <c r="J83" t="s">
        <v>23</v>
      </c>
      <c r="K83">
        <v>511</v>
      </c>
      <c r="L83" s="10">
        <v>8.3353701000000004</v>
      </c>
      <c r="M83" s="10">
        <v>70.791188359941273</v>
      </c>
      <c r="N83" s="10">
        <v>-0.55462547381931826</v>
      </c>
      <c r="O83" s="1" t="str">
        <f>HYPERLINK(".\sm_car_250418_1417\sm_car_250418_1417_082_Ca219TrN_MaLSS_ode23t.png","figure")</f>
        <v>figure</v>
      </c>
      <c r="P83" t="s">
        <v>15</v>
      </c>
    </row>
    <row r="84" spans="1:16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26</v>
      </c>
      <c r="H84" t="s">
        <v>21</v>
      </c>
      <c r="I84" t="s">
        <v>22</v>
      </c>
      <c r="J84" t="s">
        <v>23</v>
      </c>
      <c r="K84">
        <v>928</v>
      </c>
      <c r="L84" s="10">
        <v>30.0548857</v>
      </c>
      <c r="M84" s="10">
        <v>223.91879276846916</v>
      </c>
      <c r="N84" s="10">
        <v>-1.1975270868403092</v>
      </c>
      <c r="O84" s="1" t="str">
        <f>HYPERLINK(".\sm_car_250418_1417\sm_car_250418_1417_083_Ca220TrN_MaWOT_ode23t.png","figure")</f>
        <v>figure</v>
      </c>
      <c r="P84" t="s">
        <v>15</v>
      </c>
    </row>
    <row r="85" spans="1:16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26</v>
      </c>
      <c r="H85" t="s">
        <v>21</v>
      </c>
      <c r="I85" t="s">
        <v>24</v>
      </c>
      <c r="J85" t="s">
        <v>23</v>
      </c>
      <c r="K85">
        <v>1093</v>
      </c>
      <c r="L85" s="10">
        <v>37.154777500000002</v>
      </c>
      <c r="M85" s="10">
        <v>69.477638337630154</v>
      </c>
      <c r="N85" s="10">
        <v>-1.4965402547376474</v>
      </c>
      <c r="O85" s="1" t="str">
        <f>HYPERLINK(".\sm_car_250418_1417\sm_car_250418_1417_084_Ca220TrN_MaLSS_ode23t.png","figure")</f>
        <v>figure</v>
      </c>
      <c r="P85" t="s">
        <v>15</v>
      </c>
    </row>
    <row r="86" spans="1:16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23</v>
      </c>
      <c r="K86">
        <v>472</v>
      </c>
      <c r="L86" s="10">
        <v>7.0638272999999998</v>
      </c>
      <c r="M86" s="10">
        <v>293.17950458299157</v>
      </c>
      <c r="N86" s="10">
        <v>1.5062754959794983E-4</v>
      </c>
      <c r="O86" s="1" t="str">
        <f>HYPERLINK(".\sm_car_250418_1417\sm_car_250418_1417_085_Ca223TrN_MaWOT_ode23t.png","figure")</f>
        <v>figure</v>
      </c>
      <c r="P86" t="s">
        <v>15</v>
      </c>
    </row>
    <row r="87" spans="1:16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23</v>
      </c>
      <c r="K87">
        <v>659</v>
      </c>
      <c r="L87" s="10">
        <v>7.2742399000000004</v>
      </c>
      <c r="M87" s="10">
        <v>103.53337831355417</v>
      </c>
      <c r="N87" s="10">
        <v>-0.15030926673706038</v>
      </c>
      <c r="O87" s="1" t="str">
        <f>HYPERLINK(".\sm_car_250418_1417\sm_car_250418_1417_086_Ca223TrN_MaLSS_ode23t.png","figure")</f>
        <v>figure</v>
      </c>
      <c r="P87" t="s">
        <v>15</v>
      </c>
    </row>
    <row r="88" spans="1:16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23</v>
      </c>
      <c r="K88">
        <v>608</v>
      </c>
      <c r="L88" s="10">
        <v>18.604945399999998</v>
      </c>
      <c r="M88" s="10">
        <v>409.16204635610188</v>
      </c>
      <c r="N88" s="10">
        <v>1.6076874839195567</v>
      </c>
      <c r="O88" s="1" t="str">
        <f>HYPERLINK(".\sm_car_250418_1417\sm_car_250418_1417_087_Ca227TrN_MaWOT_ode23t.png","figure")</f>
        <v>figure</v>
      </c>
      <c r="P88" t="s">
        <v>15</v>
      </c>
    </row>
    <row r="89" spans="1:16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23</v>
      </c>
      <c r="K89">
        <v>649</v>
      </c>
      <c r="L89" s="10">
        <v>13.0781104</v>
      </c>
      <c r="M89" s="10">
        <v>156.22717816613371</v>
      </c>
      <c r="N89" s="10">
        <v>-0.37160893566849584</v>
      </c>
      <c r="O89" s="1" t="str">
        <f>HYPERLINK(".\sm_car_250418_1417\sm_car_250418_1417_088_Ca227TrN_MaLSS_ode23t.png","figure")</f>
        <v>figure</v>
      </c>
      <c r="P89" t="s">
        <v>15</v>
      </c>
    </row>
    <row r="90" spans="1:16" x14ac:dyDescent="0.25">
      <c r="A90">
        <v>89</v>
      </c>
      <c r="B90">
        <v>8</v>
      </c>
      <c r="C90" t="s">
        <v>16</v>
      </c>
      <c r="D90" t="s">
        <v>17</v>
      </c>
      <c r="E90" t="s">
        <v>49</v>
      </c>
      <c r="F90" t="s">
        <v>19</v>
      </c>
      <c r="G90" t="s">
        <v>20</v>
      </c>
      <c r="H90" t="s">
        <v>21</v>
      </c>
      <c r="I90" t="s">
        <v>22</v>
      </c>
      <c r="J90" t="s">
        <v>23</v>
      </c>
      <c r="K90">
        <v>385</v>
      </c>
      <c r="L90" s="10">
        <v>10.4202995</v>
      </c>
      <c r="M90" s="10">
        <v>231.36014522580828</v>
      </c>
      <c r="N90" s="10">
        <v>-4.6585454407044461E-3</v>
      </c>
      <c r="O90" s="1" t="str">
        <f>HYPERLINK(".\sm_car_250418_1417\sm_car_250418_1417_089_Ca008TrN_MaWOT_ode23t_1.png","figure")</f>
        <v>figure</v>
      </c>
      <c r="P90" t="s">
        <v>15</v>
      </c>
    </row>
    <row r="91" spans="1:16" x14ac:dyDescent="0.25">
      <c r="A91">
        <v>90</v>
      </c>
      <c r="B91">
        <v>8</v>
      </c>
      <c r="C91" t="s">
        <v>16</v>
      </c>
      <c r="D91" t="s">
        <v>17</v>
      </c>
      <c r="E91" t="s">
        <v>49</v>
      </c>
      <c r="F91" t="s">
        <v>19</v>
      </c>
      <c r="G91" t="s">
        <v>20</v>
      </c>
      <c r="H91" t="s">
        <v>21</v>
      </c>
      <c r="I91" t="s">
        <v>24</v>
      </c>
      <c r="J91" t="s">
        <v>23</v>
      </c>
      <c r="K91">
        <v>554</v>
      </c>
      <c r="L91" s="10">
        <v>13.034117999999999</v>
      </c>
      <c r="M91" s="10">
        <v>71.257630312092289</v>
      </c>
      <c r="N91" s="10">
        <v>-0.53955683577826374</v>
      </c>
      <c r="O91" s="1" t="str">
        <f>HYPERLINK(".\sm_car_250418_1417\sm_car_250418_1417_090_Ca008TrN_MaLSS_ode23t_1.png","figure")</f>
        <v>figure</v>
      </c>
      <c r="P91" t="s">
        <v>15</v>
      </c>
    </row>
    <row r="92" spans="1:16" x14ac:dyDescent="0.25">
      <c r="A92">
        <v>91</v>
      </c>
      <c r="B92">
        <v>9</v>
      </c>
      <c r="C92" t="s">
        <v>16</v>
      </c>
      <c r="D92" t="s">
        <v>17</v>
      </c>
      <c r="E92" t="s">
        <v>49</v>
      </c>
      <c r="F92" t="s">
        <v>19</v>
      </c>
      <c r="G92" t="s">
        <v>25</v>
      </c>
      <c r="H92" t="s">
        <v>21</v>
      </c>
      <c r="I92" t="s">
        <v>22</v>
      </c>
      <c r="J92" t="s">
        <v>23</v>
      </c>
      <c r="K92">
        <v>382</v>
      </c>
      <c r="L92" s="10">
        <v>12.046390000000001</v>
      </c>
      <c r="M92" s="10">
        <v>230.33868824406113</v>
      </c>
      <c r="N92" s="10">
        <v>-1.2107781374944079E-2</v>
      </c>
      <c r="O92" s="1" t="str">
        <f>HYPERLINK(".\sm_car_250418_1417\sm_car_250418_1417_091_Ca009TrN_MaWOT_ode23t_1.png","figure")</f>
        <v>figure</v>
      </c>
      <c r="P92" t="s">
        <v>15</v>
      </c>
    </row>
    <row r="93" spans="1:16" x14ac:dyDescent="0.25">
      <c r="A93">
        <v>92</v>
      </c>
      <c r="B93">
        <v>9</v>
      </c>
      <c r="C93" t="s">
        <v>16</v>
      </c>
      <c r="D93" t="s">
        <v>17</v>
      </c>
      <c r="E93" t="s">
        <v>49</v>
      </c>
      <c r="F93" t="s">
        <v>19</v>
      </c>
      <c r="G93" t="s">
        <v>25</v>
      </c>
      <c r="H93" t="s">
        <v>21</v>
      </c>
      <c r="I93" t="s">
        <v>24</v>
      </c>
      <c r="J93" t="s">
        <v>23</v>
      </c>
      <c r="K93">
        <v>548</v>
      </c>
      <c r="L93" s="10">
        <v>14.2661012</v>
      </c>
      <c r="M93" s="10">
        <v>70.965177262667936</v>
      </c>
      <c r="N93" s="10">
        <v>-0.53270421091054143</v>
      </c>
      <c r="O93" s="1" t="str">
        <f>HYPERLINK(".\sm_car_250418_1417\sm_car_250418_1417_092_Ca009TrN_MaLSS_ode23t_1.png","figure")</f>
        <v>figure</v>
      </c>
      <c r="P93" t="s">
        <v>15</v>
      </c>
    </row>
    <row r="94" spans="1:16" x14ac:dyDescent="0.25">
      <c r="A94">
        <v>93</v>
      </c>
      <c r="B94">
        <v>10</v>
      </c>
      <c r="C94" t="s">
        <v>16</v>
      </c>
      <c r="D94" t="s">
        <v>17</v>
      </c>
      <c r="E94" t="s">
        <v>49</v>
      </c>
      <c r="F94" t="s">
        <v>19</v>
      </c>
      <c r="G94" t="s">
        <v>26</v>
      </c>
      <c r="H94" t="s">
        <v>21</v>
      </c>
      <c r="I94" t="s">
        <v>22</v>
      </c>
      <c r="J94" t="s">
        <v>23</v>
      </c>
      <c r="K94">
        <v>405</v>
      </c>
      <c r="L94" s="10">
        <v>13.216234699999999</v>
      </c>
      <c r="M94" s="10">
        <v>230.40078473819514</v>
      </c>
      <c r="N94" s="10">
        <v>5.1321289706058204E-2</v>
      </c>
      <c r="O94" s="1" t="str">
        <f>HYPERLINK(".\sm_car_250418_1417\sm_car_250418_1417_093_Ca010TrN_MaWOT_ode23t_1.png","figure")</f>
        <v>figure</v>
      </c>
      <c r="P94" t="s">
        <v>15</v>
      </c>
    </row>
    <row r="95" spans="1:16" x14ac:dyDescent="0.25">
      <c r="A95">
        <v>94</v>
      </c>
      <c r="B95">
        <v>10</v>
      </c>
      <c r="C95" t="s">
        <v>16</v>
      </c>
      <c r="D95" t="s">
        <v>17</v>
      </c>
      <c r="E95" t="s">
        <v>49</v>
      </c>
      <c r="F95" t="s">
        <v>19</v>
      </c>
      <c r="G95" t="s">
        <v>26</v>
      </c>
      <c r="H95" t="s">
        <v>21</v>
      </c>
      <c r="I95" t="s">
        <v>24</v>
      </c>
      <c r="J95" t="s">
        <v>23</v>
      </c>
      <c r="K95">
        <v>562</v>
      </c>
      <c r="L95" s="10">
        <v>16.728786400000001</v>
      </c>
      <c r="M95" s="10">
        <v>70.974097947302042</v>
      </c>
      <c r="N95" s="10">
        <v>-0.52247163468340674</v>
      </c>
      <c r="O95" s="1" t="str">
        <f>HYPERLINK(".\sm_car_250418_1417\sm_car_250418_1417_094_Ca010TrN_MaLSS_ode23t_1.png","figure")</f>
        <v>figure</v>
      </c>
      <c r="P95" t="s">
        <v>15</v>
      </c>
    </row>
    <row r="96" spans="1:16" x14ac:dyDescent="0.25">
      <c r="A96">
        <v>95</v>
      </c>
      <c r="B96">
        <v>11</v>
      </c>
      <c r="C96" t="s">
        <v>16</v>
      </c>
      <c r="D96" t="s">
        <v>17</v>
      </c>
      <c r="E96" t="s">
        <v>49</v>
      </c>
      <c r="F96" t="s">
        <v>19</v>
      </c>
      <c r="G96" t="s">
        <v>27</v>
      </c>
      <c r="H96" t="s">
        <v>21</v>
      </c>
      <c r="I96" t="s">
        <v>22</v>
      </c>
      <c r="J96" t="s">
        <v>23</v>
      </c>
      <c r="K96">
        <v>446</v>
      </c>
      <c r="L96" s="10">
        <v>15.046056</v>
      </c>
      <c r="M96" s="10">
        <v>229.80776286552819</v>
      </c>
      <c r="N96" s="10">
        <v>5.8708350349184021E-2</v>
      </c>
      <c r="O96" s="1" t="str">
        <f>HYPERLINK(".\sm_car_250418_1417\sm_car_250418_1417_095_Ca011TrN_MaWOT_ode23t_1.png","figure")</f>
        <v>figure</v>
      </c>
      <c r="P96" t="s">
        <v>15</v>
      </c>
    </row>
    <row r="97" spans="1:16" x14ac:dyDescent="0.25">
      <c r="A97">
        <v>96</v>
      </c>
      <c r="B97">
        <v>11</v>
      </c>
      <c r="C97" t="s">
        <v>16</v>
      </c>
      <c r="D97" t="s">
        <v>17</v>
      </c>
      <c r="E97" t="s">
        <v>49</v>
      </c>
      <c r="F97" t="s">
        <v>19</v>
      </c>
      <c r="G97" t="s">
        <v>27</v>
      </c>
      <c r="H97" t="s">
        <v>21</v>
      </c>
      <c r="I97" t="s">
        <v>24</v>
      </c>
      <c r="J97" t="s">
        <v>23</v>
      </c>
      <c r="K97">
        <v>589</v>
      </c>
      <c r="L97" s="10">
        <v>17.7360598</v>
      </c>
      <c r="M97" s="10">
        <v>70.838719834707334</v>
      </c>
      <c r="N97" s="10">
        <v>-0.5182761366708708</v>
      </c>
      <c r="O97" s="1" t="str">
        <f>HYPERLINK(".\sm_car_250418_1417\sm_car_250418_1417_096_Ca011TrN_MaLSS_ode23t_1.png","figure")</f>
        <v>figure</v>
      </c>
      <c r="P97" t="s">
        <v>15</v>
      </c>
    </row>
    <row r="98" spans="1:16" x14ac:dyDescent="0.25">
      <c r="A98">
        <v>97</v>
      </c>
      <c r="B98">
        <v>12</v>
      </c>
      <c r="C98" t="s">
        <v>16</v>
      </c>
      <c r="D98" t="s">
        <v>17</v>
      </c>
      <c r="E98" t="s">
        <v>49</v>
      </c>
      <c r="F98" t="s">
        <v>28</v>
      </c>
      <c r="G98" t="s">
        <v>20</v>
      </c>
      <c r="H98" t="s">
        <v>21</v>
      </c>
      <c r="I98" t="s">
        <v>22</v>
      </c>
      <c r="J98" t="s">
        <v>23</v>
      </c>
      <c r="K98">
        <v>837</v>
      </c>
      <c r="L98" s="10">
        <v>11.4666908</v>
      </c>
      <c r="M98" s="10">
        <v>231.18597742140417</v>
      </c>
      <c r="N98" s="10">
        <v>-3.5116876966365643E-3</v>
      </c>
      <c r="O98" s="1" t="str">
        <f>HYPERLINK(".\sm_car_250418_1417\sm_car_250418_1417_097_Ca012TrN_MaWOT_ode23t_1.png","figure")</f>
        <v>figure</v>
      </c>
      <c r="P98" t="s">
        <v>15</v>
      </c>
    </row>
    <row r="99" spans="1:16" x14ac:dyDescent="0.25">
      <c r="A99">
        <v>98</v>
      </c>
      <c r="B99">
        <v>12</v>
      </c>
      <c r="C99" t="s">
        <v>16</v>
      </c>
      <c r="D99" t="s">
        <v>17</v>
      </c>
      <c r="E99" t="s">
        <v>49</v>
      </c>
      <c r="F99" t="s">
        <v>28</v>
      </c>
      <c r="G99" t="s">
        <v>20</v>
      </c>
      <c r="H99" t="s">
        <v>21</v>
      </c>
      <c r="I99" t="s">
        <v>24</v>
      </c>
      <c r="J99" t="s">
        <v>23</v>
      </c>
      <c r="K99">
        <v>980</v>
      </c>
      <c r="L99" s="10">
        <v>12.631624499999999</v>
      </c>
      <c r="M99" s="10">
        <v>71.260563019160614</v>
      </c>
      <c r="N99" s="10">
        <v>-0.54327340359846699</v>
      </c>
      <c r="O99" s="1" t="str">
        <f>HYPERLINK(".\sm_car_250418_1417\sm_car_250418_1417_098_Ca012TrN_MaLSS_ode23t_1.png","figure")</f>
        <v>figure</v>
      </c>
      <c r="P99" t="s">
        <v>15</v>
      </c>
    </row>
    <row r="100" spans="1:16" x14ac:dyDescent="0.25">
      <c r="A100">
        <v>99</v>
      </c>
      <c r="B100">
        <v>13</v>
      </c>
      <c r="C100" t="s">
        <v>16</v>
      </c>
      <c r="D100" t="s">
        <v>17</v>
      </c>
      <c r="E100" t="s">
        <v>49</v>
      </c>
      <c r="F100" t="s">
        <v>28</v>
      </c>
      <c r="G100" t="s">
        <v>25</v>
      </c>
      <c r="H100" t="s">
        <v>21</v>
      </c>
      <c r="I100" t="s">
        <v>22</v>
      </c>
      <c r="J100" t="s">
        <v>23</v>
      </c>
      <c r="K100">
        <v>859</v>
      </c>
      <c r="L100" s="10">
        <v>13.5633719</v>
      </c>
      <c r="M100" s="10">
        <v>230.35823571679632</v>
      </c>
      <c r="N100" s="10">
        <v>-1.1586795793914181E-2</v>
      </c>
      <c r="O100" s="1" t="str">
        <f>HYPERLINK(".\sm_car_250418_1417\sm_car_250418_1417_099_Ca013TrN_MaWOT_ode23t_1.png","figure")</f>
        <v>figure</v>
      </c>
      <c r="P100" t="s">
        <v>15</v>
      </c>
    </row>
    <row r="101" spans="1:16" x14ac:dyDescent="0.25">
      <c r="A101">
        <v>100</v>
      </c>
      <c r="B101">
        <v>13</v>
      </c>
      <c r="C101" t="s">
        <v>16</v>
      </c>
      <c r="D101" t="s">
        <v>17</v>
      </c>
      <c r="E101" t="s">
        <v>49</v>
      </c>
      <c r="F101" t="s">
        <v>28</v>
      </c>
      <c r="G101" t="s">
        <v>25</v>
      </c>
      <c r="H101" t="s">
        <v>21</v>
      </c>
      <c r="I101" t="s">
        <v>24</v>
      </c>
      <c r="J101" t="s">
        <v>23</v>
      </c>
      <c r="K101">
        <v>1014</v>
      </c>
      <c r="L101" s="10">
        <v>16.060319499999999</v>
      </c>
      <c r="M101" s="10">
        <v>70.959730141143126</v>
      </c>
      <c r="N101" s="10">
        <v>-0.53935585743166425</v>
      </c>
      <c r="O101" s="1" t="str">
        <f>HYPERLINK(".\sm_car_250418_1417\sm_car_250418_1417_100_Ca013TrN_MaLSS_ode23t_1.png","figure")</f>
        <v>figure</v>
      </c>
      <c r="P101" t="s">
        <v>15</v>
      </c>
    </row>
    <row r="102" spans="1:16" x14ac:dyDescent="0.25">
      <c r="A102">
        <v>101</v>
      </c>
      <c r="B102">
        <v>14</v>
      </c>
      <c r="C102" t="s">
        <v>16</v>
      </c>
      <c r="D102" t="s">
        <v>17</v>
      </c>
      <c r="E102" t="s">
        <v>49</v>
      </c>
      <c r="F102" t="s">
        <v>28</v>
      </c>
      <c r="G102" t="s">
        <v>26</v>
      </c>
      <c r="H102" t="s">
        <v>21</v>
      </c>
      <c r="I102" t="s">
        <v>22</v>
      </c>
      <c r="J102" t="s">
        <v>23</v>
      </c>
      <c r="K102">
        <v>907</v>
      </c>
      <c r="L102" s="10">
        <v>13.5268517</v>
      </c>
      <c r="M102" s="10">
        <v>230.42115166729724</v>
      </c>
      <c r="N102" s="10">
        <v>5.3946718845164589E-2</v>
      </c>
      <c r="O102" s="1" t="str">
        <f>HYPERLINK(".\sm_car_250418_1417\sm_car_250418_1417_101_Ca014TrN_MaWOT_ode23t_1.png","figure")</f>
        <v>figure</v>
      </c>
      <c r="P102" t="s">
        <v>15</v>
      </c>
    </row>
    <row r="103" spans="1:16" x14ac:dyDescent="0.25">
      <c r="A103">
        <v>102</v>
      </c>
      <c r="B103">
        <v>14</v>
      </c>
      <c r="C103" t="s">
        <v>16</v>
      </c>
      <c r="D103" t="s">
        <v>17</v>
      </c>
      <c r="E103" t="s">
        <v>49</v>
      </c>
      <c r="F103" t="s">
        <v>28</v>
      </c>
      <c r="G103" t="s">
        <v>26</v>
      </c>
      <c r="H103" t="s">
        <v>21</v>
      </c>
      <c r="I103" t="s">
        <v>24</v>
      </c>
      <c r="J103" t="s">
        <v>23</v>
      </c>
      <c r="K103">
        <v>1004</v>
      </c>
      <c r="L103" s="10">
        <v>15.1584422</v>
      </c>
      <c r="M103" s="10">
        <v>70.969311285265334</v>
      </c>
      <c r="N103" s="10">
        <v>-0.53484723252884858</v>
      </c>
      <c r="O103" s="1" t="str">
        <f>HYPERLINK(".\sm_car_250418_1417\sm_car_250418_1417_102_Ca014TrN_MaLSS_ode23t_1.png","figure")</f>
        <v>figure</v>
      </c>
      <c r="P103" t="s">
        <v>15</v>
      </c>
    </row>
    <row r="104" spans="1:16" x14ac:dyDescent="0.25">
      <c r="A104">
        <v>103</v>
      </c>
      <c r="B104">
        <v>15</v>
      </c>
      <c r="C104" t="s">
        <v>16</v>
      </c>
      <c r="D104" t="s">
        <v>17</v>
      </c>
      <c r="E104" t="s">
        <v>49</v>
      </c>
      <c r="F104" t="s">
        <v>28</v>
      </c>
      <c r="G104" t="s">
        <v>27</v>
      </c>
      <c r="H104" t="s">
        <v>21</v>
      </c>
      <c r="I104" t="s">
        <v>22</v>
      </c>
      <c r="J104" t="s">
        <v>23</v>
      </c>
      <c r="K104">
        <v>911</v>
      </c>
      <c r="L104" s="10">
        <v>14.6434566</v>
      </c>
      <c r="M104" s="10">
        <v>229.90733496115703</v>
      </c>
      <c r="N104" s="10">
        <v>5.1552583582045425E-2</v>
      </c>
      <c r="O104" s="1" t="str">
        <f>HYPERLINK(".\sm_car_250418_1417\sm_car_250418_1417_103_Ca015TrN_MaWOT_ode23t_1.png","figure")</f>
        <v>figure</v>
      </c>
      <c r="P104" t="s">
        <v>15</v>
      </c>
    </row>
    <row r="105" spans="1:16" x14ac:dyDescent="0.25">
      <c r="A105">
        <v>104</v>
      </c>
      <c r="B105">
        <v>15</v>
      </c>
      <c r="C105" t="s">
        <v>16</v>
      </c>
      <c r="D105" t="s">
        <v>17</v>
      </c>
      <c r="E105" t="s">
        <v>49</v>
      </c>
      <c r="F105" t="s">
        <v>28</v>
      </c>
      <c r="G105" t="s">
        <v>27</v>
      </c>
      <c r="H105" t="s">
        <v>21</v>
      </c>
      <c r="I105" t="s">
        <v>24</v>
      </c>
      <c r="J105" t="s">
        <v>23</v>
      </c>
      <c r="K105">
        <v>1034</v>
      </c>
      <c r="L105" s="10">
        <v>16.760210799999999</v>
      </c>
      <c r="M105" s="10">
        <v>70.834276539554295</v>
      </c>
      <c r="N105" s="10">
        <v>-0.53137124169009331</v>
      </c>
      <c r="O105" s="1" t="str">
        <f>HYPERLINK(".\sm_car_250418_1417\sm_car_250418_1417_104_Ca015TrN_MaLSS_ode23t_1.png","figure")</f>
        <v>figure</v>
      </c>
      <c r="P105" t="s">
        <v>15</v>
      </c>
    </row>
    <row r="106" spans="1:16" x14ac:dyDescent="0.25">
      <c r="A106">
        <v>105</v>
      </c>
      <c r="B106">
        <v>120</v>
      </c>
      <c r="C106" t="s">
        <v>16</v>
      </c>
      <c r="D106" t="s">
        <v>35</v>
      </c>
      <c r="E106" t="s">
        <v>49</v>
      </c>
      <c r="F106" t="s">
        <v>19</v>
      </c>
      <c r="G106" t="s">
        <v>20</v>
      </c>
      <c r="H106" t="s">
        <v>21</v>
      </c>
      <c r="I106" t="s">
        <v>22</v>
      </c>
      <c r="J106" t="s">
        <v>23</v>
      </c>
      <c r="K106">
        <v>397</v>
      </c>
      <c r="L106" s="10">
        <v>3.5135478</v>
      </c>
      <c r="M106" s="10">
        <v>242.58916330408013</v>
      </c>
      <c r="N106" s="10">
        <v>0.23206014586347745</v>
      </c>
      <c r="O106" s="1" t="str">
        <f>HYPERLINK(".\sm_car_250418_1417\sm_car_250418_1417_105_Ca120TrN_MaWOT_ode23t_1.png","figure")</f>
        <v>figure</v>
      </c>
      <c r="P106" t="s">
        <v>15</v>
      </c>
    </row>
    <row r="107" spans="1:16" x14ac:dyDescent="0.25">
      <c r="A107">
        <v>106</v>
      </c>
      <c r="B107">
        <v>120</v>
      </c>
      <c r="C107" t="s">
        <v>16</v>
      </c>
      <c r="D107" t="s">
        <v>35</v>
      </c>
      <c r="E107" t="s">
        <v>49</v>
      </c>
      <c r="F107" t="s">
        <v>19</v>
      </c>
      <c r="G107" t="s">
        <v>20</v>
      </c>
      <c r="H107" t="s">
        <v>21</v>
      </c>
      <c r="I107" t="s">
        <v>24</v>
      </c>
      <c r="J107" t="s">
        <v>23</v>
      </c>
      <c r="K107">
        <v>529</v>
      </c>
      <c r="L107" s="10">
        <v>3.9075346</v>
      </c>
      <c r="M107" s="10">
        <v>74.667522578058751</v>
      </c>
      <c r="N107" s="10">
        <v>-0.33829686602551789</v>
      </c>
      <c r="O107" s="1" t="str">
        <f>HYPERLINK(".\sm_car_250418_1417\sm_car_250418_1417_106_Ca120TrN_MaLSS_ode23t_1.png","figure")</f>
        <v>figure</v>
      </c>
      <c r="P107" t="s">
        <v>15</v>
      </c>
    </row>
    <row r="108" spans="1:16" x14ac:dyDescent="0.25">
      <c r="A108">
        <v>107</v>
      </c>
      <c r="B108">
        <v>121</v>
      </c>
      <c r="C108" t="s">
        <v>16</v>
      </c>
      <c r="D108" t="s">
        <v>35</v>
      </c>
      <c r="E108" t="s">
        <v>49</v>
      </c>
      <c r="F108" t="s">
        <v>19</v>
      </c>
      <c r="G108" t="s">
        <v>25</v>
      </c>
      <c r="H108" t="s">
        <v>21</v>
      </c>
      <c r="I108" t="s">
        <v>22</v>
      </c>
      <c r="J108" t="s">
        <v>23</v>
      </c>
      <c r="K108">
        <v>387</v>
      </c>
      <c r="L108" s="10">
        <v>3.8886403</v>
      </c>
      <c r="M108" s="10">
        <v>241.53722643581142</v>
      </c>
      <c r="N108" s="10">
        <v>0.22866020255073893</v>
      </c>
      <c r="O108" s="1" t="str">
        <f>HYPERLINK(".\sm_car_250418_1417\sm_car_250418_1417_107_Ca121TrN_MaWOT_ode23t_1.png","figure")</f>
        <v>figure</v>
      </c>
      <c r="P108" t="s">
        <v>15</v>
      </c>
    </row>
    <row r="109" spans="1:16" x14ac:dyDescent="0.25">
      <c r="A109">
        <v>108</v>
      </c>
      <c r="B109">
        <v>121</v>
      </c>
      <c r="C109" t="s">
        <v>16</v>
      </c>
      <c r="D109" t="s">
        <v>35</v>
      </c>
      <c r="E109" t="s">
        <v>49</v>
      </c>
      <c r="F109" t="s">
        <v>19</v>
      </c>
      <c r="G109" t="s">
        <v>25</v>
      </c>
      <c r="H109" t="s">
        <v>21</v>
      </c>
      <c r="I109" t="s">
        <v>24</v>
      </c>
      <c r="J109" t="s">
        <v>23</v>
      </c>
      <c r="K109">
        <v>532</v>
      </c>
      <c r="L109" s="10">
        <v>4.6745057000000001</v>
      </c>
      <c r="M109" s="10">
        <v>74.355769905943291</v>
      </c>
      <c r="N109" s="10">
        <v>-0.33469939118367853</v>
      </c>
      <c r="O109" s="1" t="str">
        <f>HYPERLINK(".\sm_car_250418_1417\sm_car_250418_1417_108_Ca121TrN_MaLSS_ode23t_1.png","figure")</f>
        <v>figure</v>
      </c>
      <c r="P109" t="s">
        <v>15</v>
      </c>
    </row>
    <row r="110" spans="1:16" x14ac:dyDescent="0.25">
      <c r="A110">
        <v>109</v>
      </c>
      <c r="B110">
        <v>122</v>
      </c>
      <c r="C110" t="s">
        <v>16</v>
      </c>
      <c r="D110" t="s">
        <v>35</v>
      </c>
      <c r="E110" t="s">
        <v>49</v>
      </c>
      <c r="F110" t="s">
        <v>19</v>
      </c>
      <c r="G110" t="s">
        <v>26</v>
      </c>
      <c r="H110" t="s">
        <v>21</v>
      </c>
      <c r="I110" t="s">
        <v>22</v>
      </c>
      <c r="J110" t="s">
        <v>23</v>
      </c>
      <c r="K110">
        <v>405</v>
      </c>
      <c r="L110" s="10">
        <v>4.3332394000000001</v>
      </c>
      <c r="M110" s="10">
        <v>241.75921948562723</v>
      </c>
      <c r="N110" s="10">
        <v>0.22874894068049595</v>
      </c>
      <c r="O110" s="1" t="str">
        <f>HYPERLINK(".\sm_car_250418_1417\sm_car_250418_1417_109_Ca122TrN_MaWOT_ode23t_1.png","figure")</f>
        <v>figure</v>
      </c>
      <c r="P110" t="s">
        <v>15</v>
      </c>
    </row>
    <row r="111" spans="1:16" x14ac:dyDescent="0.25">
      <c r="A111">
        <v>110</v>
      </c>
      <c r="B111">
        <v>122</v>
      </c>
      <c r="C111" t="s">
        <v>16</v>
      </c>
      <c r="D111" t="s">
        <v>35</v>
      </c>
      <c r="E111" t="s">
        <v>49</v>
      </c>
      <c r="F111" t="s">
        <v>19</v>
      </c>
      <c r="G111" t="s">
        <v>26</v>
      </c>
      <c r="H111" t="s">
        <v>21</v>
      </c>
      <c r="I111" t="s">
        <v>24</v>
      </c>
      <c r="J111" t="s">
        <v>23</v>
      </c>
      <c r="K111">
        <v>527</v>
      </c>
      <c r="L111" s="10">
        <v>4.8683912999999999</v>
      </c>
      <c r="M111" s="10">
        <v>74.381571781454085</v>
      </c>
      <c r="N111" s="10">
        <v>-0.33187341791802366</v>
      </c>
      <c r="O111" s="1" t="str">
        <f>HYPERLINK(".\sm_car_250418_1417\sm_car_250418_1417_110_Ca122TrN_MaLSS_ode23t_1.png","figure")</f>
        <v>figure</v>
      </c>
      <c r="P111" t="s">
        <v>15</v>
      </c>
    </row>
    <row r="112" spans="1:16" x14ac:dyDescent="0.25">
      <c r="A112">
        <v>111</v>
      </c>
      <c r="B112">
        <v>123</v>
      </c>
      <c r="C112" t="s">
        <v>16</v>
      </c>
      <c r="D112" t="s">
        <v>35</v>
      </c>
      <c r="E112" t="s">
        <v>49</v>
      </c>
      <c r="F112" t="s">
        <v>19</v>
      </c>
      <c r="G112" t="s">
        <v>27</v>
      </c>
      <c r="H112" t="s">
        <v>21</v>
      </c>
      <c r="I112" t="s">
        <v>22</v>
      </c>
      <c r="J112" t="s">
        <v>23</v>
      </c>
      <c r="K112">
        <v>429</v>
      </c>
      <c r="L112" s="10">
        <v>4.5139880000000003</v>
      </c>
      <c r="M112" s="10">
        <v>241.16589589586133</v>
      </c>
      <c r="N112" s="10">
        <v>0.22487147140591002</v>
      </c>
      <c r="O112" s="1" t="str">
        <f>HYPERLINK(".\sm_car_250418_1417\sm_car_250418_1417_111_Ca123TrN_MaWOT_ode23t_1.png","figure")</f>
        <v>figure</v>
      </c>
      <c r="P112" t="s">
        <v>15</v>
      </c>
    </row>
    <row r="113" spans="1:16" x14ac:dyDescent="0.25">
      <c r="A113">
        <v>112</v>
      </c>
      <c r="B113">
        <v>123</v>
      </c>
      <c r="C113" t="s">
        <v>16</v>
      </c>
      <c r="D113" t="s">
        <v>35</v>
      </c>
      <c r="E113" t="s">
        <v>49</v>
      </c>
      <c r="F113" t="s">
        <v>19</v>
      </c>
      <c r="G113" t="s">
        <v>27</v>
      </c>
      <c r="H113" t="s">
        <v>21</v>
      </c>
      <c r="I113" t="s">
        <v>24</v>
      </c>
      <c r="J113" t="s">
        <v>23</v>
      </c>
      <c r="K113">
        <v>535</v>
      </c>
      <c r="L113" s="10">
        <v>5.0173059000000002</v>
      </c>
      <c r="M113" s="10">
        <v>74.216241714812554</v>
      </c>
      <c r="N113" s="10">
        <v>-0.33143821048126459</v>
      </c>
      <c r="O113" s="1" t="str">
        <f>HYPERLINK(".\sm_car_250418_1417\sm_car_250418_1417_112_Ca123TrN_MaLSS_ode23t_1.png","figure")</f>
        <v>figure</v>
      </c>
      <c r="P113" t="s">
        <v>15</v>
      </c>
    </row>
    <row r="114" spans="1:16" x14ac:dyDescent="0.25">
      <c r="A114">
        <v>113</v>
      </c>
      <c r="B114">
        <v>124</v>
      </c>
      <c r="C114" t="s">
        <v>16</v>
      </c>
      <c r="D114" t="s">
        <v>35</v>
      </c>
      <c r="E114" t="s">
        <v>49</v>
      </c>
      <c r="F114" t="s">
        <v>28</v>
      </c>
      <c r="G114" t="s">
        <v>20</v>
      </c>
      <c r="H114" t="s">
        <v>21</v>
      </c>
      <c r="I114" t="s">
        <v>22</v>
      </c>
      <c r="J114" t="s">
        <v>23</v>
      </c>
      <c r="K114">
        <v>1019</v>
      </c>
      <c r="L114" s="10">
        <v>4.6946612999999999</v>
      </c>
      <c r="M114" s="10">
        <v>242.55761770957645</v>
      </c>
      <c r="N114" s="10">
        <v>0.23285190190480581</v>
      </c>
      <c r="O114" s="1" t="str">
        <f>HYPERLINK(".\sm_car_250418_1417\sm_car_250418_1417_113_Ca124TrN_MaWOT_ode23t_1.png","figure")</f>
        <v>figure</v>
      </c>
      <c r="P114" t="s">
        <v>15</v>
      </c>
    </row>
    <row r="115" spans="1:16" x14ac:dyDescent="0.25">
      <c r="A115">
        <v>114</v>
      </c>
      <c r="B115">
        <v>124</v>
      </c>
      <c r="C115" t="s">
        <v>16</v>
      </c>
      <c r="D115" t="s">
        <v>35</v>
      </c>
      <c r="E115" t="s">
        <v>49</v>
      </c>
      <c r="F115" t="s">
        <v>28</v>
      </c>
      <c r="G115" t="s">
        <v>20</v>
      </c>
      <c r="H115" t="s">
        <v>21</v>
      </c>
      <c r="I115" t="s">
        <v>24</v>
      </c>
      <c r="J115" t="s">
        <v>23</v>
      </c>
      <c r="K115">
        <v>1116</v>
      </c>
      <c r="L115" s="10">
        <v>5.2576105999999996</v>
      </c>
      <c r="M115" s="10">
        <v>74.661122266702876</v>
      </c>
      <c r="N115" s="10">
        <v>-0.3413753623276084</v>
      </c>
      <c r="O115" s="1" t="str">
        <f>HYPERLINK(".\sm_car_250418_1417\sm_car_250418_1417_114_Ca124TrN_MaLSS_ode23t_1.png","figure")</f>
        <v>figure</v>
      </c>
      <c r="P115" t="s">
        <v>15</v>
      </c>
    </row>
    <row r="116" spans="1:16" x14ac:dyDescent="0.25">
      <c r="A116">
        <v>115</v>
      </c>
      <c r="B116">
        <v>125</v>
      </c>
      <c r="C116" t="s">
        <v>16</v>
      </c>
      <c r="D116" t="s">
        <v>35</v>
      </c>
      <c r="E116" t="s">
        <v>49</v>
      </c>
      <c r="F116" t="s">
        <v>28</v>
      </c>
      <c r="G116" t="s">
        <v>25</v>
      </c>
      <c r="H116" t="s">
        <v>21</v>
      </c>
      <c r="I116" t="s">
        <v>22</v>
      </c>
      <c r="J116" t="s">
        <v>23</v>
      </c>
      <c r="K116">
        <v>1027</v>
      </c>
      <c r="L116" s="10">
        <v>5.3484987000000004</v>
      </c>
      <c r="M116" s="10">
        <v>241.53786644176284</v>
      </c>
      <c r="N116" s="10">
        <v>0.22947290276390778</v>
      </c>
      <c r="O116" s="1" t="str">
        <f>HYPERLINK(".\sm_car_250418_1417\sm_car_250418_1417_115_Ca125TrN_MaWOT_ode23t_1.png","figure")</f>
        <v>figure</v>
      </c>
      <c r="P116" t="s">
        <v>15</v>
      </c>
    </row>
    <row r="117" spans="1:16" x14ac:dyDescent="0.25">
      <c r="A117">
        <v>116</v>
      </c>
      <c r="B117">
        <v>125</v>
      </c>
      <c r="C117" t="s">
        <v>16</v>
      </c>
      <c r="D117" t="s">
        <v>35</v>
      </c>
      <c r="E117" t="s">
        <v>49</v>
      </c>
      <c r="F117" t="s">
        <v>28</v>
      </c>
      <c r="G117" t="s">
        <v>25</v>
      </c>
      <c r="H117" t="s">
        <v>21</v>
      </c>
      <c r="I117" t="s">
        <v>24</v>
      </c>
      <c r="J117" t="s">
        <v>23</v>
      </c>
      <c r="K117">
        <v>1141</v>
      </c>
      <c r="L117" s="10">
        <v>6.0421037999999996</v>
      </c>
      <c r="M117" s="10">
        <v>74.343355082946488</v>
      </c>
      <c r="N117" s="10">
        <v>-0.33694502066485432</v>
      </c>
      <c r="O117" s="1" t="str">
        <f>HYPERLINK(".\sm_car_250418_1417\sm_car_250418_1417_116_Ca125TrN_MaLSS_ode23t_1.png","figure")</f>
        <v>figure</v>
      </c>
      <c r="P117" t="s">
        <v>15</v>
      </c>
    </row>
    <row r="118" spans="1:16" x14ac:dyDescent="0.25">
      <c r="A118">
        <v>117</v>
      </c>
      <c r="B118">
        <v>126</v>
      </c>
      <c r="C118" t="s">
        <v>16</v>
      </c>
      <c r="D118" t="s">
        <v>35</v>
      </c>
      <c r="E118" t="s">
        <v>49</v>
      </c>
      <c r="F118" t="s">
        <v>28</v>
      </c>
      <c r="G118" t="s">
        <v>26</v>
      </c>
      <c r="H118" t="s">
        <v>21</v>
      </c>
      <c r="I118" t="s">
        <v>22</v>
      </c>
      <c r="J118" t="s">
        <v>23</v>
      </c>
      <c r="K118">
        <v>1021</v>
      </c>
      <c r="L118" s="10">
        <v>5.5336388000000003</v>
      </c>
      <c r="M118" s="10">
        <v>241.6449730606945</v>
      </c>
      <c r="N118" s="10">
        <v>0.22965806952944295</v>
      </c>
      <c r="O118" s="1" t="str">
        <f>HYPERLINK(".\sm_car_250418_1417\sm_car_250418_1417_117_Ca126TrN_MaWOT_ode23t_1.png","figure")</f>
        <v>figure</v>
      </c>
      <c r="P118" t="s">
        <v>15</v>
      </c>
    </row>
    <row r="119" spans="1:16" x14ac:dyDescent="0.25">
      <c r="A119">
        <v>118</v>
      </c>
      <c r="B119">
        <v>126</v>
      </c>
      <c r="C119" t="s">
        <v>16</v>
      </c>
      <c r="D119" t="s">
        <v>35</v>
      </c>
      <c r="E119" t="s">
        <v>49</v>
      </c>
      <c r="F119" t="s">
        <v>28</v>
      </c>
      <c r="G119" t="s">
        <v>26</v>
      </c>
      <c r="H119" t="s">
        <v>21</v>
      </c>
      <c r="I119" t="s">
        <v>24</v>
      </c>
      <c r="J119" t="s">
        <v>23</v>
      </c>
      <c r="K119">
        <v>1171</v>
      </c>
      <c r="L119" s="10">
        <v>6.8117922999999996</v>
      </c>
      <c r="M119" s="10">
        <v>74.345980292931642</v>
      </c>
      <c r="N119" s="10">
        <v>-0.33631675205804795</v>
      </c>
      <c r="O119" s="1" t="str">
        <f>HYPERLINK(".\sm_car_250418_1417\sm_car_250418_1417_118_Ca126TrN_MaLSS_ode23t_1.png","figure")</f>
        <v>figure</v>
      </c>
      <c r="P119" t="s">
        <v>15</v>
      </c>
    </row>
    <row r="120" spans="1:16" x14ac:dyDescent="0.25">
      <c r="A120">
        <v>119</v>
      </c>
      <c r="B120">
        <v>127</v>
      </c>
      <c r="C120" t="s">
        <v>16</v>
      </c>
      <c r="D120" t="s">
        <v>35</v>
      </c>
      <c r="E120" t="s">
        <v>49</v>
      </c>
      <c r="F120" t="s">
        <v>28</v>
      </c>
      <c r="G120" t="s">
        <v>27</v>
      </c>
      <c r="H120" t="s">
        <v>21</v>
      </c>
      <c r="I120" t="s">
        <v>22</v>
      </c>
      <c r="J120" t="s">
        <v>23</v>
      </c>
      <c r="K120">
        <v>1028</v>
      </c>
      <c r="L120" s="10">
        <v>5.4121750999999998</v>
      </c>
      <c r="M120" s="10">
        <v>240.9825536442213</v>
      </c>
      <c r="N120" s="10">
        <v>0.22845055792641097</v>
      </c>
      <c r="O120" s="1" t="str">
        <f>HYPERLINK(".\sm_car_250418_1417\sm_car_250418_1417_119_Ca127TrN_MaWOT_ode23t_1.png","figure")</f>
        <v>figure</v>
      </c>
      <c r="P120" t="s">
        <v>15</v>
      </c>
    </row>
    <row r="121" spans="1:16" x14ac:dyDescent="0.25">
      <c r="A121">
        <v>120</v>
      </c>
      <c r="B121">
        <v>127</v>
      </c>
      <c r="C121" t="s">
        <v>16</v>
      </c>
      <c r="D121" t="s">
        <v>35</v>
      </c>
      <c r="E121" t="s">
        <v>49</v>
      </c>
      <c r="F121" t="s">
        <v>28</v>
      </c>
      <c r="G121" t="s">
        <v>27</v>
      </c>
      <c r="H121" t="s">
        <v>21</v>
      </c>
      <c r="I121" t="s">
        <v>24</v>
      </c>
      <c r="J121" t="s">
        <v>23</v>
      </c>
      <c r="K121">
        <v>1167</v>
      </c>
      <c r="L121" s="10">
        <v>6.3312850999999997</v>
      </c>
      <c r="M121" s="10">
        <v>74.19737508258477</v>
      </c>
      <c r="N121" s="10">
        <v>-0.33230997125641754</v>
      </c>
      <c r="O121" s="1" t="str">
        <f>HYPERLINK(".\sm_car_250418_1417\sm_car_250418_1417_120_Ca127TrN_MaLSS_ode23t_1.png","figure")</f>
        <v>figure</v>
      </c>
      <c r="P121" t="s">
        <v>15</v>
      </c>
    </row>
    <row r="122" spans="1:16" x14ac:dyDescent="0.25">
      <c r="A122">
        <v>121</v>
      </c>
      <c r="B122">
        <v>140</v>
      </c>
      <c r="C122" t="s">
        <v>45</v>
      </c>
      <c r="D122" t="s">
        <v>17</v>
      </c>
      <c r="E122" t="s">
        <v>49</v>
      </c>
      <c r="F122" t="s">
        <v>19</v>
      </c>
      <c r="G122" t="s">
        <v>26</v>
      </c>
      <c r="H122" t="s">
        <v>21</v>
      </c>
      <c r="I122" t="s">
        <v>22</v>
      </c>
      <c r="J122" t="s">
        <v>23</v>
      </c>
      <c r="K122">
        <v>681</v>
      </c>
      <c r="L122" s="10">
        <v>38.574185999999997</v>
      </c>
      <c r="M122" s="10">
        <v>405.04421388795669</v>
      </c>
      <c r="N122" s="10">
        <v>1.6828467880492177</v>
      </c>
      <c r="O122" s="1" t="str">
        <f>HYPERLINK(".\sm_car_250418_1417\sm_car_250418_1417_121_Ca140TrN_MaWOT_ode23t_1.png","figure")</f>
        <v>figure</v>
      </c>
      <c r="P122" t="s">
        <v>15</v>
      </c>
    </row>
    <row r="123" spans="1:16" x14ac:dyDescent="0.25">
      <c r="A123">
        <v>122</v>
      </c>
      <c r="B123">
        <v>140</v>
      </c>
      <c r="C123" t="s">
        <v>45</v>
      </c>
      <c r="D123" t="s">
        <v>17</v>
      </c>
      <c r="E123" t="s">
        <v>49</v>
      </c>
      <c r="F123" t="s">
        <v>19</v>
      </c>
      <c r="G123" t="s">
        <v>26</v>
      </c>
      <c r="H123" t="s">
        <v>21</v>
      </c>
      <c r="I123" t="s">
        <v>24</v>
      </c>
      <c r="J123" t="s">
        <v>23</v>
      </c>
      <c r="K123">
        <v>655</v>
      </c>
      <c r="L123" s="10">
        <v>24.516618300000001</v>
      </c>
      <c r="M123" s="10">
        <v>154.35602734430955</v>
      </c>
      <c r="N123" s="10">
        <v>-0.58348610549459767</v>
      </c>
      <c r="O123" s="1" t="str">
        <f>HYPERLINK(".\sm_car_250418_1417\sm_car_250418_1417_122_Ca140TrN_MaLSS_ode23t_1.png","figure")</f>
        <v>figure</v>
      </c>
      <c r="P123" t="s">
        <v>15</v>
      </c>
    </row>
    <row r="124" spans="1:16" x14ac:dyDescent="0.25">
      <c r="A124">
        <v>123</v>
      </c>
      <c r="B124">
        <v>142</v>
      </c>
      <c r="C124" t="s">
        <v>45</v>
      </c>
      <c r="D124" t="s">
        <v>17</v>
      </c>
      <c r="E124" t="s">
        <v>49</v>
      </c>
      <c r="F124" t="s">
        <v>28</v>
      </c>
      <c r="G124" t="s">
        <v>26</v>
      </c>
      <c r="H124" t="s">
        <v>21</v>
      </c>
      <c r="I124" t="s">
        <v>22</v>
      </c>
      <c r="J124" t="s">
        <v>23</v>
      </c>
      <c r="K124">
        <v>1266</v>
      </c>
      <c r="L124" s="10">
        <v>37.208585999999997</v>
      </c>
      <c r="M124" s="10">
        <v>405.29040151147484</v>
      </c>
      <c r="N124" s="10">
        <v>1.6970373186752727</v>
      </c>
      <c r="O124" s="1" t="str">
        <f>HYPERLINK(".\sm_car_250418_1417\sm_car_250418_1417_123_Ca142TrN_MaWOT_ode23t_1.png","figure")</f>
        <v>figure</v>
      </c>
      <c r="P124" t="s">
        <v>15</v>
      </c>
    </row>
    <row r="125" spans="1:16" x14ac:dyDescent="0.25">
      <c r="A125">
        <v>124</v>
      </c>
      <c r="B125">
        <v>142</v>
      </c>
      <c r="C125" t="s">
        <v>45</v>
      </c>
      <c r="D125" t="s">
        <v>17</v>
      </c>
      <c r="E125" t="s">
        <v>49</v>
      </c>
      <c r="F125" t="s">
        <v>28</v>
      </c>
      <c r="G125" t="s">
        <v>26</v>
      </c>
      <c r="H125" t="s">
        <v>21</v>
      </c>
      <c r="I125" t="s">
        <v>24</v>
      </c>
      <c r="J125" t="s">
        <v>23</v>
      </c>
      <c r="K125">
        <v>1232</v>
      </c>
      <c r="L125" s="10">
        <v>25.131129999999999</v>
      </c>
      <c r="M125" s="10">
        <v>154.45952790439603</v>
      </c>
      <c r="N125" s="10">
        <v>-0.59093102595682168</v>
      </c>
      <c r="O125" s="1" t="str">
        <f>HYPERLINK(".\sm_car_250418_1417\sm_car_250418_1417_124_Ca142TrN_MaLSS_ode23t_1.png","figure")</f>
        <v>figure</v>
      </c>
      <c r="P125" t="s">
        <v>15</v>
      </c>
    </row>
    <row r="126" spans="1:16" x14ac:dyDescent="0.25">
      <c r="A126">
        <v>125</v>
      </c>
      <c r="B126">
        <v>145</v>
      </c>
      <c r="C126" t="s">
        <v>46</v>
      </c>
      <c r="D126" t="s">
        <v>17</v>
      </c>
      <c r="E126" t="s">
        <v>50</v>
      </c>
      <c r="F126" t="s">
        <v>19</v>
      </c>
      <c r="G126" t="s">
        <v>26</v>
      </c>
      <c r="H126" t="s">
        <v>21</v>
      </c>
      <c r="I126" t="s">
        <v>22</v>
      </c>
      <c r="J126" t="s">
        <v>23</v>
      </c>
      <c r="K126">
        <v>352</v>
      </c>
      <c r="L126" s="10">
        <v>14.9368909</v>
      </c>
      <c r="M126" s="10">
        <v>95.810478265036423</v>
      </c>
      <c r="N126" s="10">
        <v>-3.2422663859200201E-2</v>
      </c>
      <c r="O126" s="1" t="str">
        <f>HYPERLINK(".\sm_car_250418_1417\sm_car_250418_1417_125_Ca145TrN_MaWOT_ode23t_1.png","figure")</f>
        <v>figure</v>
      </c>
      <c r="P126" t="s">
        <v>15</v>
      </c>
    </row>
    <row r="127" spans="1:16" x14ac:dyDescent="0.25">
      <c r="A127">
        <v>126</v>
      </c>
      <c r="B127">
        <v>145</v>
      </c>
      <c r="C127" t="s">
        <v>46</v>
      </c>
      <c r="D127" t="s">
        <v>17</v>
      </c>
      <c r="E127" t="s">
        <v>50</v>
      </c>
      <c r="F127" t="s">
        <v>19</v>
      </c>
      <c r="G127" t="s">
        <v>26</v>
      </c>
      <c r="H127" t="s">
        <v>21</v>
      </c>
      <c r="I127" t="s">
        <v>24</v>
      </c>
      <c r="J127" t="s">
        <v>23</v>
      </c>
      <c r="K127">
        <v>461</v>
      </c>
      <c r="L127" s="10">
        <v>17.444029100000002</v>
      </c>
      <c r="M127" s="10">
        <v>25.009579762493328</v>
      </c>
      <c r="N127" s="10">
        <v>-4.9823448219960348E-2</v>
      </c>
      <c r="O127" s="1" t="str">
        <f>HYPERLINK(".\sm_car_250418_1417\sm_car_250418_1417_126_Ca145TrN_MaLSS_ode23t_1.png","figure")</f>
        <v>figure</v>
      </c>
      <c r="P127" t="s">
        <v>15</v>
      </c>
    </row>
    <row r="128" spans="1:16" x14ac:dyDescent="0.25">
      <c r="A128">
        <v>127</v>
      </c>
      <c r="B128">
        <v>146</v>
      </c>
      <c r="C128" t="s">
        <v>46</v>
      </c>
      <c r="D128" t="s">
        <v>17</v>
      </c>
      <c r="E128" t="s">
        <v>49</v>
      </c>
      <c r="F128" t="s">
        <v>19</v>
      </c>
      <c r="G128" t="s">
        <v>26</v>
      </c>
      <c r="H128" t="s">
        <v>21</v>
      </c>
      <c r="I128" t="s">
        <v>22</v>
      </c>
      <c r="J128" t="s">
        <v>23</v>
      </c>
      <c r="K128">
        <v>353</v>
      </c>
      <c r="L128" s="10">
        <v>11.1637959</v>
      </c>
      <c r="M128" s="10">
        <v>113.98649707136083</v>
      </c>
      <c r="N128" s="10">
        <v>0.53176328617695845</v>
      </c>
      <c r="O128" s="1" t="str">
        <f>HYPERLINK(".\sm_car_250418_1417\sm_car_250418_1417_127_Ca146TrN_MaWOT_ode23t_1.png","figure")</f>
        <v>figure</v>
      </c>
      <c r="P128" t="s">
        <v>15</v>
      </c>
    </row>
    <row r="129" spans="1:16" x14ac:dyDescent="0.25">
      <c r="A129">
        <v>128</v>
      </c>
      <c r="B129">
        <v>146</v>
      </c>
      <c r="C129" t="s">
        <v>46</v>
      </c>
      <c r="D129" t="s">
        <v>17</v>
      </c>
      <c r="E129" t="s">
        <v>49</v>
      </c>
      <c r="F129" t="s">
        <v>19</v>
      </c>
      <c r="G129" t="s">
        <v>26</v>
      </c>
      <c r="H129" t="s">
        <v>21</v>
      </c>
      <c r="I129" t="s">
        <v>24</v>
      </c>
      <c r="J129" t="s">
        <v>23</v>
      </c>
      <c r="K129">
        <v>450</v>
      </c>
      <c r="L129" s="10">
        <v>12.451986099999999</v>
      </c>
      <c r="M129" s="10">
        <v>35.599584054597578</v>
      </c>
      <c r="N129" s="10">
        <v>-2.825207359957289E-2</v>
      </c>
      <c r="O129" s="1" t="str">
        <f>HYPERLINK(".\sm_car_250418_1417\sm_car_250418_1417_128_Ca146TrN_MaLSS_ode23t_1.png","figure")</f>
        <v>figure</v>
      </c>
      <c r="P129" t="s">
        <v>15</v>
      </c>
    </row>
    <row r="130" spans="1:16" x14ac:dyDescent="0.25">
      <c r="A130">
        <v>129</v>
      </c>
      <c r="B130">
        <v>146</v>
      </c>
      <c r="C130" t="s">
        <v>46</v>
      </c>
      <c r="D130" t="s">
        <v>17</v>
      </c>
      <c r="E130" t="s">
        <v>49</v>
      </c>
      <c r="F130" t="s">
        <v>19</v>
      </c>
      <c r="G130" t="s">
        <v>26</v>
      </c>
      <c r="H130" t="s">
        <v>21</v>
      </c>
      <c r="I130" t="s">
        <v>22</v>
      </c>
      <c r="J130" t="s">
        <v>23</v>
      </c>
      <c r="K130">
        <v>353</v>
      </c>
      <c r="L130" s="10">
        <v>11.062683399999999</v>
      </c>
      <c r="M130" s="10">
        <v>113.98649707136083</v>
      </c>
      <c r="N130" s="10">
        <v>0.53176328617695845</v>
      </c>
      <c r="O130" s="1" t="str">
        <f>HYPERLINK(".\sm_car_250418_1417\sm_car_250418_1417_129_Ca146TrN_MaWOT_ode23t_1.png","figure")</f>
        <v>figure</v>
      </c>
      <c r="P130" t="s">
        <v>15</v>
      </c>
    </row>
    <row r="131" spans="1:16" x14ac:dyDescent="0.25">
      <c r="A131">
        <v>130</v>
      </c>
      <c r="B131">
        <v>146</v>
      </c>
      <c r="C131" t="s">
        <v>46</v>
      </c>
      <c r="D131" t="s">
        <v>17</v>
      </c>
      <c r="E131" t="s">
        <v>49</v>
      </c>
      <c r="F131" t="s">
        <v>19</v>
      </c>
      <c r="G131" t="s">
        <v>26</v>
      </c>
      <c r="H131" t="s">
        <v>21</v>
      </c>
      <c r="I131" t="s">
        <v>24</v>
      </c>
      <c r="J131" t="s">
        <v>23</v>
      </c>
      <c r="K131">
        <v>450</v>
      </c>
      <c r="L131" s="10">
        <v>12.4889885</v>
      </c>
      <c r="M131" s="10">
        <v>35.599584054597578</v>
      </c>
      <c r="N131" s="10">
        <v>-2.825207359957289E-2</v>
      </c>
      <c r="O131" s="1" t="str">
        <f>HYPERLINK(".\sm_car_250418_1417\sm_car_250418_1417_130_Ca146TrN_MaLSS_ode23t_1.png","figure")</f>
        <v>figure</v>
      </c>
      <c r="P131" t="s">
        <v>15</v>
      </c>
    </row>
    <row r="132" spans="1:16" x14ac:dyDescent="0.25">
      <c r="A132">
        <v>131</v>
      </c>
      <c r="B132">
        <v>161</v>
      </c>
      <c r="C132" t="s">
        <v>45</v>
      </c>
      <c r="D132" t="s">
        <v>51</v>
      </c>
      <c r="E132" t="s">
        <v>49</v>
      </c>
      <c r="F132" t="s">
        <v>19</v>
      </c>
      <c r="G132" t="s">
        <v>26</v>
      </c>
      <c r="H132" t="s">
        <v>21</v>
      </c>
      <c r="I132" t="s">
        <v>22</v>
      </c>
      <c r="J132" t="s">
        <v>23</v>
      </c>
      <c r="K132">
        <v>570</v>
      </c>
      <c r="L132" s="10">
        <v>28.340261699999999</v>
      </c>
      <c r="M132" s="10">
        <v>179.78651800362351</v>
      </c>
      <c r="N132" s="10">
        <v>0.32063948202608028</v>
      </c>
      <c r="O132" s="1" t="str">
        <f>HYPERLINK(".\sm_car_250418_1417\sm_car_250418_1417_131_Ca161TrN_MaWOT_ode23t_1.png","figure")</f>
        <v>figure</v>
      </c>
      <c r="P132" t="s">
        <v>15</v>
      </c>
    </row>
    <row r="133" spans="1:16" x14ac:dyDescent="0.25">
      <c r="A133">
        <v>132</v>
      </c>
      <c r="B133">
        <v>161</v>
      </c>
      <c r="C133" t="s">
        <v>45</v>
      </c>
      <c r="D133" t="s">
        <v>51</v>
      </c>
      <c r="E133" t="s">
        <v>49</v>
      </c>
      <c r="F133" t="s">
        <v>19</v>
      </c>
      <c r="G133" t="s">
        <v>26</v>
      </c>
      <c r="H133" t="s">
        <v>21</v>
      </c>
      <c r="I133" t="s">
        <v>24</v>
      </c>
      <c r="J133" t="s">
        <v>23</v>
      </c>
      <c r="K133">
        <v>692</v>
      </c>
      <c r="L133" s="10">
        <v>30.7596585</v>
      </c>
      <c r="M133" s="10">
        <v>154.15503986801332</v>
      </c>
      <c r="N133" s="10">
        <v>-0.59307921102160899</v>
      </c>
      <c r="O133" s="1" t="str">
        <f>HYPERLINK(".\sm_car_250418_1417\sm_car_250418_1417_132_Ca161TrN_MaLSS_ode23t_1.png","figure")</f>
        <v>figure</v>
      </c>
      <c r="P133" t="s">
        <v>15</v>
      </c>
    </row>
    <row r="134" spans="1:16" x14ac:dyDescent="0.25">
      <c r="A134">
        <v>133</v>
      </c>
      <c r="B134">
        <v>163</v>
      </c>
      <c r="C134" t="s">
        <v>45</v>
      </c>
      <c r="D134" t="s">
        <v>52</v>
      </c>
      <c r="E134" t="s">
        <v>49</v>
      </c>
      <c r="F134" t="s">
        <v>19</v>
      </c>
      <c r="G134" t="s">
        <v>26</v>
      </c>
      <c r="H134" t="s">
        <v>21</v>
      </c>
      <c r="I134" t="s">
        <v>22</v>
      </c>
      <c r="J134" t="s">
        <v>23</v>
      </c>
      <c r="K134">
        <v>662</v>
      </c>
      <c r="L134" s="10">
        <v>35.911614800000002</v>
      </c>
      <c r="M134" s="10">
        <v>277.43997404278235</v>
      </c>
      <c r="N134" s="10">
        <v>0.71067065568857168</v>
      </c>
      <c r="O134" s="1" t="str">
        <f>HYPERLINK(".\sm_car_250418_1417\sm_car_250418_1417_133_Ca163TrN_MaWOT_ode23t_1.png","figure")</f>
        <v>figure</v>
      </c>
      <c r="P134" t="s">
        <v>15</v>
      </c>
    </row>
    <row r="135" spans="1:16" x14ac:dyDescent="0.25">
      <c r="A135">
        <v>134</v>
      </c>
      <c r="B135">
        <v>163</v>
      </c>
      <c r="C135" t="s">
        <v>45</v>
      </c>
      <c r="D135" t="s">
        <v>52</v>
      </c>
      <c r="E135" t="s">
        <v>49</v>
      </c>
      <c r="F135" t="s">
        <v>19</v>
      </c>
      <c r="G135" t="s">
        <v>26</v>
      </c>
      <c r="H135" t="s">
        <v>21</v>
      </c>
      <c r="I135" t="s">
        <v>24</v>
      </c>
      <c r="J135" t="s">
        <v>23</v>
      </c>
      <c r="K135">
        <v>809</v>
      </c>
      <c r="L135" s="10">
        <v>36.897236999999997</v>
      </c>
      <c r="M135" s="10">
        <v>256.3871219364724</v>
      </c>
      <c r="N135" s="10">
        <v>-0.84503815810472982</v>
      </c>
      <c r="O135" s="1" t="str">
        <f>HYPERLINK(".\sm_car_250418_1417\sm_car_250418_1417_134_Ca163TrN_MaLSS_ode23t_1.png","figure")</f>
        <v>figure</v>
      </c>
      <c r="P135" t="s">
        <v>15</v>
      </c>
    </row>
    <row r="136" spans="1:16" x14ac:dyDescent="0.25">
      <c r="A136">
        <v>135</v>
      </c>
      <c r="B136">
        <v>184</v>
      </c>
      <c r="C136" t="s">
        <v>105</v>
      </c>
      <c r="D136" t="s">
        <v>120</v>
      </c>
      <c r="E136" t="s">
        <v>49</v>
      </c>
      <c r="F136" t="s">
        <v>19</v>
      </c>
      <c r="G136" t="s">
        <v>20</v>
      </c>
      <c r="H136" t="s">
        <v>21</v>
      </c>
      <c r="I136" t="s">
        <v>22</v>
      </c>
      <c r="J136" t="s">
        <v>23</v>
      </c>
      <c r="K136">
        <v>327</v>
      </c>
      <c r="L136" s="10">
        <v>16.3338033</v>
      </c>
      <c r="M136" s="10">
        <v>294.65354836640137</v>
      </c>
      <c r="N136" s="10">
        <v>-1.4165300479544265E-3</v>
      </c>
      <c r="O136" s="1" t="str">
        <f>HYPERLINK(".\sm_car_250418_1417\sm_car_250418_1417_135_Ca184TrN_MaWOT_ode23t_1.png","figure")</f>
        <v>figure</v>
      </c>
      <c r="P136" t="s">
        <v>15</v>
      </c>
    </row>
    <row r="137" spans="1:16" x14ac:dyDescent="0.25">
      <c r="A137">
        <v>136</v>
      </c>
      <c r="B137">
        <v>184</v>
      </c>
      <c r="C137" t="s">
        <v>105</v>
      </c>
      <c r="D137" t="s">
        <v>120</v>
      </c>
      <c r="E137" t="s">
        <v>49</v>
      </c>
      <c r="F137" t="s">
        <v>19</v>
      </c>
      <c r="G137" t="s">
        <v>20</v>
      </c>
      <c r="H137" t="s">
        <v>21</v>
      </c>
      <c r="I137" t="s">
        <v>24</v>
      </c>
      <c r="J137" t="s">
        <v>23</v>
      </c>
      <c r="K137">
        <v>462</v>
      </c>
      <c r="L137" s="10">
        <v>11.4362733</v>
      </c>
      <c r="M137" s="10">
        <v>103.56675900720097</v>
      </c>
      <c r="N137" s="10">
        <v>-0.2021218602270663</v>
      </c>
      <c r="O137" s="1" t="str">
        <f>HYPERLINK(".\sm_car_250418_1417\sm_car_250418_1417_136_Ca184TrN_MaLSS_ode23t_1.png","figure")</f>
        <v>figure</v>
      </c>
      <c r="P137" t="s">
        <v>15</v>
      </c>
    </row>
    <row r="138" spans="1:16" x14ac:dyDescent="0.25">
      <c r="A138">
        <v>137</v>
      </c>
      <c r="B138">
        <v>217</v>
      </c>
      <c r="C138" t="s">
        <v>45</v>
      </c>
      <c r="D138" t="s">
        <v>17</v>
      </c>
      <c r="E138" t="s">
        <v>107</v>
      </c>
      <c r="F138" t="s">
        <v>119</v>
      </c>
      <c r="G138" t="s">
        <v>26</v>
      </c>
      <c r="H138" t="s">
        <v>21</v>
      </c>
      <c r="I138" t="s">
        <v>22</v>
      </c>
      <c r="J138" t="s">
        <v>23</v>
      </c>
      <c r="K138">
        <v>726</v>
      </c>
      <c r="L138" s="10">
        <v>33.128855199999997</v>
      </c>
      <c r="M138" s="10">
        <v>278.48962446443369</v>
      </c>
      <c r="N138" s="10">
        <v>0.7223043843761302</v>
      </c>
      <c r="O138" s="1" t="str">
        <f>HYPERLINK(".\sm_car_250418_1417\sm_car_250418_1417_137_Ca217TrN_MaWOT_ode23t_1.png","figure")</f>
        <v>figure</v>
      </c>
      <c r="P138" t="s">
        <v>15</v>
      </c>
    </row>
    <row r="139" spans="1:16" x14ac:dyDescent="0.25">
      <c r="A139">
        <v>138</v>
      </c>
      <c r="B139">
        <v>217</v>
      </c>
      <c r="C139" t="s">
        <v>45</v>
      </c>
      <c r="D139" t="s">
        <v>17</v>
      </c>
      <c r="E139" t="s">
        <v>107</v>
      </c>
      <c r="F139" t="s">
        <v>119</v>
      </c>
      <c r="G139" t="s">
        <v>26</v>
      </c>
      <c r="H139" t="s">
        <v>21</v>
      </c>
      <c r="I139" t="s">
        <v>24</v>
      </c>
      <c r="J139" t="s">
        <v>23</v>
      </c>
      <c r="K139">
        <v>860</v>
      </c>
      <c r="L139" s="10">
        <v>35.912891299999998</v>
      </c>
      <c r="M139" s="10">
        <v>110.09845937806327</v>
      </c>
      <c r="N139" s="10">
        <v>-0.35152910314950886</v>
      </c>
      <c r="O139" s="1" t="str">
        <f>HYPERLINK(".\sm_car_250418_1417\sm_car_250418_1417_138_Ca217TrN_MaLSS_ode23t_1.png","figure")</f>
        <v>figure</v>
      </c>
      <c r="P139" t="s">
        <v>15</v>
      </c>
    </row>
    <row r="140" spans="1:16" x14ac:dyDescent="0.25">
      <c r="A140">
        <v>139</v>
      </c>
      <c r="B140">
        <v>12</v>
      </c>
      <c r="C140" t="s">
        <v>16</v>
      </c>
      <c r="D140" t="s">
        <v>17</v>
      </c>
      <c r="E140" t="s">
        <v>49</v>
      </c>
      <c r="F140" t="s">
        <v>28</v>
      </c>
      <c r="G140" t="s">
        <v>20</v>
      </c>
      <c r="H140" t="s">
        <v>21</v>
      </c>
      <c r="I140" t="s">
        <v>53</v>
      </c>
      <c r="J140" t="s">
        <v>23</v>
      </c>
      <c r="K140">
        <v>785</v>
      </c>
      <c r="L140" s="10">
        <v>10.821380100000001</v>
      </c>
      <c r="M140" s="10">
        <v>253.81758089381447</v>
      </c>
      <c r="N140" s="10">
        <v>3.8457272094039041E-3</v>
      </c>
      <c r="O140" s="1" t="str">
        <f>HYPERLINK(".\sm_car_250418_1417\sm_car_250418_1417_139_Ca012TrN_MaDLC_ode23t_1.png","figure")</f>
        <v>figure</v>
      </c>
      <c r="P140" t="s">
        <v>15</v>
      </c>
    </row>
    <row r="141" spans="1:16" x14ac:dyDescent="0.25">
      <c r="A141">
        <v>140</v>
      </c>
      <c r="B141">
        <v>12</v>
      </c>
      <c r="C141" t="s">
        <v>16</v>
      </c>
      <c r="D141" t="s">
        <v>17</v>
      </c>
      <c r="E141" t="s">
        <v>49</v>
      </c>
      <c r="F141" t="s">
        <v>28</v>
      </c>
      <c r="G141" t="s">
        <v>20</v>
      </c>
      <c r="H141" t="s">
        <v>21</v>
      </c>
      <c r="I141" t="s">
        <v>54</v>
      </c>
      <c r="J141" t="s">
        <v>23</v>
      </c>
      <c r="K141">
        <v>935</v>
      </c>
      <c r="L141" s="10">
        <v>15.1608865</v>
      </c>
      <c r="M141" s="10">
        <v>74.817652203823968</v>
      </c>
      <c r="N141" s="10">
        <v>0.72079021945137101</v>
      </c>
      <c r="O141" s="1" t="str">
        <f>HYPERLINK(".\sm_car_250418_1417\sm_car_250418_1417_140_Ca012TrN_MaIPA_ode23t_1.png","figure")</f>
        <v>figure</v>
      </c>
      <c r="P141" t="s">
        <v>15</v>
      </c>
    </row>
    <row r="142" spans="1:16" x14ac:dyDescent="0.25">
      <c r="A142">
        <v>141</v>
      </c>
      <c r="B142">
        <v>142</v>
      </c>
      <c r="C142" t="s">
        <v>45</v>
      </c>
      <c r="D142" t="s">
        <v>17</v>
      </c>
      <c r="E142" t="s">
        <v>49</v>
      </c>
      <c r="F142" t="s">
        <v>28</v>
      </c>
      <c r="G142" t="s">
        <v>26</v>
      </c>
      <c r="H142" t="s">
        <v>21</v>
      </c>
      <c r="I142" t="s">
        <v>53</v>
      </c>
      <c r="J142" t="s">
        <v>23</v>
      </c>
      <c r="K142">
        <v>754</v>
      </c>
      <c r="L142" s="10">
        <v>13.6386652</v>
      </c>
      <c r="M142" s="10">
        <v>255.11275690304092</v>
      </c>
      <c r="N142" s="10">
        <v>-4.9643822364946466E-3</v>
      </c>
      <c r="O142" s="1" t="str">
        <f>HYPERLINK(".\sm_car_250418_1417\sm_car_250418_1417_141_Ca142TrN_MaDLC_ode23t_1.png","figure")</f>
        <v>figure</v>
      </c>
      <c r="P142" t="s">
        <v>15</v>
      </c>
    </row>
    <row r="143" spans="1:16" x14ac:dyDescent="0.25">
      <c r="A143">
        <v>142</v>
      </c>
      <c r="B143">
        <v>142</v>
      </c>
      <c r="C143" t="s">
        <v>45</v>
      </c>
      <c r="D143" t="s">
        <v>17</v>
      </c>
      <c r="E143" t="s">
        <v>49</v>
      </c>
      <c r="F143" t="s">
        <v>28</v>
      </c>
      <c r="G143" t="s">
        <v>26</v>
      </c>
      <c r="H143" t="s">
        <v>21</v>
      </c>
      <c r="I143" t="s">
        <v>54</v>
      </c>
      <c r="J143" t="s">
        <v>23</v>
      </c>
      <c r="K143">
        <v>4425</v>
      </c>
      <c r="L143" s="10">
        <v>251.38393099999999</v>
      </c>
      <c r="M143" s="10">
        <v>83.381261654313363</v>
      </c>
      <c r="N143" s="10">
        <v>0.85688553130838607</v>
      </c>
      <c r="O143" s="1" t="str">
        <f>HYPERLINK(".\sm_car_250418_1417\sm_car_250418_1417_142_Ca142TrN_MaIPA_ode23t_1.png","figure")</f>
        <v>figure</v>
      </c>
      <c r="P143" t="s">
        <v>15</v>
      </c>
    </row>
    <row r="144" spans="1:16" x14ac:dyDescent="0.25">
      <c r="A144">
        <v>143</v>
      </c>
      <c r="B144">
        <v>145</v>
      </c>
      <c r="C144" t="s">
        <v>46</v>
      </c>
      <c r="D144" t="s">
        <v>17</v>
      </c>
      <c r="E144" t="s">
        <v>50</v>
      </c>
      <c r="F144" t="s">
        <v>19</v>
      </c>
      <c r="G144" t="s">
        <v>26</v>
      </c>
      <c r="H144" t="s">
        <v>21</v>
      </c>
      <c r="I144" t="s">
        <v>53</v>
      </c>
      <c r="J144" t="s">
        <v>23</v>
      </c>
      <c r="K144">
        <v>484</v>
      </c>
      <c r="L144" s="10">
        <v>17.513972200000001</v>
      </c>
      <c r="M144" s="10">
        <v>254.11313395382348</v>
      </c>
      <c r="N144" s="10">
        <v>4.591014302556129E-2</v>
      </c>
      <c r="O144" s="1" t="str">
        <f>HYPERLINK(".\sm_car_250418_1417\sm_car_250418_1417_143_Ca145TrN_MaDLC_ode23t_1.png","figure")</f>
        <v>figure</v>
      </c>
      <c r="P144" t="s">
        <v>15</v>
      </c>
    </row>
    <row r="145" spans="1:16" x14ac:dyDescent="0.25">
      <c r="A145">
        <v>144</v>
      </c>
      <c r="B145">
        <v>145</v>
      </c>
      <c r="C145" t="s">
        <v>46</v>
      </c>
      <c r="D145" t="s">
        <v>17</v>
      </c>
      <c r="E145" t="s">
        <v>50</v>
      </c>
      <c r="F145" t="s">
        <v>19</v>
      </c>
      <c r="G145" t="s">
        <v>26</v>
      </c>
      <c r="H145" t="s">
        <v>21</v>
      </c>
      <c r="I145" t="s">
        <v>54</v>
      </c>
      <c r="J145" t="s">
        <v>23</v>
      </c>
      <c r="K145">
        <v>309</v>
      </c>
      <c r="L145" s="10">
        <v>11.487758400000001</v>
      </c>
      <c r="M145" s="10">
        <v>28.089413133741466</v>
      </c>
      <c r="N145" s="10">
        <v>1.5870275744332911E-2</v>
      </c>
      <c r="O145" s="1" t="str">
        <f>HYPERLINK(".\sm_car_250418_1417\sm_car_250418_1417_144_Ca145TrN_MaIPA_ode23t_1.png","figure")</f>
        <v>figure</v>
      </c>
      <c r="P145" t="s">
        <v>15</v>
      </c>
    </row>
    <row r="146" spans="1:16" x14ac:dyDescent="0.25">
      <c r="A146">
        <v>145</v>
      </c>
      <c r="B146">
        <v>184</v>
      </c>
      <c r="C146" t="s">
        <v>105</v>
      </c>
      <c r="D146" t="s">
        <v>120</v>
      </c>
      <c r="E146" t="s">
        <v>49</v>
      </c>
      <c r="F146" t="s">
        <v>19</v>
      </c>
      <c r="G146" t="s">
        <v>20</v>
      </c>
      <c r="H146" t="s">
        <v>21</v>
      </c>
      <c r="I146" t="s">
        <v>53</v>
      </c>
      <c r="J146" t="s">
        <v>23</v>
      </c>
      <c r="K146">
        <v>416</v>
      </c>
      <c r="L146" s="10">
        <v>11.818939800000001</v>
      </c>
      <c r="M146" s="10">
        <v>256.01721135516379</v>
      </c>
      <c r="N146" s="10">
        <v>1.0509321697621754E-2</v>
      </c>
      <c r="O146" s="1" t="str">
        <f>HYPERLINK(".\sm_car_250418_1417\sm_car_250418_1417_145_Ca184TrN_MaDLC_ode23t_1.png","figure")</f>
        <v>figure</v>
      </c>
      <c r="P146" t="s">
        <v>15</v>
      </c>
    </row>
    <row r="147" spans="1:16" x14ac:dyDescent="0.25">
      <c r="A147">
        <v>146</v>
      </c>
      <c r="B147">
        <v>184</v>
      </c>
      <c r="C147" t="s">
        <v>105</v>
      </c>
      <c r="D147" t="s">
        <v>120</v>
      </c>
      <c r="E147" t="s">
        <v>49</v>
      </c>
      <c r="F147" t="s">
        <v>19</v>
      </c>
      <c r="G147" t="s">
        <v>20</v>
      </c>
      <c r="H147" t="s">
        <v>21</v>
      </c>
      <c r="I147" t="s">
        <v>54</v>
      </c>
      <c r="J147" t="s">
        <v>23</v>
      </c>
      <c r="K147">
        <v>320</v>
      </c>
      <c r="L147" s="10">
        <v>13.0058331</v>
      </c>
      <c r="M147" s="10">
        <v>55.270088022912738</v>
      </c>
      <c r="N147" s="10">
        <v>5.7514496162795435E-3</v>
      </c>
      <c r="O147" s="1" t="str">
        <f>HYPERLINK(".\sm_car_250418_1417\sm_car_250418_1417_146_Ca184TrN_MaIPA_ode23t_1.png","figure")</f>
        <v>figure</v>
      </c>
      <c r="P147" t="s">
        <v>15</v>
      </c>
    </row>
    <row r="148" spans="1:16" x14ac:dyDescent="0.25">
      <c r="A148">
        <v>147</v>
      </c>
      <c r="B148">
        <v>204</v>
      </c>
      <c r="C148" t="s">
        <v>105</v>
      </c>
      <c r="D148" t="s">
        <v>106</v>
      </c>
      <c r="E148" t="s">
        <v>18</v>
      </c>
      <c r="F148" t="s">
        <v>19</v>
      </c>
      <c r="G148" t="s">
        <v>20</v>
      </c>
      <c r="H148" t="s">
        <v>21</v>
      </c>
      <c r="I148" t="s">
        <v>53</v>
      </c>
      <c r="J148" t="s">
        <v>23</v>
      </c>
      <c r="K148">
        <v>1917</v>
      </c>
      <c r="L148" s="10">
        <v>24.9698271</v>
      </c>
      <c r="M148" s="10">
        <v>255.8402842133944</v>
      </c>
      <c r="N148" s="10">
        <v>1.4091679259728096E-2</v>
      </c>
      <c r="O148" s="1" t="str">
        <f>HYPERLINK(".\sm_car_250418_1417\sm_car_250418_1417_147_Ca204TrN_MaDLC_ode23t_1.png","figure")</f>
        <v>figure</v>
      </c>
      <c r="P148" t="s">
        <v>15</v>
      </c>
    </row>
    <row r="149" spans="1:16" x14ac:dyDescent="0.25">
      <c r="A149">
        <v>148</v>
      </c>
      <c r="B149">
        <v>204</v>
      </c>
      <c r="C149" t="s">
        <v>105</v>
      </c>
      <c r="D149" t="s">
        <v>106</v>
      </c>
      <c r="E149" t="s">
        <v>18</v>
      </c>
      <c r="F149" t="s">
        <v>19</v>
      </c>
      <c r="G149" t="s">
        <v>20</v>
      </c>
      <c r="H149" t="s">
        <v>21</v>
      </c>
      <c r="I149" t="s">
        <v>54</v>
      </c>
      <c r="J149" t="s">
        <v>23</v>
      </c>
      <c r="K149">
        <v>704</v>
      </c>
      <c r="L149" s="10">
        <v>12.718398199999999</v>
      </c>
      <c r="M149" s="10">
        <v>26.038789796548116</v>
      </c>
      <c r="N149" s="10">
        <v>9.6602510694993385E-3</v>
      </c>
      <c r="O149" s="1" t="str">
        <f>HYPERLINK(".\sm_car_250418_1417\sm_car_250418_1417_148_Ca204TrN_MaIPA_ode23t_1.png","figure")</f>
        <v>figure</v>
      </c>
      <c r="P149" t="s">
        <v>15</v>
      </c>
    </row>
    <row r="150" spans="1:16" x14ac:dyDescent="0.25">
      <c r="A150">
        <v>149</v>
      </c>
      <c r="B150">
        <v>12</v>
      </c>
      <c r="C150" t="s">
        <v>16</v>
      </c>
      <c r="D150" t="s">
        <v>17</v>
      </c>
      <c r="E150" t="s">
        <v>49</v>
      </c>
      <c r="F150" t="s">
        <v>28</v>
      </c>
      <c r="G150" t="s">
        <v>20</v>
      </c>
      <c r="H150" t="s">
        <v>21</v>
      </c>
      <c r="I150" t="s">
        <v>55</v>
      </c>
      <c r="J150" t="s">
        <v>23</v>
      </c>
      <c r="K150">
        <v>2717</v>
      </c>
      <c r="L150" s="10">
        <v>30.2134967</v>
      </c>
      <c r="M150" s="10">
        <v>-2.0435736462236259E-2</v>
      </c>
      <c r="N150" s="10">
        <v>-0.62220356781930297</v>
      </c>
      <c r="O150" s="1" t="str">
        <f>HYPERLINK(".\sm_car_250418_1417\sm_car_250418_1417_149_Ca012TrN_MaMPK_ode23t_1.png","figure")</f>
        <v>figure</v>
      </c>
      <c r="P150" t="s">
        <v>15</v>
      </c>
    </row>
    <row r="151" spans="1:16" x14ac:dyDescent="0.25">
      <c r="A151">
        <v>150</v>
      </c>
      <c r="B151">
        <v>12</v>
      </c>
      <c r="C151" t="s">
        <v>16</v>
      </c>
      <c r="D151" t="s">
        <v>17</v>
      </c>
      <c r="E151" t="s">
        <v>49</v>
      </c>
      <c r="F151" t="s">
        <v>28</v>
      </c>
      <c r="G151" t="s">
        <v>20</v>
      </c>
      <c r="H151" t="s">
        <v>21</v>
      </c>
      <c r="I151" t="s">
        <v>56</v>
      </c>
      <c r="J151" t="s">
        <v>23</v>
      </c>
      <c r="K151">
        <v>3135</v>
      </c>
      <c r="L151" s="10">
        <v>30.444009099999999</v>
      </c>
      <c r="M151" s="10">
        <v>0.78855059453045051</v>
      </c>
      <c r="N151" s="10">
        <v>-0.32243149630317375</v>
      </c>
      <c r="O151" s="1" t="str">
        <f>HYPERLINK(".\sm_car_250418_1417\sm_car_250418_1417_150_Ca012TrN_MaMPC_ode23t_1.png","figure")</f>
        <v>figure</v>
      </c>
      <c r="P151" t="s">
        <v>15</v>
      </c>
    </row>
    <row r="152" spans="1:16" x14ac:dyDescent="0.25">
      <c r="A152">
        <v>151</v>
      </c>
      <c r="B152">
        <v>142</v>
      </c>
      <c r="C152" t="s">
        <v>45</v>
      </c>
      <c r="D152" t="s">
        <v>17</v>
      </c>
      <c r="E152" t="s">
        <v>49</v>
      </c>
      <c r="F152" t="s">
        <v>28</v>
      </c>
      <c r="G152" t="s">
        <v>26</v>
      </c>
      <c r="H152" t="s">
        <v>21</v>
      </c>
      <c r="I152" t="s">
        <v>55</v>
      </c>
      <c r="J152" t="s">
        <v>23</v>
      </c>
      <c r="K152">
        <v>2618</v>
      </c>
      <c r="L152" s="10">
        <v>65.258542899999995</v>
      </c>
      <c r="M152" s="10">
        <v>-9.7852838272426135E-3</v>
      </c>
      <c r="N152" s="10">
        <v>-0.54700231067267646</v>
      </c>
      <c r="O152" s="1" t="str">
        <f>HYPERLINK(".\sm_car_250418_1417\sm_car_250418_1417_151_Ca142TrN_MaMPK_ode23t_1.png","figure")</f>
        <v>figure</v>
      </c>
      <c r="P152" t="s">
        <v>15</v>
      </c>
    </row>
    <row r="153" spans="1:16" x14ac:dyDescent="0.25">
      <c r="A153">
        <v>152</v>
      </c>
      <c r="B153">
        <v>142</v>
      </c>
      <c r="C153" t="s">
        <v>45</v>
      </c>
      <c r="D153" t="s">
        <v>17</v>
      </c>
      <c r="E153" t="s">
        <v>49</v>
      </c>
      <c r="F153" t="s">
        <v>28</v>
      </c>
      <c r="G153" t="s">
        <v>26</v>
      </c>
      <c r="H153" t="s">
        <v>21</v>
      </c>
      <c r="I153" t="s">
        <v>56</v>
      </c>
      <c r="J153" t="s">
        <v>23</v>
      </c>
      <c r="K153">
        <v>3205</v>
      </c>
      <c r="L153" s="10">
        <v>79.4607508</v>
      </c>
      <c r="M153" s="10">
        <v>0.78877661409988775</v>
      </c>
      <c r="N153" s="10">
        <v>-0.36526994335376411</v>
      </c>
      <c r="O153" s="1" t="str">
        <f>HYPERLINK(".\sm_car_250418_1417\sm_car_250418_1417_152_Ca142TrN_MaMPC_ode23t_1.png","figure")</f>
        <v>figure</v>
      </c>
      <c r="P153" t="s">
        <v>15</v>
      </c>
    </row>
    <row r="154" spans="1:16" x14ac:dyDescent="0.25">
      <c r="A154">
        <v>153</v>
      </c>
      <c r="B154">
        <v>116</v>
      </c>
      <c r="C154" t="s">
        <v>16</v>
      </c>
      <c r="D154" t="s">
        <v>35</v>
      </c>
      <c r="E154" t="s">
        <v>18</v>
      </c>
      <c r="F154" t="s">
        <v>28</v>
      </c>
      <c r="G154" t="s">
        <v>20</v>
      </c>
      <c r="H154" t="s">
        <v>21</v>
      </c>
      <c r="I154" t="s">
        <v>55</v>
      </c>
      <c r="J154" t="s">
        <v>23</v>
      </c>
      <c r="K154">
        <v>2867</v>
      </c>
      <c r="L154" s="10">
        <v>14.409527799999999</v>
      </c>
      <c r="M154" s="10">
        <v>-1.8748056612318806E-2</v>
      </c>
      <c r="N154" s="10">
        <v>-0.52485375561885361</v>
      </c>
      <c r="O154" s="1" t="str">
        <f>HYPERLINK(".\sm_car_250418_1417\sm_car_250418_1417_153_Ca116TrN_MaMPK_ode23t_1.png","figure")</f>
        <v>figure</v>
      </c>
      <c r="P154" t="s">
        <v>15</v>
      </c>
    </row>
    <row r="155" spans="1:16" x14ac:dyDescent="0.25">
      <c r="A155">
        <v>154</v>
      </c>
      <c r="B155">
        <v>116</v>
      </c>
      <c r="C155" t="s">
        <v>16</v>
      </c>
      <c r="D155" t="s">
        <v>35</v>
      </c>
      <c r="E155" t="s">
        <v>18</v>
      </c>
      <c r="F155" t="s">
        <v>28</v>
      </c>
      <c r="G155" t="s">
        <v>20</v>
      </c>
      <c r="H155" t="s">
        <v>21</v>
      </c>
      <c r="I155" t="s">
        <v>56</v>
      </c>
      <c r="J155" t="s">
        <v>23</v>
      </c>
      <c r="K155">
        <v>3382</v>
      </c>
      <c r="L155" s="10">
        <v>14.9317484</v>
      </c>
      <c r="M155" s="10">
        <v>0.78621076958378922</v>
      </c>
      <c r="N155" s="10">
        <v>-0.35485414854532044</v>
      </c>
      <c r="O155" s="1" t="str">
        <f>HYPERLINK(".\sm_car_250418_1417\sm_car_250418_1417_154_Ca116TrN_MaMPC_ode23t_1.png","figure")</f>
        <v>figure</v>
      </c>
      <c r="P155" t="s">
        <v>15</v>
      </c>
    </row>
    <row r="156" spans="1:16" x14ac:dyDescent="0.25">
      <c r="A156">
        <v>155</v>
      </c>
      <c r="B156">
        <v>143</v>
      </c>
      <c r="C156" t="s">
        <v>46</v>
      </c>
      <c r="D156" t="s">
        <v>17</v>
      </c>
      <c r="E156" t="s">
        <v>47</v>
      </c>
      <c r="F156" t="s">
        <v>19</v>
      </c>
      <c r="G156" t="s">
        <v>26</v>
      </c>
      <c r="H156" t="s">
        <v>21</v>
      </c>
      <c r="I156" t="s">
        <v>55</v>
      </c>
      <c r="J156" t="s">
        <v>23</v>
      </c>
      <c r="K156">
        <v>2730</v>
      </c>
      <c r="L156" s="10">
        <v>50.617428500000003</v>
      </c>
      <c r="M156" s="10">
        <v>-1.5042898498812504E-2</v>
      </c>
      <c r="N156" s="10">
        <v>-0.3894143810653522</v>
      </c>
      <c r="O156" s="1" t="str">
        <f>HYPERLINK(".\sm_car_250418_1417\sm_car_250418_1417_155_Ca143TrN_MaMPK_ode23t_1.png","figure")</f>
        <v>figure</v>
      </c>
      <c r="P156" t="s">
        <v>15</v>
      </c>
    </row>
    <row r="157" spans="1:16" x14ac:dyDescent="0.25">
      <c r="A157">
        <v>156</v>
      </c>
      <c r="B157">
        <v>143</v>
      </c>
      <c r="C157" t="s">
        <v>46</v>
      </c>
      <c r="D157" t="s">
        <v>17</v>
      </c>
      <c r="E157" t="s">
        <v>47</v>
      </c>
      <c r="F157" t="s">
        <v>19</v>
      </c>
      <c r="G157" t="s">
        <v>26</v>
      </c>
      <c r="H157" t="s">
        <v>21</v>
      </c>
      <c r="I157" t="s">
        <v>56</v>
      </c>
      <c r="J157" t="s">
        <v>23</v>
      </c>
      <c r="K157">
        <v>2878</v>
      </c>
      <c r="L157" s="10">
        <v>62.387179500000002</v>
      </c>
      <c r="M157" s="10">
        <v>0.78897467247351649</v>
      </c>
      <c r="N157" s="10">
        <v>-0.25887924004873131</v>
      </c>
      <c r="O157" s="1" t="str">
        <f>HYPERLINK(".\sm_car_250418_1417\sm_car_250418_1417_156_Ca143TrN_MaMPC_ode23t_1.png","figure")</f>
        <v>figure</v>
      </c>
      <c r="P157" t="s">
        <v>15</v>
      </c>
    </row>
    <row r="158" spans="1:16" x14ac:dyDescent="0.25">
      <c r="A158">
        <v>157</v>
      </c>
      <c r="B158">
        <v>166</v>
      </c>
      <c r="C158" t="s">
        <v>45</v>
      </c>
      <c r="D158" t="s">
        <v>57</v>
      </c>
      <c r="E158" t="s">
        <v>18</v>
      </c>
      <c r="F158" t="s">
        <v>19</v>
      </c>
      <c r="G158" t="s">
        <v>26</v>
      </c>
      <c r="H158" t="s">
        <v>21</v>
      </c>
      <c r="I158" t="s">
        <v>55</v>
      </c>
      <c r="J158" t="s">
        <v>23</v>
      </c>
      <c r="K158">
        <v>3177</v>
      </c>
      <c r="L158" s="10">
        <v>43.904374300000001</v>
      </c>
      <c r="M158" s="10">
        <v>-1.7967906035803186E-2</v>
      </c>
      <c r="N158" s="10">
        <v>-0.55578082368014325</v>
      </c>
      <c r="O158" s="1" t="str">
        <f>HYPERLINK(".\sm_car_250418_1417\sm_car_250418_1417_157_Ca166TrN_MaMPK_ode23t_1.png","figure")</f>
        <v>figure</v>
      </c>
      <c r="P158" t="s">
        <v>15</v>
      </c>
    </row>
    <row r="159" spans="1:16" x14ac:dyDescent="0.25">
      <c r="A159">
        <v>158</v>
      </c>
      <c r="B159">
        <v>166</v>
      </c>
      <c r="C159" t="s">
        <v>45</v>
      </c>
      <c r="D159" t="s">
        <v>57</v>
      </c>
      <c r="E159" t="s">
        <v>18</v>
      </c>
      <c r="F159" t="s">
        <v>19</v>
      </c>
      <c r="G159" t="s">
        <v>26</v>
      </c>
      <c r="H159" t="s">
        <v>21</v>
      </c>
      <c r="I159" t="s">
        <v>56</v>
      </c>
      <c r="J159" t="s">
        <v>23</v>
      </c>
      <c r="K159">
        <v>3587</v>
      </c>
      <c r="L159" s="10">
        <v>47.516631199999999</v>
      </c>
      <c r="M159" s="10">
        <v>0.78315549072431168</v>
      </c>
      <c r="N159" s="10">
        <v>-0.35633341894456649</v>
      </c>
      <c r="O159" s="1" t="str">
        <f>HYPERLINK(".\sm_car_250418_1417\sm_car_250418_1417_158_Ca166TrN_MaMPC_ode23t_1.png","figure")</f>
        <v>figure</v>
      </c>
      <c r="P159" t="s">
        <v>15</v>
      </c>
    </row>
    <row r="160" spans="1:16" x14ac:dyDescent="0.25">
      <c r="A160">
        <v>159</v>
      </c>
      <c r="B160">
        <v>169</v>
      </c>
      <c r="C160" t="s">
        <v>45</v>
      </c>
      <c r="D160" t="s">
        <v>58</v>
      </c>
      <c r="E160" t="s">
        <v>49</v>
      </c>
      <c r="F160" t="s">
        <v>19</v>
      </c>
      <c r="G160" t="s">
        <v>26</v>
      </c>
      <c r="H160" t="s">
        <v>21</v>
      </c>
      <c r="I160" t="s">
        <v>55</v>
      </c>
      <c r="J160" t="s">
        <v>23</v>
      </c>
      <c r="K160">
        <v>3134</v>
      </c>
      <c r="L160" s="10">
        <v>38.806285199999998</v>
      </c>
      <c r="M160" s="10">
        <v>-1.9259116955703967E-2</v>
      </c>
      <c r="N160" s="10">
        <v>-0.55644051152505658</v>
      </c>
      <c r="O160" s="1" t="str">
        <f>HYPERLINK(".\sm_car_250418_1417\sm_car_250418_1417_159_Ca169TrN_MaMPK_ode23t_1.png","figure")</f>
        <v>figure</v>
      </c>
      <c r="P160" t="s">
        <v>15</v>
      </c>
    </row>
    <row r="161" spans="1:16" x14ac:dyDescent="0.25">
      <c r="A161">
        <v>160</v>
      </c>
      <c r="B161">
        <v>169</v>
      </c>
      <c r="C161" t="s">
        <v>45</v>
      </c>
      <c r="D161" t="s">
        <v>58</v>
      </c>
      <c r="E161" t="s">
        <v>49</v>
      </c>
      <c r="F161" t="s">
        <v>19</v>
      </c>
      <c r="G161" t="s">
        <v>26</v>
      </c>
      <c r="H161" t="s">
        <v>21</v>
      </c>
      <c r="I161" t="s">
        <v>56</v>
      </c>
      <c r="J161" t="s">
        <v>23</v>
      </c>
      <c r="K161">
        <v>3363</v>
      </c>
      <c r="L161" s="10">
        <v>39.772064999999998</v>
      </c>
      <c r="M161" s="10">
        <v>0.78332748563956223</v>
      </c>
      <c r="N161" s="10">
        <v>-0.35559456200928835</v>
      </c>
      <c r="O161" s="1" t="str">
        <f>HYPERLINK(".\sm_car_250418_1417\sm_car_250418_1417_160_Ca169TrN_MaMPC_ode23t_1.png","figure")</f>
        <v>figure</v>
      </c>
      <c r="P161" t="s">
        <v>15</v>
      </c>
    </row>
    <row r="162" spans="1:16" x14ac:dyDescent="0.25">
      <c r="A162">
        <v>161</v>
      </c>
      <c r="B162">
        <v>184</v>
      </c>
      <c r="C162" t="s">
        <v>105</v>
      </c>
      <c r="D162" t="s">
        <v>120</v>
      </c>
      <c r="E162" t="s">
        <v>49</v>
      </c>
      <c r="F162" t="s">
        <v>19</v>
      </c>
      <c r="G162" t="s">
        <v>20</v>
      </c>
      <c r="H162" t="s">
        <v>21</v>
      </c>
      <c r="I162" t="s">
        <v>55</v>
      </c>
      <c r="J162" t="s">
        <v>23</v>
      </c>
      <c r="K162">
        <v>2106</v>
      </c>
      <c r="L162" s="10">
        <v>52.592021500000001</v>
      </c>
      <c r="M162" s="10">
        <v>-1.990709640849278E-2</v>
      </c>
      <c r="N162" s="10">
        <v>-0.69661197649317685</v>
      </c>
      <c r="O162" s="1" t="str">
        <f>HYPERLINK(".\sm_car_250418_1417\sm_car_250418_1417_161_Ca184TrN_MaMPK_ode23t_1.png","figure")</f>
        <v>figure</v>
      </c>
      <c r="P162" t="s">
        <v>15</v>
      </c>
    </row>
    <row r="163" spans="1:16" x14ac:dyDescent="0.25">
      <c r="A163">
        <v>162</v>
      </c>
      <c r="B163">
        <v>184</v>
      </c>
      <c r="C163" t="s">
        <v>105</v>
      </c>
      <c r="D163" t="s">
        <v>120</v>
      </c>
      <c r="E163" t="s">
        <v>49</v>
      </c>
      <c r="F163" t="s">
        <v>19</v>
      </c>
      <c r="G163" t="s">
        <v>20</v>
      </c>
      <c r="H163" t="s">
        <v>21</v>
      </c>
      <c r="I163" t="s">
        <v>56</v>
      </c>
      <c r="J163" t="s">
        <v>23</v>
      </c>
      <c r="K163">
        <v>2182</v>
      </c>
      <c r="L163" s="10">
        <v>52.880740799999998</v>
      </c>
      <c r="M163" s="10">
        <v>0.78853699487854279</v>
      </c>
      <c r="N163" s="10">
        <v>-0.32950889486527096</v>
      </c>
      <c r="O163" s="1" t="str">
        <f>HYPERLINK(".\sm_car_250418_1417\sm_car_250418_1417_162_Ca184TrN_MaMPC_ode23t_1.png","figure")</f>
        <v>figure</v>
      </c>
      <c r="P163" t="s">
        <v>15</v>
      </c>
    </row>
    <row r="164" spans="1:16" x14ac:dyDescent="0.25">
      <c r="A164">
        <v>163</v>
      </c>
      <c r="B164">
        <v>195</v>
      </c>
      <c r="C164" t="s">
        <v>45</v>
      </c>
      <c r="D164" t="s">
        <v>58</v>
      </c>
      <c r="E164" t="s">
        <v>107</v>
      </c>
      <c r="F164" t="s">
        <v>19</v>
      </c>
      <c r="G164" t="s">
        <v>26</v>
      </c>
      <c r="H164" t="s">
        <v>21</v>
      </c>
      <c r="I164" t="s">
        <v>55</v>
      </c>
      <c r="J164" t="s">
        <v>23</v>
      </c>
      <c r="K164">
        <v>3142</v>
      </c>
      <c r="L164" s="10">
        <v>35.364210800000002</v>
      </c>
      <c r="M164" s="10">
        <v>-1.894830922481458E-2</v>
      </c>
      <c r="N164" s="10">
        <v>-0.55644053785570879</v>
      </c>
      <c r="O164" s="1" t="str">
        <f>HYPERLINK(".\sm_car_250418_1417\sm_car_250418_1417_163_Ca195TrN_MaMPK_ode23t_1.png","figure")</f>
        <v>figure</v>
      </c>
      <c r="P164" t="s">
        <v>15</v>
      </c>
    </row>
    <row r="165" spans="1:16" x14ac:dyDescent="0.25">
      <c r="A165">
        <v>164</v>
      </c>
      <c r="B165">
        <v>195</v>
      </c>
      <c r="C165" t="s">
        <v>45</v>
      </c>
      <c r="D165" t="s">
        <v>58</v>
      </c>
      <c r="E165" t="s">
        <v>107</v>
      </c>
      <c r="F165" t="s">
        <v>19</v>
      </c>
      <c r="G165" t="s">
        <v>26</v>
      </c>
      <c r="H165" t="s">
        <v>21</v>
      </c>
      <c r="I165" t="s">
        <v>56</v>
      </c>
      <c r="J165" t="s">
        <v>23</v>
      </c>
      <c r="K165">
        <v>3377</v>
      </c>
      <c r="L165" s="10">
        <v>33.867601200000003</v>
      </c>
      <c r="M165" s="10">
        <v>0.78762301770616183</v>
      </c>
      <c r="N165" s="10">
        <v>-0.35559669824280521</v>
      </c>
      <c r="O165" s="1" t="str">
        <f>HYPERLINK(".\sm_car_250418_1417\sm_car_250418_1417_164_Ca195TrN_MaMPC_ode23t_1.png","figure")</f>
        <v>figure</v>
      </c>
      <c r="P165" t="s">
        <v>15</v>
      </c>
    </row>
    <row r="166" spans="1:16" x14ac:dyDescent="0.25">
      <c r="A166">
        <v>165</v>
      </c>
      <c r="B166">
        <v>198</v>
      </c>
      <c r="C166" t="s">
        <v>105</v>
      </c>
      <c r="D166" t="s">
        <v>120</v>
      </c>
      <c r="E166" t="s">
        <v>107</v>
      </c>
      <c r="F166" t="s">
        <v>19</v>
      </c>
      <c r="G166" t="s">
        <v>20</v>
      </c>
      <c r="H166" t="s">
        <v>21</v>
      </c>
      <c r="I166" t="s">
        <v>55</v>
      </c>
      <c r="J166" t="s">
        <v>23</v>
      </c>
      <c r="K166">
        <v>2157</v>
      </c>
      <c r="L166" s="10">
        <v>29.058430900000001</v>
      </c>
      <c r="M166" s="10">
        <v>-2.1806987239671061E-2</v>
      </c>
      <c r="N166" s="10">
        <v>-0.69682608861340012</v>
      </c>
      <c r="O166" s="1" t="str">
        <f>HYPERLINK(".\sm_car_250418_1417\sm_car_250418_1417_165_Ca198TrN_MaMPK_ode23t_1.png","figure")</f>
        <v>figure</v>
      </c>
      <c r="P166" t="s">
        <v>15</v>
      </c>
    </row>
    <row r="167" spans="1:16" x14ac:dyDescent="0.25">
      <c r="A167">
        <v>166</v>
      </c>
      <c r="B167">
        <v>198</v>
      </c>
      <c r="C167" t="s">
        <v>105</v>
      </c>
      <c r="D167" t="s">
        <v>120</v>
      </c>
      <c r="E167" t="s">
        <v>107</v>
      </c>
      <c r="F167" t="s">
        <v>19</v>
      </c>
      <c r="G167" t="s">
        <v>20</v>
      </c>
      <c r="H167" t="s">
        <v>21</v>
      </c>
      <c r="I167" t="s">
        <v>56</v>
      </c>
      <c r="J167" t="s">
        <v>23</v>
      </c>
      <c r="K167">
        <v>2192</v>
      </c>
      <c r="L167" s="10">
        <v>31.1193463</v>
      </c>
      <c r="M167" s="10">
        <v>0.78898862372382439</v>
      </c>
      <c r="N167" s="10">
        <v>-0.3296698855405592</v>
      </c>
      <c r="O167" s="1" t="str">
        <f>HYPERLINK(".\sm_car_250418_1417\sm_car_250418_1417_166_Ca198TrN_MaMPC_ode23t_1.png","figure")</f>
        <v>figure</v>
      </c>
      <c r="P167" t="s">
        <v>15</v>
      </c>
    </row>
    <row r="168" spans="1:16" x14ac:dyDescent="0.25">
      <c r="A168">
        <v>167</v>
      </c>
      <c r="B168">
        <v>151</v>
      </c>
      <c r="C168" t="s">
        <v>16</v>
      </c>
      <c r="D168" t="s">
        <v>17</v>
      </c>
      <c r="E168" t="s">
        <v>18</v>
      </c>
      <c r="F168" t="s">
        <v>19</v>
      </c>
      <c r="G168" t="s">
        <v>59</v>
      </c>
      <c r="H168" t="s">
        <v>21</v>
      </c>
      <c r="I168" t="s">
        <v>24</v>
      </c>
      <c r="J168" t="s">
        <v>23</v>
      </c>
      <c r="K168">
        <v>528</v>
      </c>
      <c r="L168" s="10">
        <v>13.114566699999999</v>
      </c>
      <c r="M168" s="10">
        <v>72.548975575892015</v>
      </c>
      <c r="N168" s="10">
        <v>-0.80547499972252201</v>
      </c>
      <c r="O168" s="1" t="str">
        <f>HYPERLINK(".\sm_car_250418_1417\sm_car_250418_1417_167_Ca151TrN_MaLSS_ode23t_1.png","figure")</f>
        <v>figure</v>
      </c>
      <c r="P168" t="s">
        <v>15</v>
      </c>
    </row>
    <row r="169" spans="1:16" x14ac:dyDescent="0.25">
      <c r="A169">
        <v>168</v>
      </c>
      <c r="B169">
        <v>152</v>
      </c>
      <c r="C169" t="s">
        <v>16</v>
      </c>
      <c r="D169" t="s">
        <v>17</v>
      </c>
      <c r="E169" t="s">
        <v>18</v>
      </c>
      <c r="F169" t="s">
        <v>19</v>
      </c>
      <c r="G169" t="s">
        <v>60</v>
      </c>
      <c r="H169" t="s">
        <v>21</v>
      </c>
      <c r="I169" t="s">
        <v>24</v>
      </c>
      <c r="J169" t="s">
        <v>23</v>
      </c>
      <c r="K169">
        <v>530</v>
      </c>
      <c r="L169" s="10">
        <v>12.4135104</v>
      </c>
      <c r="M169" s="10">
        <v>70.953931309363441</v>
      </c>
      <c r="N169" s="10">
        <v>-0.53116881303277952</v>
      </c>
      <c r="O169" s="1" t="str">
        <f>HYPERLINK(".\sm_car_250418_1417\sm_car_250418_1417_168_Ca152TrN_MaLSS_ode23t_1.png","figure")</f>
        <v>figure</v>
      </c>
      <c r="P169" t="s">
        <v>15</v>
      </c>
    </row>
    <row r="170" spans="1:16" x14ac:dyDescent="0.25">
      <c r="A170">
        <v>169</v>
      </c>
      <c r="B170">
        <v>153</v>
      </c>
      <c r="C170" t="s">
        <v>16</v>
      </c>
      <c r="D170" t="s">
        <v>17</v>
      </c>
      <c r="E170" t="s">
        <v>18</v>
      </c>
      <c r="F170" t="s">
        <v>19</v>
      </c>
      <c r="G170" t="s">
        <v>61</v>
      </c>
      <c r="H170" t="s">
        <v>21</v>
      </c>
      <c r="I170" t="s">
        <v>24</v>
      </c>
      <c r="J170" t="s">
        <v>23</v>
      </c>
      <c r="K170">
        <v>539</v>
      </c>
      <c r="L170" s="10">
        <v>13.1985288</v>
      </c>
      <c r="M170" s="10">
        <v>70.797577038853859</v>
      </c>
      <c r="N170" s="10">
        <v>-0.86693696878127968</v>
      </c>
      <c r="O170" s="1" t="str">
        <f>HYPERLINK(".\sm_car_250418_1417\sm_car_250418_1417_169_Ca153TrN_MaLSS_ode23t_1.png","figure")</f>
        <v>figure</v>
      </c>
      <c r="P170" t="s">
        <v>15</v>
      </c>
    </row>
    <row r="171" spans="1:16" x14ac:dyDescent="0.25">
      <c r="A171">
        <v>170</v>
      </c>
      <c r="B171">
        <v>154</v>
      </c>
      <c r="C171" t="s">
        <v>16</v>
      </c>
      <c r="D171" t="s">
        <v>17</v>
      </c>
      <c r="E171" t="s">
        <v>18</v>
      </c>
      <c r="F171" t="s">
        <v>19</v>
      </c>
      <c r="G171" t="s">
        <v>108</v>
      </c>
      <c r="H171" t="s">
        <v>21</v>
      </c>
      <c r="I171" t="s">
        <v>24</v>
      </c>
      <c r="J171" t="s">
        <v>23</v>
      </c>
      <c r="K171">
        <v>489</v>
      </c>
      <c r="L171" s="10">
        <v>16.2808694</v>
      </c>
      <c r="M171" s="10">
        <v>70.996314765961074</v>
      </c>
      <c r="N171" s="10">
        <v>-0.36259693708873914</v>
      </c>
      <c r="O171" s="1" t="str">
        <f>HYPERLINK(".\sm_car_250418_1417\sm_car_250418_1417_170_Ca154TrN_MaLSS_ode23t_1.png","figure")</f>
        <v>figure</v>
      </c>
      <c r="P171" t="s">
        <v>15</v>
      </c>
    </row>
    <row r="172" spans="1:16" x14ac:dyDescent="0.25">
      <c r="A172">
        <v>171</v>
      </c>
      <c r="B172">
        <v>155</v>
      </c>
      <c r="C172" t="s">
        <v>16</v>
      </c>
      <c r="D172" t="s">
        <v>17</v>
      </c>
      <c r="E172" t="s">
        <v>18</v>
      </c>
      <c r="F172" t="s">
        <v>19</v>
      </c>
      <c r="G172" t="s">
        <v>62</v>
      </c>
      <c r="H172" t="s">
        <v>21</v>
      </c>
      <c r="I172" t="s">
        <v>24</v>
      </c>
      <c r="J172" t="s">
        <v>23</v>
      </c>
      <c r="K172">
        <v>553</v>
      </c>
      <c r="L172" s="10">
        <v>17.8029622</v>
      </c>
      <c r="M172" s="10">
        <v>70.830742050814678</v>
      </c>
      <c r="N172" s="10">
        <v>-0.84689464279706939</v>
      </c>
      <c r="O172" s="1" t="str">
        <f>HYPERLINK(".\sm_car_250418_1417\sm_car_250418_1417_171_Ca155TrN_MaLSS_ode23t_1.png","figure")</f>
        <v>figure</v>
      </c>
      <c r="P172" t="s">
        <v>15</v>
      </c>
    </row>
    <row r="173" spans="1:16" x14ac:dyDescent="0.25">
      <c r="A173">
        <v>172</v>
      </c>
      <c r="B173">
        <v>4</v>
      </c>
      <c r="C173" t="s">
        <v>16</v>
      </c>
      <c r="D173" t="s">
        <v>17</v>
      </c>
      <c r="E173" t="s">
        <v>18</v>
      </c>
      <c r="F173" t="s">
        <v>28</v>
      </c>
      <c r="G173" t="s">
        <v>20</v>
      </c>
      <c r="H173" t="s">
        <v>21</v>
      </c>
      <c r="I173" t="s">
        <v>22</v>
      </c>
      <c r="J173" t="s">
        <v>63</v>
      </c>
      <c r="K173">
        <v>3247</v>
      </c>
      <c r="L173" s="10">
        <v>8.9886704999999996</v>
      </c>
      <c r="M173" s="10">
        <v>231.38923252163076</v>
      </c>
      <c r="N173" s="10">
        <v>2.2944610708496901E-3</v>
      </c>
      <c r="O173" s="1" t="str">
        <f>HYPERLINK(".\sm_car_250418_1417\sm_car_250418_1417_172_Ca004TrN_MaWOT_ode3_1.png","figure")</f>
        <v>figure</v>
      </c>
      <c r="P173" t="s">
        <v>15</v>
      </c>
    </row>
    <row r="174" spans="1:16" x14ac:dyDescent="0.25">
      <c r="A174">
        <v>173</v>
      </c>
      <c r="B174">
        <v>4</v>
      </c>
      <c r="C174" t="s">
        <v>16</v>
      </c>
      <c r="D174" t="s">
        <v>17</v>
      </c>
      <c r="E174" t="s">
        <v>18</v>
      </c>
      <c r="F174" t="s">
        <v>28</v>
      </c>
      <c r="G174" t="s">
        <v>20</v>
      </c>
      <c r="H174" t="s">
        <v>21</v>
      </c>
      <c r="I174" t="s">
        <v>24</v>
      </c>
      <c r="J174" t="s">
        <v>63</v>
      </c>
      <c r="K174">
        <v>2564</v>
      </c>
      <c r="L174" s="10">
        <v>6.9814036000000002</v>
      </c>
      <c r="M174" s="10">
        <v>71.253969951402098</v>
      </c>
      <c r="N174" s="10">
        <v>-0.54014322697826567</v>
      </c>
      <c r="O174" s="1" t="str">
        <f>HYPERLINK(".\sm_car_250418_1417\sm_car_250418_1417_173_Ca004TrN_MaLSS_ode3_1.png","figure")</f>
        <v>figure</v>
      </c>
      <c r="P174" t="s">
        <v>15</v>
      </c>
    </row>
    <row r="175" spans="1:16" x14ac:dyDescent="0.25">
      <c r="A175">
        <v>174</v>
      </c>
      <c r="B175">
        <v>4</v>
      </c>
      <c r="C175" t="s">
        <v>16</v>
      </c>
      <c r="D175" t="s">
        <v>17</v>
      </c>
      <c r="E175" t="s">
        <v>18</v>
      </c>
      <c r="F175" t="s">
        <v>28</v>
      </c>
      <c r="G175" t="s">
        <v>20</v>
      </c>
      <c r="H175" t="s">
        <v>21</v>
      </c>
      <c r="I175" t="s">
        <v>64</v>
      </c>
      <c r="J175" t="s">
        <v>63</v>
      </c>
      <c r="K175">
        <v>2562</v>
      </c>
      <c r="L175" s="10">
        <v>7.2454244000000001</v>
      </c>
      <c r="M175" s="10">
        <v>63.785889456714656</v>
      </c>
      <c r="N175" s="10">
        <v>-25.043861215377692</v>
      </c>
      <c r="O175" s="1" t="str">
        <f>HYPERLINK(".\sm_car_250418_1417\sm_car_250418_1417_174_Ca004TrN_MaTUR_ode3_1.png","figure")</f>
        <v>figure</v>
      </c>
      <c r="P175" t="s">
        <v>15</v>
      </c>
    </row>
    <row r="176" spans="1:16" x14ac:dyDescent="0.25">
      <c r="A176">
        <v>175</v>
      </c>
      <c r="B176">
        <v>116</v>
      </c>
      <c r="C176" t="s">
        <v>16</v>
      </c>
      <c r="D176" t="s">
        <v>35</v>
      </c>
      <c r="E176" t="s">
        <v>18</v>
      </c>
      <c r="F176" t="s">
        <v>28</v>
      </c>
      <c r="G176" t="s">
        <v>20</v>
      </c>
      <c r="H176" t="s">
        <v>21</v>
      </c>
      <c r="I176" t="s">
        <v>22</v>
      </c>
      <c r="J176" t="s">
        <v>63</v>
      </c>
      <c r="K176">
        <v>3244</v>
      </c>
      <c r="L176" s="10">
        <v>3.7948537</v>
      </c>
      <c r="M176" s="10">
        <v>242.70379428436041</v>
      </c>
      <c r="N176" s="10">
        <v>0.23327324309701689</v>
      </c>
      <c r="O176" s="1" t="str">
        <f>HYPERLINK(".\sm_car_250418_1417\sm_car_250418_1417_175_Ca116TrN_MaWOT_ode3_1.png","figure")</f>
        <v>figure</v>
      </c>
      <c r="P176" t="s">
        <v>15</v>
      </c>
    </row>
    <row r="177" spans="1:16" x14ac:dyDescent="0.25">
      <c r="A177">
        <v>176</v>
      </c>
      <c r="B177">
        <v>116</v>
      </c>
      <c r="C177" t="s">
        <v>16</v>
      </c>
      <c r="D177" t="s">
        <v>35</v>
      </c>
      <c r="E177" t="s">
        <v>18</v>
      </c>
      <c r="F177" t="s">
        <v>28</v>
      </c>
      <c r="G177" t="s">
        <v>20</v>
      </c>
      <c r="H177" t="s">
        <v>21</v>
      </c>
      <c r="I177" t="s">
        <v>24</v>
      </c>
      <c r="J177" t="s">
        <v>63</v>
      </c>
      <c r="K177">
        <v>2564</v>
      </c>
      <c r="L177" s="10">
        <v>3.1696705000000001</v>
      </c>
      <c r="M177" s="10">
        <v>74.659491982450774</v>
      </c>
      <c r="N177" s="10">
        <v>-0.34093758006291858</v>
      </c>
      <c r="O177" s="1" t="str">
        <f>HYPERLINK(".\sm_car_250418_1417\sm_car_250418_1417_176_Ca116TrN_MaLSS_ode3_1.png","figure")</f>
        <v>figure</v>
      </c>
      <c r="P177" t="s">
        <v>15</v>
      </c>
    </row>
    <row r="178" spans="1:16" x14ac:dyDescent="0.25">
      <c r="A178">
        <v>177</v>
      </c>
      <c r="B178">
        <v>116</v>
      </c>
      <c r="C178" t="s">
        <v>16</v>
      </c>
      <c r="D178" t="s">
        <v>35</v>
      </c>
      <c r="E178" t="s">
        <v>18</v>
      </c>
      <c r="F178" t="s">
        <v>28</v>
      </c>
      <c r="G178" t="s">
        <v>20</v>
      </c>
      <c r="H178" t="s">
        <v>21</v>
      </c>
      <c r="I178" t="s">
        <v>64</v>
      </c>
      <c r="J178" t="s">
        <v>63</v>
      </c>
      <c r="K178">
        <v>2563</v>
      </c>
      <c r="L178" s="10">
        <v>3.227487</v>
      </c>
      <c r="M178" s="10">
        <v>71.32397117118802</v>
      </c>
      <c r="N178" s="10">
        <v>-17.591551103430934</v>
      </c>
      <c r="O178" s="1" t="str">
        <f>HYPERLINK(".\sm_car_250418_1417\sm_car_250418_1417_177_Ca116TrN_MaTUR_ode3_1.png","figure")</f>
        <v>figure</v>
      </c>
      <c r="P178" t="s">
        <v>15</v>
      </c>
    </row>
    <row r="179" spans="1:16" x14ac:dyDescent="0.25">
      <c r="A179">
        <v>178</v>
      </c>
      <c r="B179">
        <v>124</v>
      </c>
      <c r="C179" t="s">
        <v>16</v>
      </c>
      <c r="D179" t="s">
        <v>35</v>
      </c>
      <c r="E179" t="s">
        <v>49</v>
      </c>
      <c r="F179" t="s">
        <v>28</v>
      </c>
      <c r="G179" t="s">
        <v>20</v>
      </c>
      <c r="H179" t="s">
        <v>21</v>
      </c>
      <c r="I179" t="s">
        <v>22</v>
      </c>
      <c r="J179" t="s">
        <v>63</v>
      </c>
      <c r="K179">
        <v>3244</v>
      </c>
      <c r="L179" s="10">
        <v>2.0424669</v>
      </c>
      <c r="M179" s="10">
        <v>242.88013068819623</v>
      </c>
      <c r="N179" s="10">
        <v>0.23307974035338433</v>
      </c>
      <c r="O179" s="1" t="str">
        <f>HYPERLINK(".\sm_car_250418_1417\sm_car_250418_1417_178_Ca124TrN_MaWOT_ode3_1.png","figure")</f>
        <v>figure</v>
      </c>
      <c r="P179" t="s">
        <v>15</v>
      </c>
    </row>
    <row r="180" spans="1:16" x14ac:dyDescent="0.25">
      <c r="A180">
        <v>179</v>
      </c>
      <c r="B180">
        <v>124</v>
      </c>
      <c r="C180" t="s">
        <v>16</v>
      </c>
      <c r="D180" t="s">
        <v>35</v>
      </c>
      <c r="E180" t="s">
        <v>49</v>
      </c>
      <c r="F180" t="s">
        <v>28</v>
      </c>
      <c r="G180" t="s">
        <v>20</v>
      </c>
      <c r="H180" t="s">
        <v>21</v>
      </c>
      <c r="I180" t="s">
        <v>24</v>
      </c>
      <c r="J180" t="s">
        <v>63</v>
      </c>
      <c r="K180">
        <v>2565</v>
      </c>
      <c r="L180" s="10">
        <v>1.7503248</v>
      </c>
      <c r="M180" s="10">
        <v>74.798394612599097</v>
      </c>
      <c r="N180" s="10">
        <v>-0.34251622055333664</v>
      </c>
      <c r="O180" s="1" t="str">
        <f>HYPERLINK(".\sm_car_250418_1417\sm_car_250418_1417_179_Ca124TrN_MaLSS_ode3_1.png","figure")</f>
        <v>figure</v>
      </c>
      <c r="P180" t="s">
        <v>15</v>
      </c>
    </row>
    <row r="181" spans="1:16" x14ac:dyDescent="0.25">
      <c r="A181">
        <v>180</v>
      </c>
      <c r="B181">
        <v>124</v>
      </c>
      <c r="C181" t="s">
        <v>16</v>
      </c>
      <c r="D181" t="s">
        <v>35</v>
      </c>
      <c r="E181" t="s">
        <v>49</v>
      </c>
      <c r="F181" t="s">
        <v>28</v>
      </c>
      <c r="G181" t="s">
        <v>20</v>
      </c>
      <c r="H181" t="s">
        <v>21</v>
      </c>
      <c r="I181" t="s">
        <v>64</v>
      </c>
      <c r="J181" t="s">
        <v>63</v>
      </c>
      <c r="K181">
        <v>2564</v>
      </c>
      <c r="L181" s="10">
        <v>1.7367037000000001</v>
      </c>
      <c r="M181" s="10">
        <v>71.449352968456878</v>
      </c>
      <c r="N181" s="10">
        <v>-17.63759605520924</v>
      </c>
      <c r="O181" s="1" t="str">
        <f>HYPERLINK(".\sm_car_250418_1417\sm_car_250418_1417_180_Ca124TrN_MaTUR_ode3_1.png","figure")</f>
        <v>figure</v>
      </c>
      <c r="P181" t="s">
        <v>15</v>
      </c>
    </row>
    <row r="182" spans="1:16" x14ac:dyDescent="0.25">
      <c r="A182">
        <v>181</v>
      </c>
      <c r="B182">
        <v>141</v>
      </c>
      <c r="C182" t="s">
        <v>45</v>
      </c>
      <c r="D182" t="s">
        <v>17</v>
      </c>
      <c r="E182" t="s">
        <v>18</v>
      </c>
      <c r="F182" t="s">
        <v>28</v>
      </c>
      <c r="G182" t="s">
        <v>26</v>
      </c>
      <c r="H182" t="s">
        <v>21</v>
      </c>
      <c r="I182" t="s">
        <v>22</v>
      </c>
      <c r="J182" t="s">
        <v>63</v>
      </c>
      <c r="K182">
        <v>3837</v>
      </c>
      <c r="L182" s="10">
        <v>12.3491809</v>
      </c>
      <c r="M182" s="10">
        <v>405.30632134098971</v>
      </c>
      <c r="N182" s="10">
        <v>1.5698091306818172</v>
      </c>
      <c r="O182" s="1" t="str">
        <f>HYPERLINK(".\sm_car_250418_1417\sm_car_250418_1417_181_Ca141TrN_MaWOT_ode3_1.png","figure")</f>
        <v>figure</v>
      </c>
      <c r="P182" t="s">
        <v>15</v>
      </c>
    </row>
    <row r="183" spans="1:16" x14ac:dyDescent="0.25">
      <c r="A183">
        <v>182</v>
      </c>
      <c r="B183">
        <v>141</v>
      </c>
      <c r="C183" t="s">
        <v>45</v>
      </c>
      <c r="D183" t="s">
        <v>17</v>
      </c>
      <c r="E183" t="s">
        <v>18</v>
      </c>
      <c r="F183" t="s">
        <v>28</v>
      </c>
      <c r="G183" t="s">
        <v>26</v>
      </c>
      <c r="H183" t="s">
        <v>21</v>
      </c>
      <c r="I183" t="s">
        <v>24</v>
      </c>
      <c r="J183" t="s">
        <v>63</v>
      </c>
      <c r="K183">
        <v>3192</v>
      </c>
      <c r="L183" s="10">
        <v>10.5111747</v>
      </c>
      <c r="M183" s="10">
        <v>154.47541568033628</v>
      </c>
      <c r="N183" s="10">
        <v>-0.58371011900857728</v>
      </c>
      <c r="O183" s="1" t="str">
        <f>HYPERLINK(".\sm_car_250418_1417\sm_car_250418_1417_182_Ca141TrN_MaLSS_ode3_1.png","figure")</f>
        <v>figure</v>
      </c>
      <c r="P183" t="s">
        <v>15</v>
      </c>
    </row>
    <row r="184" spans="1:16" x14ac:dyDescent="0.25">
      <c r="A184">
        <v>183</v>
      </c>
      <c r="B184">
        <v>141</v>
      </c>
      <c r="C184" t="s">
        <v>45</v>
      </c>
      <c r="D184" t="s">
        <v>17</v>
      </c>
      <c r="E184" t="s">
        <v>18</v>
      </c>
      <c r="F184" t="s">
        <v>28</v>
      </c>
      <c r="G184" t="s">
        <v>26</v>
      </c>
      <c r="H184" t="s">
        <v>21</v>
      </c>
      <c r="I184" t="s">
        <v>64</v>
      </c>
      <c r="J184" t="s">
        <v>63</v>
      </c>
      <c r="K184">
        <v>3160</v>
      </c>
      <c r="L184" s="10">
        <v>10.358203899999999</v>
      </c>
      <c r="M184" s="10">
        <v>98.346090981500524</v>
      </c>
      <c r="N184" s="10">
        <v>-87.528834297812338</v>
      </c>
      <c r="O184" s="1" t="str">
        <f>HYPERLINK(".\sm_car_250418_1417\sm_car_250418_1417_183_Ca141TrN_MaTUR_ode3_1.png","figure")</f>
        <v>figure</v>
      </c>
      <c r="P184" t="s">
        <v>15</v>
      </c>
    </row>
    <row r="185" spans="1:16" x14ac:dyDescent="0.25">
      <c r="A185">
        <v>184</v>
      </c>
      <c r="B185">
        <v>145</v>
      </c>
      <c r="C185" t="s">
        <v>46</v>
      </c>
      <c r="D185" t="s">
        <v>17</v>
      </c>
      <c r="E185" t="s">
        <v>50</v>
      </c>
      <c r="F185" t="s">
        <v>19</v>
      </c>
      <c r="G185" t="s">
        <v>26</v>
      </c>
      <c r="H185" t="s">
        <v>21</v>
      </c>
      <c r="I185" t="s">
        <v>22</v>
      </c>
      <c r="J185" t="s">
        <v>63</v>
      </c>
      <c r="K185">
        <v>2853</v>
      </c>
      <c r="L185" s="10">
        <v>7.7948275999999996</v>
      </c>
      <c r="M185" s="10">
        <v>96.209734937531749</v>
      </c>
      <c r="N185" s="10">
        <v>-6.267196090237806E-2</v>
      </c>
      <c r="O185" s="1" t="str">
        <f>HYPERLINK(".\sm_car_250418_1417\sm_car_250418_1417_184_Ca145TrN_MaWOT_ode3_1.png","figure")</f>
        <v>figure</v>
      </c>
      <c r="P185" t="s">
        <v>15</v>
      </c>
    </row>
    <row r="186" spans="1:16" x14ac:dyDescent="0.25">
      <c r="A186">
        <v>185</v>
      </c>
      <c r="B186">
        <v>145</v>
      </c>
      <c r="C186" t="s">
        <v>46</v>
      </c>
      <c r="D186" t="s">
        <v>17</v>
      </c>
      <c r="E186" t="s">
        <v>50</v>
      </c>
      <c r="F186" t="s">
        <v>19</v>
      </c>
      <c r="G186" t="s">
        <v>26</v>
      </c>
      <c r="H186" t="s">
        <v>21</v>
      </c>
      <c r="I186" t="s">
        <v>24</v>
      </c>
      <c r="J186" t="s">
        <v>63</v>
      </c>
      <c r="K186">
        <v>2379</v>
      </c>
      <c r="L186" s="10">
        <v>6.4783540000000004</v>
      </c>
      <c r="M186" s="10">
        <v>25.345762646727398</v>
      </c>
      <c r="N186" s="10">
        <v>-5.5549882979105167E-2</v>
      </c>
      <c r="O186" s="1" t="str">
        <f>HYPERLINK(".\sm_car_250418_1417\sm_car_250418_1417_185_Ca145TrN_MaLSS_ode3_1.png","figure")</f>
        <v>figure</v>
      </c>
      <c r="P186" t="s">
        <v>15</v>
      </c>
    </row>
    <row r="187" spans="1:16" x14ac:dyDescent="0.25">
      <c r="A187">
        <v>186</v>
      </c>
      <c r="B187">
        <v>145</v>
      </c>
      <c r="C187" t="s">
        <v>46</v>
      </c>
      <c r="D187" t="s">
        <v>17</v>
      </c>
      <c r="E187" t="s">
        <v>50</v>
      </c>
      <c r="F187" t="s">
        <v>19</v>
      </c>
      <c r="G187" t="s">
        <v>26</v>
      </c>
      <c r="H187" t="s">
        <v>21</v>
      </c>
      <c r="I187" t="s">
        <v>64</v>
      </c>
      <c r="J187" t="s">
        <v>63</v>
      </c>
      <c r="K187">
        <v>2379</v>
      </c>
      <c r="L187" s="10">
        <v>6.5279575000000003</v>
      </c>
      <c r="M187" s="10">
        <v>25.185874460694613</v>
      </c>
      <c r="N187" s="10">
        <v>-2.6261505152515299</v>
      </c>
      <c r="O187" s="1" t="str">
        <f>HYPERLINK(".\sm_car_250418_1417\sm_car_250418_1417_186_Ca145TrN_MaTUR_ode3_1.png","figure")</f>
        <v>figure</v>
      </c>
      <c r="P187" t="s">
        <v>15</v>
      </c>
    </row>
    <row r="188" spans="1:16" x14ac:dyDescent="0.25">
      <c r="A188">
        <v>187</v>
      </c>
      <c r="B188">
        <v>199</v>
      </c>
      <c r="C188" t="s">
        <v>46</v>
      </c>
      <c r="D188" t="s">
        <v>17</v>
      </c>
      <c r="E188" t="s">
        <v>109</v>
      </c>
      <c r="F188" t="s">
        <v>19</v>
      </c>
      <c r="G188" t="s">
        <v>26</v>
      </c>
      <c r="H188" t="s">
        <v>21</v>
      </c>
      <c r="I188" t="s">
        <v>22</v>
      </c>
      <c r="J188" t="s">
        <v>63</v>
      </c>
      <c r="K188">
        <v>2856</v>
      </c>
      <c r="L188" s="10">
        <v>8.6752015</v>
      </c>
      <c r="M188" s="10">
        <v>96.879165595756135</v>
      </c>
      <c r="N188" s="10">
        <v>0.14650826690958887</v>
      </c>
      <c r="O188" s="1" t="str">
        <f>HYPERLINK(".\sm_car_250418_1417\sm_car_250418_1417_187_Ca199TrN_MaWOT_ode3_1.png","figure")</f>
        <v>figure</v>
      </c>
      <c r="P188" t="s">
        <v>15</v>
      </c>
    </row>
    <row r="189" spans="1:16" x14ac:dyDescent="0.25">
      <c r="A189">
        <v>188</v>
      </c>
      <c r="B189">
        <v>199</v>
      </c>
      <c r="C189" t="s">
        <v>46</v>
      </c>
      <c r="D189" t="s">
        <v>17</v>
      </c>
      <c r="E189" t="s">
        <v>109</v>
      </c>
      <c r="F189" t="s">
        <v>19</v>
      </c>
      <c r="G189" t="s">
        <v>26</v>
      </c>
      <c r="H189" t="s">
        <v>21</v>
      </c>
      <c r="I189" t="s">
        <v>24</v>
      </c>
      <c r="J189" t="s">
        <v>63</v>
      </c>
      <c r="K189">
        <v>2380</v>
      </c>
      <c r="L189" s="10">
        <v>7.3462563999999997</v>
      </c>
      <c r="M189" s="10">
        <v>25.9612911226432</v>
      </c>
      <c r="N189" s="10">
        <v>-2.853913738918145E-2</v>
      </c>
      <c r="O189" s="1" t="str">
        <f>HYPERLINK(".\sm_car_250418_1417\sm_car_250418_1417_188_Ca199TrN_MaLSS_ode3_1.png","figure")</f>
        <v>figure</v>
      </c>
      <c r="P189" t="s">
        <v>15</v>
      </c>
    </row>
    <row r="190" spans="1:16" x14ac:dyDescent="0.25">
      <c r="A190">
        <v>189</v>
      </c>
      <c r="B190">
        <v>199</v>
      </c>
      <c r="C190" t="s">
        <v>46</v>
      </c>
      <c r="D190" t="s">
        <v>17</v>
      </c>
      <c r="E190" t="s">
        <v>109</v>
      </c>
      <c r="F190" t="s">
        <v>19</v>
      </c>
      <c r="G190" t="s">
        <v>26</v>
      </c>
      <c r="H190" t="s">
        <v>21</v>
      </c>
      <c r="I190" t="s">
        <v>64</v>
      </c>
      <c r="J190" t="s">
        <v>63</v>
      </c>
      <c r="K190">
        <v>2383</v>
      </c>
      <c r="L190" s="10">
        <v>7.2189202000000003</v>
      </c>
      <c r="M190" s="10">
        <v>25.75433499239567</v>
      </c>
      <c r="N190" s="10">
        <v>-2.6782096308669661</v>
      </c>
      <c r="O190" s="1" t="str">
        <f>HYPERLINK(".\sm_car_250418_1417\sm_car_250418_1417_189_Ca199TrN_MaTUR_ode3_1.png","figure")</f>
        <v>figure</v>
      </c>
      <c r="P190" t="s">
        <v>15</v>
      </c>
    </row>
    <row r="191" spans="1:16" x14ac:dyDescent="0.25">
      <c r="A191">
        <v>190</v>
      </c>
      <c r="B191">
        <v>139</v>
      </c>
      <c r="C191" t="s">
        <v>45</v>
      </c>
      <c r="D191" t="s">
        <v>17</v>
      </c>
      <c r="E191" t="s">
        <v>18</v>
      </c>
      <c r="F191" t="s">
        <v>19</v>
      </c>
      <c r="G191" t="s">
        <v>26</v>
      </c>
      <c r="H191" t="s">
        <v>21</v>
      </c>
      <c r="I191" t="s">
        <v>53</v>
      </c>
      <c r="J191" t="s">
        <v>23</v>
      </c>
      <c r="K191">
        <v>570</v>
      </c>
      <c r="L191" s="10">
        <v>10.4858396</v>
      </c>
      <c r="M191" s="10">
        <v>254.02700193034633</v>
      </c>
      <c r="N191" s="10">
        <v>-5.9064159350268319E-3</v>
      </c>
      <c r="O191" s="1" t="str">
        <f>HYPERLINK(".\sm_car_250418_1417\sm_car_250418_1417_190_Ca139TrN_MaDLC_ode23t_1.png","figure")</f>
        <v>figure</v>
      </c>
      <c r="P191" t="s">
        <v>15</v>
      </c>
    </row>
    <row r="192" spans="1:16" x14ac:dyDescent="0.25">
      <c r="A192">
        <v>191</v>
      </c>
      <c r="B192">
        <v>139</v>
      </c>
      <c r="C192" t="s">
        <v>45</v>
      </c>
      <c r="D192" t="s">
        <v>17</v>
      </c>
      <c r="E192" t="s">
        <v>18</v>
      </c>
      <c r="F192" t="s">
        <v>19</v>
      </c>
      <c r="G192" t="s">
        <v>26</v>
      </c>
      <c r="H192" t="s">
        <v>65</v>
      </c>
      <c r="I192" t="s">
        <v>53</v>
      </c>
      <c r="J192" t="s">
        <v>23</v>
      </c>
      <c r="K192">
        <v>864</v>
      </c>
      <c r="L192" s="10">
        <v>29.333955700000001</v>
      </c>
      <c r="M192" s="10">
        <v>253.2261241208688</v>
      </c>
      <c r="N192" s="10">
        <v>0.19334901456248055</v>
      </c>
      <c r="O192" s="1" t="str">
        <f>HYPERLINK(".\sm_car_250418_1417\sm_car_250418_1417_191_Ca139TrE_MaDLC_ode23t_1.png","figure")</f>
        <v>figure</v>
      </c>
      <c r="P192" t="s">
        <v>15</v>
      </c>
    </row>
    <row r="193" spans="1:16" x14ac:dyDescent="0.25">
      <c r="A193">
        <v>192</v>
      </c>
      <c r="B193">
        <v>139</v>
      </c>
      <c r="C193" t="s">
        <v>45</v>
      </c>
      <c r="D193" t="s">
        <v>17</v>
      </c>
      <c r="E193" t="s">
        <v>18</v>
      </c>
      <c r="F193" t="s">
        <v>19</v>
      </c>
      <c r="G193" t="s">
        <v>26</v>
      </c>
      <c r="H193" t="s">
        <v>66</v>
      </c>
      <c r="I193" t="s">
        <v>53</v>
      </c>
      <c r="J193" t="s">
        <v>23</v>
      </c>
      <c r="K193">
        <v>977</v>
      </c>
      <c r="L193" s="10">
        <v>35.271655600000003</v>
      </c>
      <c r="M193" s="10">
        <v>254.10486715259066</v>
      </c>
      <c r="N193" s="10">
        <v>-6.1138806465441675E-3</v>
      </c>
      <c r="O193" s="1" t="str">
        <f>HYPERLINK(".\sm_car_250418_1417\sm_car_250418_1417_192_Ca139TrT_MaDLC_ode23t_1.png","figure")</f>
        <v>figure</v>
      </c>
      <c r="P193" t="s">
        <v>15</v>
      </c>
    </row>
    <row r="194" spans="1:16" x14ac:dyDescent="0.25">
      <c r="A194">
        <v>193</v>
      </c>
      <c r="B194">
        <v>139</v>
      </c>
      <c r="C194" t="s">
        <v>45</v>
      </c>
      <c r="D194" t="s">
        <v>17</v>
      </c>
      <c r="E194" t="s">
        <v>18</v>
      </c>
      <c r="F194" t="s">
        <v>19</v>
      </c>
      <c r="G194" t="s">
        <v>26</v>
      </c>
      <c r="H194" t="s">
        <v>65</v>
      </c>
      <c r="I194" t="s">
        <v>53</v>
      </c>
      <c r="J194" t="s">
        <v>23</v>
      </c>
      <c r="K194">
        <v>801</v>
      </c>
      <c r="L194" s="10">
        <v>21.627379300000001</v>
      </c>
      <c r="M194" s="10">
        <v>254.13169819863589</v>
      </c>
      <c r="N194" s="10">
        <v>1.1753048177703729E-2</v>
      </c>
      <c r="O194" s="1" t="str">
        <f>HYPERLINK(".\sm_car_250418_1417\sm_car_250418_1417_193_Ca139TrE_MaDLC_ode23t_1.png","figure")</f>
        <v>figure</v>
      </c>
      <c r="P194" t="s">
        <v>15</v>
      </c>
    </row>
    <row r="195" spans="1:16" x14ac:dyDescent="0.25">
      <c r="A195">
        <v>194</v>
      </c>
      <c r="B195">
        <v>2</v>
      </c>
      <c r="C195" t="s">
        <v>16</v>
      </c>
      <c r="D195" t="s">
        <v>17</v>
      </c>
      <c r="E195" t="s">
        <v>18</v>
      </c>
      <c r="F195" t="s">
        <v>19</v>
      </c>
      <c r="G195" t="s">
        <v>26</v>
      </c>
      <c r="H195" t="s">
        <v>21</v>
      </c>
      <c r="I195" t="s">
        <v>53</v>
      </c>
      <c r="J195" t="s">
        <v>23</v>
      </c>
      <c r="K195">
        <v>632</v>
      </c>
      <c r="L195" s="10">
        <v>9.8147722999999996</v>
      </c>
      <c r="M195" s="10">
        <v>253.93219761836883</v>
      </c>
      <c r="N195" s="10">
        <v>3.3284079741857653E-3</v>
      </c>
      <c r="O195" s="1" t="str">
        <f>HYPERLINK(".\sm_car_250418_1417\sm_car_250418_1417_194_Ca002TrN_MaDLC_ode23t_1.png","figure")</f>
        <v>figure</v>
      </c>
      <c r="P195" t="s">
        <v>15</v>
      </c>
    </row>
    <row r="196" spans="1:16" x14ac:dyDescent="0.25">
      <c r="A196">
        <v>195</v>
      </c>
      <c r="B196">
        <v>2</v>
      </c>
      <c r="C196" t="s">
        <v>16</v>
      </c>
      <c r="D196" t="s">
        <v>17</v>
      </c>
      <c r="E196" t="s">
        <v>18</v>
      </c>
      <c r="F196" t="s">
        <v>19</v>
      </c>
      <c r="G196" t="s">
        <v>26</v>
      </c>
      <c r="H196" t="s">
        <v>65</v>
      </c>
      <c r="I196" t="s">
        <v>53</v>
      </c>
      <c r="J196" t="s">
        <v>23</v>
      </c>
      <c r="K196">
        <v>802</v>
      </c>
      <c r="L196" s="10">
        <v>22.367147800000001</v>
      </c>
      <c r="M196" s="10">
        <v>253.31495939309167</v>
      </c>
      <c r="N196" s="10">
        <v>3.6687214408255286E-3</v>
      </c>
      <c r="O196" s="1" t="str">
        <f>HYPERLINK(".\sm_car_250418_1417\sm_car_250418_1417_195_Ca002TrE_MaDLC_ode23t_1.png","figure")</f>
        <v>figure</v>
      </c>
      <c r="P196" t="s">
        <v>15</v>
      </c>
    </row>
    <row r="197" spans="1:16" x14ac:dyDescent="0.25">
      <c r="A197">
        <v>196</v>
      </c>
      <c r="B197">
        <v>2</v>
      </c>
      <c r="C197" t="s">
        <v>16</v>
      </c>
      <c r="D197" t="s">
        <v>17</v>
      </c>
      <c r="E197" t="s">
        <v>18</v>
      </c>
      <c r="F197" t="s">
        <v>19</v>
      </c>
      <c r="G197" t="s">
        <v>26</v>
      </c>
      <c r="H197" t="s">
        <v>66</v>
      </c>
      <c r="I197" t="s">
        <v>53</v>
      </c>
      <c r="J197" t="s">
        <v>23</v>
      </c>
      <c r="K197">
        <v>899</v>
      </c>
      <c r="L197" s="10">
        <v>22.083031600000002</v>
      </c>
      <c r="M197" s="10">
        <v>254.41834753361388</v>
      </c>
      <c r="N197" s="10">
        <v>3.0998447615155911E-3</v>
      </c>
      <c r="O197" s="1" t="str">
        <f>HYPERLINK(".\sm_car_250418_1417\sm_car_250418_1417_196_Ca002TrT_MaDLC_ode23t_1.png","figure")</f>
        <v>figure</v>
      </c>
      <c r="P197" t="s">
        <v>15</v>
      </c>
    </row>
    <row r="198" spans="1:16" x14ac:dyDescent="0.25">
      <c r="A198">
        <v>197</v>
      </c>
      <c r="B198">
        <v>2</v>
      </c>
      <c r="C198" t="s">
        <v>16</v>
      </c>
      <c r="D198" t="s">
        <v>17</v>
      </c>
      <c r="E198" t="s">
        <v>18</v>
      </c>
      <c r="F198" t="s">
        <v>19</v>
      </c>
      <c r="G198" t="s">
        <v>26</v>
      </c>
      <c r="H198" t="s">
        <v>65</v>
      </c>
      <c r="I198" t="s">
        <v>53</v>
      </c>
      <c r="J198" t="s">
        <v>23</v>
      </c>
      <c r="K198">
        <v>787</v>
      </c>
      <c r="L198" s="10">
        <v>16.3440206</v>
      </c>
      <c r="M198" s="10">
        <v>253.84060372137526</v>
      </c>
      <c r="N198" s="10">
        <v>3.3799162863408228E-3</v>
      </c>
      <c r="O198" s="1" t="str">
        <f>HYPERLINK(".\sm_car_250418_1417\sm_car_250418_1417_197_Ca002TrE_MaDLC_ode23t_1.png","figure")</f>
        <v>figure</v>
      </c>
      <c r="P198" t="s">
        <v>15</v>
      </c>
    </row>
    <row r="199" spans="1:16" x14ac:dyDescent="0.25">
      <c r="A199">
        <v>198</v>
      </c>
      <c r="B199">
        <v>145</v>
      </c>
      <c r="C199" t="s">
        <v>46</v>
      </c>
      <c r="D199" t="s">
        <v>17</v>
      </c>
      <c r="E199" t="s">
        <v>50</v>
      </c>
      <c r="F199" t="s">
        <v>19</v>
      </c>
      <c r="G199" t="s">
        <v>26</v>
      </c>
      <c r="H199" t="s">
        <v>21</v>
      </c>
      <c r="I199" t="s">
        <v>53</v>
      </c>
      <c r="J199" t="s">
        <v>23</v>
      </c>
      <c r="K199">
        <v>484</v>
      </c>
      <c r="L199" s="10">
        <v>17.5405759</v>
      </c>
      <c r="M199" s="10">
        <v>254.11313395382348</v>
      </c>
      <c r="N199" s="10">
        <v>4.591014302556129E-2</v>
      </c>
      <c r="O199" s="1" t="str">
        <f>HYPERLINK(".\sm_car_250418_1417\sm_car_250418_1417_198_Ca145TrN_MaDLC_ode23t_1.png","figure")</f>
        <v>figure</v>
      </c>
      <c r="P199" t="s">
        <v>15</v>
      </c>
    </row>
    <row r="200" spans="1:16" x14ac:dyDescent="0.25">
      <c r="A200">
        <v>199</v>
      </c>
      <c r="B200">
        <v>145</v>
      </c>
      <c r="C200" t="s">
        <v>46</v>
      </c>
      <c r="D200" t="s">
        <v>17</v>
      </c>
      <c r="E200" t="s">
        <v>50</v>
      </c>
      <c r="F200" t="s">
        <v>19</v>
      </c>
      <c r="G200" t="s">
        <v>26</v>
      </c>
      <c r="H200" t="s">
        <v>65</v>
      </c>
      <c r="I200" t="s">
        <v>53</v>
      </c>
      <c r="J200" t="s">
        <v>23</v>
      </c>
      <c r="K200">
        <v>558</v>
      </c>
      <c r="L200" s="10">
        <v>32.087227400000003</v>
      </c>
      <c r="M200" s="10">
        <v>253.69355896064707</v>
      </c>
      <c r="N200" s="10">
        <v>4.788834147290677E-2</v>
      </c>
      <c r="O200" s="1" t="str">
        <f>HYPERLINK(".\sm_car_250418_1417\sm_car_250418_1417_199_Ca145TrE_MaDLC_ode23t_1.png","figure")</f>
        <v>figure</v>
      </c>
      <c r="P200" t="s">
        <v>15</v>
      </c>
    </row>
    <row r="201" spans="1:16" x14ac:dyDescent="0.25">
      <c r="A201">
        <v>200</v>
      </c>
      <c r="B201">
        <v>145</v>
      </c>
      <c r="C201" t="s">
        <v>46</v>
      </c>
      <c r="D201" t="s">
        <v>17</v>
      </c>
      <c r="E201" t="s">
        <v>50</v>
      </c>
      <c r="F201" t="s">
        <v>19</v>
      </c>
      <c r="G201" t="s">
        <v>26</v>
      </c>
      <c r="H201" t="s">
        <v>66</v>
      </c>
      <c r="I201" t="s">
        <v>53</v>
      </c>
      <c r="J201" t="s">
        <v>23</v>
      </c>
      <c r="K201">
        <v>625</v>
      </c>
      <c r="L201" s="10">
        <v>35.892722499999998</v>
      </c>
      <c r="M201" s="10">
        <v>253.65253736905765</v>
      </c>
      <c r="N201" s="10">
        <v>4.7661088734946677E-2</v>
      </c>
      <c r="O201" s="1" t="str">
        <f>HYPERLINK(".\sm_car_250418_1417\sm_car_250418_1417_200_Ca145TrT_MaDLC_ode23t_1.png","figure")</f>
        <v>figure</v>
      </c>
      <c r="P201" t="s">
        <v>15</v>
      </c>
    </row>
    <row r="202" spans="1:16" x14ac:dyDescent="0.25">
      <c r="A202">
        <v>201</v>
      </c>
      <c r="B202">
        <v>145</v>
      </c>
      <c r="C202" t="s">
        <v>46</v>
      </c>
      <c r="D202" t="s">
        <v>17</v>
      </c>
      <c r="E202" t="s">
        <v>50</v>
      </c>
      <c r="F202" t="s">
        <v>19</v>
      </c>
      <c r="G202" t="s">
        <v>26</v>
      </c>
      <c r="H202" t="s">
        <v>65</v>
      </c>
      <c r="I202" t="s">
        <v>53</v>
      </c>
      <c r="J202" t="s">
        <v>23</v>
      </c>
      <c r="K202">
        <v>555</v>
      </c>
      <c r="L202" s="10">
        <v>28.520797999999999</v>
      </c>
      <c r="M202" s="10">
        <v>253.78261153840003</v>
      </c>
      <c r="N202" s="10">
        <v>4.753599960096544E-2</v>
      </c>
      <c r="O202" s="1" t="str">
        <f>HYPERLINK(".\sm_car_250418_1417\sm_car_250418_1417_201_Ca145TrE_MaDLC_ode23t_1.png","figure")</f>
        <v>figure</v>
      </c>
      <c r="P202" t="s">
        <v>15</v>
      </c>
    </row>
    <row r="203" spans="1:16" x14ac:dyDescent="0.25">
      <c r="A203">
        <v>202</v>
      </c>
      <c r="B203">
        <v>199</v>
      </c>
      <c r="C203" t="s">
        <v>46</v>
      </c>
      <c r="D203" t="s">
        <v>17</v>
      </c>
      <c r="E203" t="s">
        <v>109</v>
      </c>
      <c r="F203" t="s">
        <v>19</v>
      </c>
      <c r="G203" t="s">
        <v>26</v>
      </c>
      <c r="H203" t="s">
        <v>21</v>
      </c>
      <c r="I203" t="s">
        <v>53</v>
      </c>
      <c r="J203" t="s">
        <v>23</v>
      </c>
      <c r="K203">
        <v>483</v>
      </c>
      <c r="L203" s="10">
        <v>7.4954163999999999</v>
      </c>
      <c r="M203" s="10">
        <v>255.34538873348754</v>
      </c>
      <c r="N203" s="10">
        <v>4.1471104794464697E-2</v>
      </c>
      <c r="O203" s="1" t="str">
        <f>HYPERLINK(".\sm_car_250418_1417\sm_car_250418_1417_202_Ca199TrN_MaDLC_ode23t_1.png","figure")</f>
        <v>figure</v>
      </c>
      <c r="P203" t="s">
        <v>15</v>
      </c>
    </row>
    <row r="204" spans="1:16" x14ac:dyDescent="0.25">
      <c r="A204">
        <v>203</v>
      </c>
      <c r="B204">
        <v>199</v>
      </c>
      <c r="C204" t="s">
        <v>46</v>
      </c>
      <c r="D204" t="s">
        <v>17</v>
      </c>
      <c r="E204" t="s">
        <v>109</v>
      </c>
      <c r="F204" t="s">
        <v>19</v>
      </c>
      <c r="G204" t="s">
        <v>26</v>
      </c>
      <c r="H204" t="s">
        <v>65</v>
      </c>
      <c r="I204" t="s">
        <v>53</v>
      </c>
      <c r="J204" t="s">
        <v>23</v>
      </c>
      <c r="K204">
        <v>556</v>
      </c>
      <c r="L204" s="10">
        <v>17.019163200000001</v>
      </c>
      <c r="M204" s="10">
        <v>253.87744384517646</v>
      </c>
      <c r="N204" s="10">
        <v>4.7151672925298538E-2</v>
      </c>
      <c r="O204" s="1" t="str">
        <f>HYPERLINK(".\sm_car_250418_1417\sm_car_250418_1417_203_Ca199TrE_MaDLC_ode23t_1.png","figure")</f>
        <v>figure</v>
      </c>
      <c r="P204" t="s">
        <v>15</v>
      </c>
    </row>
    <row r="205" spans="1:16" x14ac:dyDescent="0.25">
      <c r="A205">
        <v>204</v>
      </c>
      <c r="B205">
        <v>199</v>
      </c>
      <c r="C205" t="s">
        <v>46</v>
      </c>
      <c r="D205" t="s">
        <v>17</v>
      </c>
      <c r="E205" t="s">
        <v>109</v>
      </c>
      <c r="F205" t="s">
        <v>19</v>
      </c>
      <c r="G205" t="s">
        <v>26</v>
      </c>
      <c r="H205" t="s">
        <v>66</v>
      </c>
      <c r="I205" t="s">
        <v>53</v>
      </c>
      <c r="J205" t="s">
        <v>23</v>
      </c>
      <c r="K205">
        <v>745</v>
      </c>
      <c r="L205" s="10">
        <v>22.0461274</v>
      </c>
      <c r="M205" s="10">
        <v>254.08600751068769</v>
      </c>
      <c r="N205" s="10">
        <v>4.612378370586212E-2</v>
      </c>
      <c r="O205" s="1" t="str">
        <f>HYPERLINK(".\sm_car_250418_1417\sm_car_250418_1417_204_Ca199TrT_MaDLC_ode23t_1.png","figure")</f>
        <v>figure</v>
      </c>
      <c r="P205" t="s">
        <v>15</v>
      </c>
    </row>
    <row r="206" spans="1:16" x14ac:dyDescent="0.25">
      <c r="A206">
        <v>205</v>
      </c>
      <c r="B206">
        <v>199</v>
      </c>
      <c r="C206" t="s">
        <v>46</v>
      </c>
      <c r="D206" t="s">
        <v>17</v>
      </c>
      <c r="E206" t="s">
        <v>109</v>
      </c>
      <c r="F206" t="s">
        <v>19</v>
      </c>
      <c r="G206" t="s">
        <v>26</v>
      </c>
      <c r="H206" t="s">
        <v>65</v>
      </c>
      <c r="I206" t="s">
        <v>53</v>
      </c>
      <c r="J206" t="s">
        <v>23</v>
      </c>
      <c r="K206">
        <v>561</v>
      </c>
      <c r="L206" s="10">
        <v>12.611711400000001</v>
      </c>
      <c r="M206" s="10">
        <v>253.71691121205191</v>
      </c>
      <c r="N206" s="10">
        <v>4.7803744157552952E-2</v>
      </c>
      <c r="O206" s="1" t="str">
        <f>HYPERLINK(".\sm_car_250418_1417\sm_car_250418_1417_205_Ca199TrE_MaDLC_ode23t_1.png","figure")</f>
        <v>figure</v>
      </c>
      <c r="P206" t="s">
        <v>15</v>
      </c>
    </row>
    <row r="207" spans="1:16" x14ac:dyDescent="0.25">
      <c r="A207">
        <v>206</v>
      </c>
      <c r="B207">
        <v>189</v>
      </c>
      <c r="C207" t="s">
        <v>45</v>
      </c>
      <c r="D207" t="s">
        <v>17</v>
      </c>
      <c r="E207" t="s">
        <v>107</v>
      </c>
      <c r="F207" t="s">
        <v>19</v>
      </c>
      <c r="G207" t="s">
        <v>26</v>
      </c>
      <c r="H207" t="s">
        <v>65</v>
      </c>
      <c r="I207" t="s">
        <v>67</v>
      </c>
      <c r="J207" t="s">
        <v>23</v>
      </c>
      <c r="K207">
        <v>449</v>
      </c>
      <c r="L207" s="10">
        <v>10.0410918</v>
      </c>
      <c r="M207" s="10">
        <v>261.53496727850404</v>
      </c>
      <c r="N207" s="10">
        <v>1.2618397081411992E-3</v>
      </c>
      <c r="O207" s="1" t="str">
        <f>HYPERLINK(".\sm_car_250418_1417\sm_car_250418_1417_206_Ca189TrE_MaTRD_ode23t_1.png","figure")</f>
        <v>figure</v>
      </c>
      <c r="P207" t="s">
        <v>15</v>
      </c>
    </row>
    <row r="208" spans="1:16" x14ac:dyDescent="0.25">
      <c r="A208">
        <v>207</v>
      </c>
      <c r="B208">
        <v>189</v>
      </c>
      <c r="C208" t="s">
        <v>45</v>
      </c>
      <c r="D208" t="s">
        <v>17</v>
      </c>
      <c r="E208" t="s">
        <v>107</v>
      </c>
      <c r="F208" t="s">
        <v>19</v>
      </c>
      <c r="G208" t="s">
        <v>26</v>
      </c>
      <c r="H208" t="s">
        <v>65</v>
      </c>
      <c r="I208" t="s">
        <v>67</v>
      </c>
      <c r="J208" t="s">
        <v>23</v>
      </c>
      <c r="K208">
        <v>648</v>
      </c>
      <c r="L208" s="10">
        <v>13.4275991</v>
      </c>
      <c r="M208" s="10">
        <v>261.42730252361554</v>
      </c>
      <c r="N208" s="10">
        <v>-9.8450153328838663E-2</v>
      </c>
      <c r="O208" s="1" t="str">
        <f>HYPERLINK(".\sm_car_250418_1417\sm_car_250418_1417_207_Ca189TrU_MaTRD_ode23t_1.png","figure")</f>
        <v>figure</v>
      </c>
      <c r="P208" t="s">
        <v>15</v>
      </c>
    </row>
    <row r="209" spans="1:16" x14ac:dyDescent="0.25">
      <c r="A209">
        <v>208</v>
      </c>
      <c r="B209">
        <v>149</v>
      </c>
      <c r="C209" t="s">
        <v>46</v>
      </c>
      <c r="D209" t="s">
        <v>17</v>
      </c>
      <c r="E209" t="s">
        <v>68</v>
      </c>
      <c r="F209" t="s">
        <v>19</v>
      </c>
      <c r="G209" t="s">
        <v>26</v>
      </c>
      <c r="H209" t="s">
        <v>21</v>
      </c>
      <c r="I209" t="s">
        <v>69</v>
      </c>
      <c r="J209" t="s">
        <v>23</v>
      </c>
      <c r="K209">
        <v>608</v>
      </c>
      <c r="L209" s="10">
        <v>11.439530599999999</v>
      </c>
      <c r="M209" s="10">
        <v>-6.4757696716908342E-3</v>
      </c>
      <c r="N209" s="10">
        <v>-2.125529894857453E-3</v>
      </c>
      <c r="O209" s="1" t="str">
        <f>HYPERLINK(".\sm_car_250418_1417\sm_car_250418_1417_208_Ca149TrN_MaPST_ode23t_1.png","figure")</f>
        <v>figure</v>
      </c>
      <c r="P209" t="s">
        <v>15</v>
      </c>
    </row>
    <row r="210" spans="1:16" x14ac:dyDescent="0.25">
      <c r="A210">
        <v>209</v>
      </c>
      <c r="B210">
        <v>139</v>
      </c>
      <c r="C210" t="s">
        <v>45</v>
      </c>
      <c r="D210" t="s">
        <v>17</v>
      </c>
      <c r="E210" t="s">
        <v>18</v>
      </c>
      <c r="F210" t="s">
        <v>19</v>
      </c>
      <c r="G210" t="s">
        <v>26</v>
      </c>
      <c r="H210" t="s">
        <v>21</v>
      </c>
      <c r="I210" t="s">
        <v>70</v>
      </c>
      <c r="J210" t="s">
        <v>23</v>
      </c>
      <c r="K210">
        <v>1593</v>
      </c>
      <c r="L210" s="10">
        <v>39.021724399999997</v>
      </c>
      <c r="M210" s="10">
        <v>36.551554668111166</v>
      </c>
      <c r="N210" s="10">
        <v>0.34398663568985133</v>
      </c>
      <c r="O210" s="1" t="str">
        <f>HYPERLINK(".\sm_car_250418_1417\sm_car_250418_1417_209_Ca139TrN_MaSKD_ode23t_1.png","figure")</f>
        <v>figure</v>
      </c>
      <c r="P210" t="s">
        <v>15</v>
      </c>
    </row>
    <row r="211" spans="1:16" x14ac:dyDescent="0.25">
      <c r="A211">
        <v>210</v>
      </c>
      <c r="B211">
        <v>139</v>
      </c>
      <c r="C211" t="s">
        <v>45</v>
      </c>
      <c r="D211" t="s">
        <v>17</v>
      </c>
      <c r="E211" t="s">
        <v>18</v>
      </c>
      <c r="F211" t="s">
        <v>19</v>
      </c>
      <c r="G211" t="s">
        <v>26</v>
      </c>
      <c r="H211" t="s">
        <v>21</v>
      </c>
      <c r="I211" t="s">
        <v>71</v>
      </c>
      <c r="J211" t="s">
        <v>23</v>
      </c>
      <c r="K211">
        <v>1072</v>
      </c>
      <c r="L211" s="10">
        <v>30.889029499999999</v>
      </c>
      <c r="M211" s="10">
        <v>3.4945250718385381</v>
      </c>
      <c r="N211" s="10">
        <v>27.090711475537361</v>
      </c>
      <c r="O211" s="1" t="str">
        <f>HYPERLINK(".\sm_car_250418_1417\sm_car_250418_1417_210_Ca139TrN_MaRAD_ode23t_1.png","figure")</f>
        <v>figure</v>
      </c>
      <c r="P211" t="s">
        <v>15</v>
      </c>
    </row>
    <row r="212" spans="1:16" x14ac:dyDescent="0.25">
      <c r="A212">
        <v>211</v>
      </c>
      <c r="B212">
        <v>184</v>
      </c>
      <c r="C212" t="s">
        <v>105</v>
      </c>
      <c r="D212" t="s">
        <v>120</v>
      </c>
      <c r="E212" t="s">
        <v>49</v>
      </c>
      <c r="F212" t="s">
        <v>19</v>
      </c>
      <c r="G212" t="s">
        <v>20</v>
      </c>
      <c r="H212" t="s">
        <v>21</v>
      </c>
      <c r="I212" t="s">
        <v>70</v>
      </c>
      <c r="J212" t="s">
        <v>23</v>
      </c>
      <c r="K212">
        <v>1332</v>
      </c>
      <c r="L212" s="10">
        <v>50.299478000000001</v>
      </c>
      <c r="M212" s="10">
        <v>36.391780298168435</v>
      </c>
      <c r="N212" s="10">
        <v>0.24997603447338734</v>
      </c>
      <c r="O212" s="1" t="str">
        <f>HYPERLINK(".\sm_car_250418_1417\sm_car_250418_1417_211_Ca184TrN_MaSKD_ode23t_1.png","figure")</f>
        <v>figure</v>
      </c>
      <c r="P212" t="s">
        <v>15</v>
      </c>
    </row>
    <row r="213" spans="1:16" x14ac:dyDescent="0.25">
      <c r="A213">
        <v>212</v>
      </c>
      <c r="B213">
        <v>184</v>
      </c>
      <c r="C213" t="s">
        <v>105</v>
      </c>
      <c r="D213" t="s">
        <v>120</v>
      </c>
      <c r="E213" t="s">
        <v>49</v>
      </c>
      <c r="F213" t="s">
        <v>19</v>
      </c>
      <c r="G213" t="s">
        <v>20</v>
      </c>
      <c r="H213" t="s">
        <v>21</v>
      </c>
      <c r="I213" t="s">
        <v>71</v>
      </c>
      <c r="J213" t="s">
        <v>23</v>
      </c>
      <c r="K213">
        <v>624</v>
      </c>
      <c r="L213" s="10">
        <v>22.0163194</v>
      </c>
      <c r="M213" s="10">
        <v>13.885022118108798</v>
      </c>
      <c r="N213" s="10">
        <v>23.763789220475395</v>
      </c>
      <c r="O213" s="1" t="str">
        <f>HYPERLINK(".\sm_car_250418_1417\sm_car_250418_1417_212_Ca184TrN_MaRAD_ode23t_1.png","figure")</f>
        <v>figure</v>
      </c>
      <c r="P213" t="s">
        <v>15</v>
      </c>
    </row>
    <row r="214" spans="1:16" x14ac:dyDescent="0.25">
      <c r="A214">
        <v>213</v>
      </c>
      <c r="B214">
        <v>198</v>
      </c>
      <c r="C214" t="s">
        <v>105</v>
      </c>
      <c r="D214" t="s">
        <v>120</v>
      </c>
      <c r="E214" t="s">
        <v>107</v>
      </c>
      <c r="F214" t="s">
        <v>19</v>
      </c>
      <c r="G214" t="s">
        <v>20</v>
      </c>
      <c r="H214" t="s">
        <v>21</v>
      </c>
      <c r="I214" t="s">
        <v>70</v>
      </c>
      <c r="J214" t="s">
        <v>23</v>
      </c>
      <c r="K214">
        <v>1407</v>
      </c>
      <c r="L214" s="10">
        <v>30.4073204</v>
      </c>
      <c r="M214" s="10">
        <v>36.382982853984949</v>
      </c>
      <c r="N214" s="10">
        <v>0.25043340474825027</v>
      </c>
      <c r="O214" s="1" t="str">
        <f>HYPERLINK(".\sm_car_250418_1417\sm_car_250418_1417_213_Ca198TrN_MaSKD_ode23t_1.png","figure")</f>
        <v>figure</v>
      </c>
      <c r="P214" t="s">
        <v>15</v>
      </c>
    </row>
    <row r="215" spans="1:16" x14ac:dyDescent="0.25">
      <c r="A215">
        <v>214</v>
      </c>
      <c r="B215">
        <v>198</v>
      </c>
      <c r="C215" t="s">
        <v>105</v>
      </c>
      <c r="D215" t="s">
        <v>120</v>
      </c>
      <c r="E215" t="s">
        <v>107</v>
      </c>
      <c r="F215" t="s">
        <v>19</v>
      </c>
      <c r="G215" t="s">
        <v>20</v>
      </c>
      <c r="H215" t="s">
        <v>21</v>
      </c>
      <c r="I215" t="s">
        <v>71</v>
      </c>
      <c r="J215" t="s">
        <v>23</v>
      </c>
      <c r="K215">
        <v>666</v>
      </c>
      <c r="L215" s="10">
        <v>13.7393684</v>
      </c>
      <c r="M215" s="10">
        <v>13.858444027024266</v>
      </c>
      <c r="N215" s="10">
        <v>23.71310075366155</v>
      </c>
      <c r="O215" s="1" t="str">
        <f>HYPERLINK(".\sm_car_250418_1417\sm_car_250418_1417_214_Ca198TrN_MaRAD_ode23t_1.png","figure")</f>
        <v>figure</v>
      </c>
      <c r="P215" t="s">
        <v>15</v>
      </c>
    </row>
    <row r="216" spans="1:16" x14ac:dyDescent="0.25">
      <c r="A216">
        <v>215</v>
      </c>
      <c r="B216">
        <v>189</v>
      </c>
      <c r="C216" t="s">
        <v>45</v>
      </c>
      <c r="D216" t="s">
        <v>17</v>
      </c>
      <c r="E216" t="s">
        <v>107</v>
      </c>
      <c r="F216" t="s">
        <v>19</v>
      </c>
      <c r="G216" t="s">
        <v>26</v>
      </c>
      <c r="H216" t="s">
        <v>21</v>
      </c>
      <c r="I216" t="s">
        <v>132</v>
      </c>
      <c r="J216" t="s">
        <v>23</v>
      </c>
      <c r="K216">
        <v>739</v>
      </c>
      <c r="L216" s="10">
        <v>11.784558799999999</v>
      </c>
      <c r="M216" s="10">
        <v>120.0745510206504</v>
      </c>
      <c r="N216" s="10">
        <v>-15.858706277327308</v>
      </c>
      <c r="O216" s="1" t="str">
        <f>HYPERLINK(".\sm_car_250418_1417\sm_car_250418_1417_215_Ca189TrN_MaFSH_ode23t_1.png","figure")</f>
        <v>figure</v>
      </c>
      <c r="P216" t="s">
        <v>15</v>
      </c>
    </row>
    <row r="217" spans="1:16" x14ac:dyDescent="0.25">
      <c r="A217">
        <v>216</v>
      </c>
      <c r="B217">
        <v>189</v>
      </c>
      <c r="C217" t="s">
        <v>45</v>
      </c>
      <c r="D217" t="s">
        <v>17</v>
      </c>
      <c r="E217" t="s">
        <v>107</v>
      </c>
      <c r="F217" t="s">
        <v>19</v>
      </c>
      <c r="G217" t="s">
        <v>26</v>
      </c>
      <c r="H217" t="s">
        <v>21</v>
      </c>
      <c r="I217" t="s">
        <v>133</v>
      </c>
      <c r="J217" t="s">
        <v>23</v>
      </c>
      <c r="K217">
        <v>532</v>
      </c>
      <c r="L217" s="10">
        <v>7.4558529</v>
      </c>
      <c r="M217" s="10">
        <v>117.00275657544586</v>
      </c>
      <c r="N217" s="10">
        <v>-9.444722343398654</v>
      </c>
      <c r="O217" s="1" t="str">
        <f>HYPERLINK(".\sm_car_250418_1417\sm_car_250418_1417_216_Ca189TrN_MaSWD_ode23t_1.png","figure")</f>
        <v>figure</v>
      </c>
      <c r="P217" t="s">
        <v>15</v>
      </c>
    </row>
    <row r="218" spans="1:16" x14ac:dyDescent="0.25">
      <c r="A218">
        <v>217</v>
      </c>
      <c r="B218">
        <v>189</v>
      </c>
      <c r="C218" t="s">
        <v>45</v>
      </c>
      <c r="D218" t="s">
        <v>17</v>
      </c>
      <c r="E218" t="s">
        <v>107</v>
      </c>
      <c r="F218" t="s">
        <v>19</v>
      </c>
      <c r="G218" t="s">
        <v>26</v>
      </c>
      <c r="H218" t="s">
        <v>21</v>
      </c>
      <c r="I218" t="s">
        <v>134</v>
      </c>
      <c r="J218" t="s">
        <v>23</v>
      </c>
      <c r="K218">
        <v>546</v>
      </c>
      <c r="L218" s="10">
        <v>8.2906750000000002</v>
      </c>
      <c r="M218" s="10">
        <v>100.61989409020083</v>
      </c>
      <c r="N218" s="10">
        <v>18.076358604789849</v>
      </c>
      <c r="O218" s="1" t="str">
        <f>HYPERLINK(".\sm_car_250418_1417\sm_car_250418_1417_217_Ca189TrN_MaRST_ode23t_1.png","figure")</f>
        <v>figure</v>
      </c>
      <c r="P218" t="s">
        <v>15</v>
      </c>
    </row>
    <row r="219" spans="1:16" x14ac:dyDescent="0.25">
      <c r="A219">
        <v>218</v>
      </c>
      <c r="B219">
        <v>189</v>
      </c>
      <c r="C219" t="s">
        <v>45</v>
      </c>
      <c r="D219" t="s">
        <v>17</v>
      </c>
      <c r="E219" t="s">
        <v>107</v>
      </c>
      <c r="F219" t="s">
        <v>19</v>
      </c>
      <c r="G219" t="s">
        <v>26</v>
      </c>
      <c r="H219" t="s">
        <v>21</v>
      </c>
      <c r="I219" t="s">
        <v>135</v>
      </c>
      <c r="J219" t="s">
        <v>23</v>
      </c>
      <c r="K219">
        <v>618</v>
      </c>
      <c r="L219" s="10">
        <v>15.9743897</v>
      </c>
      <c r="M219" s="10">
        <v>230.87955332582459</v>
      </c>
      <c r="N219" s="10">
        <v>6.3459192646183452E-2</v>
      </c>
      <c r="O219" s="1" t="str">
        <f>HYPERLINK(".\sm_car_250418_1417\sm_car_250418_1417_218_Ca189TrN_MaSLA_ode23t_1.png","figure")</f>
        <v>figure</v>
      </c>
      <c r="P219" t="s">
        <v>15</v>
      </c>
    </row>
    <row r="220" spans="1:16" x14ac:dyDescent="0.25">
      <c r="A220">
        <v>219</v>
      </c>
      <c r="B220">
        <v>218</v>
      </c>
      <c r="C220" t="s">
        <v>16</v>
      </c>
      <c r="D220" t="s">
        <v>128</v>
      </c>
      <c r="E220" t="s">
        <v>107</v>
      </c>
      <c r="F220" t="s">
        <v>19</v>
      </c>
      <c r="G220" t="s">
        <v>26</v>
      </c>
      <c r="H220" t="s">
        <v>21</v>
      </c>
      <c r="I220" t="s">
        <v>132</v>
      </c>
      <c r="J220" t="s">
        <v>23</v>
      </c>
      <c r="K220">
        <v>683</v>
      </c>
      <c r="L220" s="10">
        <v>6.8618983</v>
      </c>
      <c r="M220" s="10">
        <v>90.641870362491403</v>
      </c>
      <c r="N220" s="10">
        <v>-21.971259815851557</v>
      </c>
      <c r="O220" s="1" t="str">
        <f>HYPERLINK(".\sm_car_250418_1417\sm_car_250418_1417_219_Ca218TrN_MaFSH_ode23t_1.png","figure")</f>
        <v>figure</v>
      </c>
      <c r="P220" t="s">
        <v>15</v>
      </c>
    </row>
    <row r="221" spans="1:16" x14ac:dyDescent="0.25">
      <c r="A221">
        <v>220</v>
      </c>
      <c r="B221">
        <v>218</v>
      </c>
      <c r="C221" t="s">
        <v>16</v>
      </c>
      <c r="D221" t="s">
        <v>128</v>
      </c>
      <c r="E221" t="s">
        <v>107</v>
      </c>
      <c r="F221" t="s">
        <v>19</v>
      </c>
      <c r="G221" t="s">
        <v>26</v>
      </c>
      <c r="H221" t="s">
        <v>21</v>
      </c>
      <c r="I221" t="s">
        <v>133</v>
      </c>
      <c r="J221" t="s">
        <v>23</v>
      </c>
      <c r="K221">
        <v>551</v>
      </c>
      <c r="L221" s="10">
        <v>5.0214907999999996</v>
      </c>
      <c r="M221" s="10">
        <v>125.30885425945951</v>
      </c>
      <c r="N221" s="10">
        <v>-8.5977067497882231</v>
      </c>
      <c r="O221" s="1" t="str">
        <f>HYPERLINK(".\sm_car_250418_1417\sm_car_250418_1417_220_Ca218TrN_MaSWD_ode23t_1.png","figure")</f>
        <v>figure</v>
      </c>
      <c r="P221" t="s">
        <v>15</v>
      </c>
    </row>
    <row r="222" spans="1:16" x14ac:dyDescent="0.25">
      <c r="A222">
        <v>221</v>
      </c>
      <c r="B222">
        <v>218</v>
      </c>
      <c r="C222" t="s">
        <v>16</v>
      </c>
      <c r="D222" t="s">
        <v>128</v>
      </c>
      <c r="E222" t="s">
        <v>107</v>
      </c>
      <c r="F222" t="s">
        <v>19</v>
      </c>
      <c r="G222" t="s">
        <v>26</v>
      </c>
      <c r="H222" t="s">
        <v>21</v>
      </c>
      <c r="I222" t="s">
        <v>134</v>
      </c>
      <c r="J222" t="s">
        <v>23</v>
      </c>
      <c r="K222">
        <v>474</v>
      </c>
      <c r="L222" s="10">
        <v>4.9736136999999996</v>
      </c>
      <c r="M222" s="10">
        <v>90.663916288356532</v>
      </c>
      <c r="N222" s="10">
        <v>28.882023218818883</v>
      </c>
      <c r="O222" s="1" t="str">
        <f>HYPERLINK(".\sm_car_250418_1417\sm_car_250418_1417_221_Ca218TrN_MaRST_ode23t_1.png","figure")</f>
        <v>figure</v>
      </c>
      <c r="P222" t="s">
        <v>15</v>
      </c>
    </row>
    <row r="223" spans="1:16" x14ac:dyDescent="0.25">
      <c r="A223">
        <v>222</v>
      </c>
      <c r="B223">
        <v>218</v>
      </c>
      <c r="C223" t="s">
        <v>16</v>
      </c>
      <c r="D223" t="s">
        <v>128</v>
      </c>
      <c r="E223" t="s">
        <v>107</v>
      </c>
      <c r="F223" t="s">
        <v>19</v>
      </c>
      <c r="G223" t="s">
        <v>26</v>
      </c>
      <c r="H223" t="s">
        <v>21</v>
      </c>
      <c r="I223" t="s">
        <v>135</v>
      </c>
      <c r="J223" t="s">
        <v>23</v>
      </c>
      <c r="K223">
        <v>563</v>
      </c>
      <c r="L223" s="10">
        <v>9.9775071999999998</v>
      </c>
      <c r="M223" s="10">
        <v>230.18338079695076</v>
      </c>
      <c r="N223" s="10">
        <v>6.6716458780994178E-2</v>
      </c>
      <c r="O223" s="1" t="str">
        <f>HYPERLINK(".\sm_car_250418_1417\sm_car_250418_1417_222_Ca218TrN_MaSLA_ode23t_1.png","figure")</f>
        <v>figure</v>
      </c>
      <c r="P223" t="s">
        <v>15</v>
      </c>
    </row>
    <row r="224" spans="1:16" x14ac:dyDescent="0.25">
      <c r="A224">
        <v>223</v>
      </c>
      <c r="B224">
        <v>156</v>
      </c>
      <c r="C224" t="s">
        <v>45</v>
      </c>
      <c r="D224" t="s">
        <v>17</v>
      </c>
      <c r="E224" t="s">
        <v>18</v>
      </c>
      <c r="F224" t="s">
        <v>19</v>
      </c>
      <c r="G224" t="s">
        <v>38</v>
      </c>
      <c r="H224" t="s">
        <v>21</v>
      </c>
      <c r="I224" t="s">
        <v>54</v>
      </c>
      <c r="J224" t="s">
        <v>23</v>
      </c>
      <c r="K224">
        <v>26530</v>
      </c>
      <c r="L224" s="10">
        <v>398.96248420000001</v>
      </c>
      <c r="M224" s="10">
        <v>19.478697957275443</v>
      </c>
      <c r="N224" s="10">
        <v>2.6713088446214064</v>
      </c>
      <c r="O224" s="1" t="str">
        <f>HYPERLINK(".\sm_car_250418_1417\sm_car_250418_1417_223_Ca156TrN_MaIPA_ode23t.png","figure")</f>
        <v>figure</v>
      </c>
      <c r="P224" t="s">
        <v>15</v>
      </c>
    </row>
    <row r="225" spans="1:16" x14ac:dyDescent="0.25">
      <c r="A225">
        <v>224</v>
      </c>
      <c r="B225">
        <v>130</v>
      </c>
      <c r="C225" t="s">
        <v>16</v>
      </c>
      <c r="D225" t="s">
        <v>17</v>
      </c>
      <c r="E225" t="s">
        <v>18</v>
      </c>
      <c r="F225" t="s">
        <v>19</v>
      </c>
      <c r="G225" t="s">
        <v>38</v>
      </c>
      <c r="H225" t="s">
        <v>21</v>
      </c>
      <c r="I225" t="s">
        <v>54</v>
      </c>
      <c r="J225" t="s">
        <v>23</v>
      </c>
      <c r="K225">
        <v>18114</v>
      </c>
      <c r="L225" s="10">
        <v>267.92536419999999</v>
      </c>
      <c r="M225" s="10">
        <v>16.357748331297593</v>
      </c>
      <c r="N225" s="10">
        <v>0.56875642955866101</v>
      </c>
      <c r="O225" s="1" t="str">
        <f>HYPERLINK(".\sm_car_250418_1417\sm_car_250418_1417_224_Ca130TrN_MaIPA_ode23t.png","figure")</f>
        <v>figure</v>
      </c>
      <c r="P225" t="s">
        <v>15</v>
      </c>
    </row>
    <row r="226" spans="1:16" x14ac:dyDescent="0.25">
      <c r="A226">
        <v>225</v>
      </c>
      <c r="B226">
        <v>171</v>
      </c>
      <c r="C226" t="s">
        <v>45</v>
      </c>
      <c r="D226" t="s">
        <v>17</v>
      </c>
      <c r="E226" t="s">
        <v>72</v>
      </c>
      <c r="F226" t="s">
        <v>19</v>
      </c>
      <c r="G226" t="s">
        <v>26</v>
      </c>
      <c r="H226" t="s">
        <v>21</v>
      </c>
      <c r="I226" t="s">
        <v>73</v>
      </c>
      <c r="J226" t="s">
        <v>23</v>
      </c>
      <c r="K226">
        <v>1355</v>
      </c>
      <c r="L226" s="10">
        <v>21.896502900000002</v>
      </c>
      <c r="M226" s="10">
        <v>338.15922184185689</v>
      </c>
      <c r="N226" s="10">
        <v>0.66841822567857967</v>
      </c>
      <c r="O226" s="1" t="str">
        <f>HYPERLINK(".\sm_car_250418_1417\sm_car_250418_1417_225_Ca171TrN_MaRDP_ode23t_1.png","figure")</f>
        <v>figure</v>
      </c>
      <c r="P226" t="s">
        <v>15</v>
      </c>
    </row>
    <row r="227" spans="1:16" x14ac:dyDescent="0.25">
      <c r="A227">
        <v>226</v>
      </c>
      <c r="B227">
        <v>172</v>
      </c>
      <c r="C227" t="s">
        <v>46</v>
      </c>
      <c r="D227" t="s">
        <v>17</v>
      </c>
      <c r="E227" t="s">
        <v>72</v>
      </c>
      <c r="F227" t="s">
        <v>19</v>
      </c>
      <c r="G227" t="s">
        <v>26</v>
      </c>
      <c r="H227" t="s">
        <v>21</v>
      </c>
      <c r="I227" t="s">
        <v>73</v>
      </c>
      <c r="J227" t="s">
        <v>23</v>
      </c>
      <c r="K227">
        <v>1276</v>
      </c>
      <c r="L227" s="10">
        <v>11.8516324</v>
      </c>
      <c r="M227" s="10">
        <v>137.904103585087</v>
      </c>
      <c r="N227" s="10">
        <v>3.7707097924219703E-2</v>
      </c>
      <c r="O227" s="1" t="str">
        <f>HYPERLINK(".\sm_car_250418_1417\sm_car_250418_1417_226_Ca172TrN_MaRDP_ode23t_1.png","figure")</f>
        <v>figure</v>
      </c>
      <c r="P227" t="s">
        <v>15</v>
      </c>
    </row>
    <row r="228" spans="1:16" x14ac:dyDescent="0.25">
      <c r="A228">
        <v>227</v>
      </c>
      <c r="B228">
        <v>139</v>
      </c>
      <c r="C228" t="s">
        <v>45</v>
      </c>
      <c r="D228" t="s">
        <v>17</v>
      </c>
      <c r="E228" t="s">
        <v>18</v>
      </c>
      <c r="F228" t="s">
        <v>19</v>
      </c>
      <c r="G228" t="s">
        <v>26</v>
      </c>
      <c r="H228" t="s">
        <v>21</v>
      </c>
      <c r="I228" t="s">
        <v>74</v>
      </c>
      <c r="J228" t="s">
        <v>23</v>
      </c>
      <c r="K228">
        <v>1488</v>
      </c>
      <c r="L228" s="10">
        <v>21.3351638</v>
      </c>
      <c r="M228" s="10">
        <v>364.3311207249954</v>
      </c>
      <c r="N228" s="10">
        <v>0.72988877384747863</v>
      </c>
      <c r="O228" s="1" t="str">
        <f>HYPERLINK(".\sm_car_250418_1417\sm_car_250418_1417_227_Ca139TrN_MaZPL_ode23t_1.png","figure")</f>
        <v>figure</v>
      </c>
      <c r="P228" t="s">
        <v>15</v>
      </c>
    </row>
    <row r="229" spans="1:16" x14ac:dyDescent="0.25">
      <c r="A229">
        <v>228</v>
      </c>
      <c r="B229">
        <v>165</v>
      </c>
      <c r="C229" t="s">
        <v>45</v>
      </c>
      <c r="D229" t="s">
        <v>35</v>
      </c>
      <c r="E229" t="s">
        <v>49</v>
      </c>
      <c r="F229" t="s">
        <v>19</v>
      </c>
      <c r="G229" t="s">
        <v>26</v>
      </c>
      <c r="H229" t="s">
        <v>21</v>
      </c>
      <c r="I229" t="s">
        <v>74</v>
      </c>
      <c r="J229" t="s">
        <v>23</v>
      </c>
      <c r="K229">
        <v>2105</v>
      </c>
      <c r="L229" s="10">
        <v>10.3216638</v>
      </c>
      <c r="M229" s="10">
        <v>397.67070836566489</v>
      </c>
      <c r="N229" s="10">
        <v>0.33480014771848365</v>
      </c>
      <c r="O229" s="1" t="str">
        <f>HYPERLINK(".\sm_car_250418_1417\sm_car_250418_1417_228_Ca165TrN_MaZPL_ode23t_1.png","figure")</f>
        <v>figure</v>
      </c>
      <c r="P229" t="s">
        <v>15</v>
      </c>
    </row>
    <row r="230" spans="1:16" x14ac:dyDescent="0.25">
      <c r="A230">
        <v>229</v>
      </c>
      <c r="B230">
        <v>171</v>
      </c>
      <c r="C230" t="s">
        <v>45</v>
      </c>
      <c r="D230" t="s">
        <v>17</v>
      </c>
      <c r="E230" t="s">
        <v>72</v>
      </c>
      <c r="F230" t="s">
        <v>19</v>
      </c>
      <c r="G230" t="s">
        <v>26</v>
      </c>
      <c r="H230" t="s">
        <v>21</v>
      </c>
      <c r="I230" t="s">
        <v>74</v>
      </c>
      <c r="J230" t="s">
        <v>23</v>
      </c>
      <c r="K230">
        <v>1466</v>
      </c>
      <c r="L230" s="10">
        <v>24.364411199999999</v>
      </c>
      <c r="M230" s="10">
        <v>363.85354162528176</v>
      </c>
      <c r="N230" s="10">
        <v>0.74208002322226063</v>
      </c>
      <c r="O230" s="1" t="str">
        <f>HYPERLINK(".\sm_car_250418_1417\sm_car_250418_1417_229_Ca171TrN_MaZPL_ode23t_1.png","figure")</f>
        <v>figure</v>
      </c>
      <c r="P230" t="s">
        <v>15</v>
      </c>
    </row>
    <row r="231" spans="1:16" x14ac:dyDescent="0.25">
      <c r="A231">
        <v>230</v>
      </c>
      <c r="B231">
        <v>165</v>
      </c>
      <c r="C231" t="s">
        <v>45</v>
      </c>
      <c r="D231" t="s">
        <v>35</v>
      </c>
      <c r="E231" t="s">
        <v>49</v>
      </c>
      <c r="F231" t="s">
        <v>19</v>
      </c>
      <c r="G231" t="s">
        <v>26</v>
      </c>
      <c r="H231" t="s">
        <v>21</v>
      </c>
      <c r="I231" t="s">
        <v>75</v>
      </c>
      <c r="J231" t="s">
        <v>23</v>
      </c>
      <c r="K231">
        <v>504</v>
      </c>
      <c r="L231" s="10">
        <v>4.5401876999999997</v>
      </c>
      <c r="M231" s="10">
        <v>378.34415520263303</v>
      </c>
      <c r="N231" s="10">
        <v>0.32220757573642855</v>
      </c>
      <c r="O231" s="1" t="str">
        <f>HYPERLINK(".\sm_car_250418_1417\sm_car_250418_1417_230_Ca165TrN_MaCPL_ode23t_1.png","figure")</f>
        <v>figure</v>
      </c>
      <c r="P231" t="s">
        <v>15</v>
      </c>
    </row>
    <row r="232" spans="1:16" x14ac:dyDescent="0.25">
      <c r="A232">
        <v>231</v>
      </c>
      <c r="B232">
        <v>170</v>
      </c>
      <c r="C232" t="s">
        <v>45</v>
      </c>
      <c r="D232" t="s">
        <v>35</v>
      </c>
      <c r="E232" t="s">
        <v>49</v>
      </c>
      <c r="F232" t="s">
        <v>19</v>
      </c>
      <c r="G232" t="s">
        <v>20</v>
      </c>
      <c r="H232" t="s">
        <v>21</v>
      </c>
      <c r="I232" t="s">
        <v>75</v>
      </c>
      <c r="J232" t="s">
        <v>23</v>
      </c>
      <c r="K232">
        <v>465</v>
      </c>
      <c r="L232" s="10">
        <v>3.1505481999999998</v>
      </c>
      <c r="M232" s="10">
        <v>380.91793190860193</v>
      </c>
      <c r="N232" s="10">
        <v>0.32782964600872139</v>
      </c>
      <c r="O232" s="1" t="str">
        <f>HYPERLINK(".\sm_car_250418_1417\sm_car_250418_1417_231_Ca170TrN_MaCPL_ode23t_1.png","figure")</f>
        <v>figure</v>
      </c>
      <c r="P232" t="s">
        <v>15</v>
      </c>
    </row>
    <row r="233" spans="1:16" x14ac:dyDescent="0.25">
      <c r="A233">
        <v>232</v>
      </c>
      <c r="B233">
        <v>171</v>
      </c>
      <c r="C233" t="s">
        <v>45</v>
      </c>
      <c r="D233" t="s">
        <v>17</v>
      </c>
      <c r="E233" t="s">
        <v>72</v>
      </c>
      <c r="F233" t="s">
        <v>19</v>
      </c>
      <c r="G233" t="s">
        <v>26</v>
      </c>
      <c r="H233" t="s">
        <v>21</v>
      </c>
      <c r="I233" t="s">
        <v>76</v>
      </c>
      <c r="J233" t="s">
        <v>23</v>
      </c>
      <c r="K233">
        <v>2502</v>
      </c>
      <c r="L233" s="10">
        <v>41.152132700000003</v>
      </c>
      <c r="M233" s="10">
        <v>152.37237597196065</v>
      </c>
      <c r="N233" s="10">
        <v>1.9153152909807093E-3</v>
      </c>
      <c r="O233" s="1" t="str">
        <f>HYPERLINK(".\sm_car_250418_1417\sm_car_250418_1417_232_Ca171TrN_MaRDR_ode23t_1.png","figure")</f>
        <v>figure</v>
      </c>
      <c r="P233" t="s">
        <v>15</v>
      </c>
    </row>
    <row r="234" spans="1:16" x14ac:dyDescent="0.25">
      <c r="A234">
        <v>233</v>
      </c>
      <c r="B234">
        <v>172</v>
      </c>
      <c r="C234" t="s">
        <v>46</v>
      </c>
      <c r="D234" t="s">
        <v>17</v>
      </c>
      <c r="E234" t="s">
        <v>72</v>
      </c>
      <c r="F234" t="s">
        <v>19</v>
      </c>
      <c r="G234" t="s">
        <v>26</v>
      </c>
      <c r="H234" t="s">
        <v>21</v>
      </c>
      <c r="I234" t="s">
        <v>76</v>
      </c>
      <c r="J234" t="s">
        <v>23</v>
      </c>
      <c r="K234">
        <v>2935</v>
      </c>
      <c r="L234" s="10">
        <v>27.865585100000001</v>
      </c>
      <c r="M234" s="10">
        <v>146.50270736979954</v>
      </c>
      <c r="N234" s="10">
        <v>-4.8613883849682651E-3</v>
      </c>
      <c r="O234" s="1" t="str">
        <f>HYPERLINK(".\sm_car_250418_1417\sm_car_250418_1417_233_Ca172TrN_MaRDR_ode23t_1.png","figure")</f>
        <v>figure</v>
      </c>
      <c r="P234" t="s">
        <v>15</v>
      </c>
    </row>
    <row r="235" spans="1:16" x14ac:dyDescent="0.25">
      <c r="A235">
        <v>234</v>
      </c>
      <c r="B235">
        <v>139</v>
      </c>
      <c r="C235" t="s">
        <v>45</v>
      </c>
      <c r="D235" t="s">
        <v>17</v>
      </c>
      <c r="E235" t="s">
        <v>18</v>
      </c>
      <c r="F235" t="s">
        <v>19</v>
      </c>
      <c r="G235" t="s">
        <v>26</v>
      </c>
      <c r="H235" t="s">
        <v>21</v>
      </c>
      <c r="I235" t="s">
        <v>77</v>
      </c>
      <c r="J235" t="s">
        <v>23</v>
      </c>
      <c r="K235">
        <v>2963</v>
      </c>
      <c r="L235" s="10">
        <v>35.114037199999999</v>
      </c>
      <c r="M235" s="10">
        <v>176.4861384900849</v>
      </c>
      <c r="N235" s="10">
        <v>8.5177633701831717E-4</v>
      </c>
      <c r="O235" s="1" t="str">
        <f>HYPERLINK(".\sm_car_250418_1417\sm_car_250418_1417_234_Ca139TrN_MaZRR_ode23t_1.png","figure")</f>
        <v>figure</v>
      </c>
      <c r="P235" t="s">
        <v>15</v>
      </c>
    </row>
    <row r="236" spans="1:16" x14ac:dyDescent="0.25">
      <c r="A236">
        <v>235</v>
      </c>
      <c r="B236">
        <v>165</v>
      </c>
      <c r="C236" t="s">
        <v>45</v>
      </c>
      <c r="D236" t="s">
        <v>35</v>
      </c>
      <c r="E236" t="s">
        <v>49</v>
      </c>
      <c r="F236" t="s">
        <v>19</v>
      </c>
      <c r="G236" t="s">
        <v>26</v>
      </c>
      <c r="H236" t="s">
        <v>21</v>
      </c>
      <c r="I236" t="s">
        <v>77</v>
      </c>
      <c r="J236" t="s">
        <v>23</v>
      </c>
      <c r="K236">
        <v>3582</v>
      </c>
      <c r="L236" s="10">
        <v>20.617987599999999</v>
      </c>
      <c r="M236" s="10">
        <v>176.81462389716481</v>
      </c>
      <c r="N236" s="10">
        <v>8.1809823060610202E-5</v>
      </c>
      <c r="O236" s="1" t="str">
        <f>HYPERLINK(".\sm_car_250418_1417\sm_car_250418_1417_235_Ca165TrN_MaZRR_ode23t_1.png","figure")</f>
        <v>figure</v>
      </c>
      <c r="P236" t="s">
        <v>15</v>
      </c>
    </row>
    <row r="237" spans="1:16" x14ac:dyDescent="0.25">
      <c r="A237">
        <v>236</v>
      </c>
      <c r="B237">
        <v>171</v>
      </c>
      <c r="C237" t="s">
        <v>45</v>
      </c>
      <c r="D237" t="s">
        <v>17</v>
      </c>
      <c r="E237" t="s">
        <v>72</v>
      </c>
      <c r="F237" t="s">
        <v>19</v>
      </c>
      <c r="G237" t="s">
        <v>26</v>
      </c>
      <c r="H237" t="s">
        <v>21</v>
      </c>
      <c r="I237" t="s">
        <v>77</v>
      </c>
      <c r="J237" t="s">
        <v>23</v>
      </c>
      <c r="K237">
        <v>3024</v>
      </c>
      <c r="L237" s="10">
        <v>52.644979599999999</v>
      </c>
      <c r="M237" s="10">
        <v>176.48926919663731</v>
      </c>
      <c r="N237" s="10">
        <v>8.3189777248264931E-4</v>
      </c>
      <c r="O237" s="1" t="str">
        <f>HYPERLINK(".\sm_car_250418_1417\sm_car_250418_1417_236_Ca171TrN_MaZRR_ode23t_1.png","figure")</f>
        <v>figure</v>
      </c>
      <c r="P237" t="s">
        <v>15</v>
      </c>
    </row>
    <row r="238" spans="1:16" x14ac:dyDescent="0.25">
      <c r="A238">
        <v>237</v>
      </c>
      <c r="B238">
        <v>170</v>
      </c>
      <c r="C238" t="s">
        <v>45</v>
      </c>
      <c r="D238" t="s">
        <v>35</v>
      </c>
      <c r="E238" t="s">
        <v>49</v>
      </c>
      <c r="F238" t="s">
        <v>19</v>
      </c>
      <c r="G238" t="s">
        <v>20</v>
      </c>
      <c r="H238" t="s">
        <v>21</v>
      </c>
      <c r="I238" t="s">
        <v>78</v>
      </c>
      <c r="J238" t="s">
        <v>23</v>
      </c>
      <c r="K238">
        <v>5010</v>
      </c>
      <c r="L238" s="10">
        <v>18.2491512</v>
      </c>
      <c r="M238" s="10">
        <v>-5.9990719953370117</v>
      </c>
      <c r="N238" s="10">
        <v>2.9190648043425534E-3</v>
      </c>
      <c r="O238" s="1" t="str">
        <f>HYPERLINK(".\sm_car_250418_1417\sm_car_250418_1417_237_Ca170TrN_MaCMP_ode23t_1.png","figure")</f>
        <v>figure</v>
      </c>
      <c r="P238" t="s">
        <v>15</v>
      </c>
    </row>
    <row r="239" spans="1:16" x14ac:dyDescent="0.25">
      <c r="A239">
        <v>238</v>
      </c>
      <c r="B239">
        <v>170</v>
      </c>
      <c r="C239" t="s">
        <v>45</v>
      </c>
      <c r="D239" t="s">
        <v>35</v>
      </c>
      <c r="E239" t="s">
        <v>49</v>
      </c>
      <c r="F239" t="s">
        <v>19</v>
      </c>
      <c r="G239" t="s">
        <v>20</v>
      </c>
      <c r="H239" t="s">
        <v>21</v>
      </c>
      <c r="I239" t="s">
        <v>79</v>
      </c>
      <c r="J239" t="s">
        <v>23</v>
      </c>
      <c r="K239">
        <v>1829</v>
      </c>
      <c r="L239" s="10">
        <v>11.7654134</v>
      </c>
      <c r="M239" s="10">
        <v>-5.9645297527751202</v>
      </c>
      <c r="N239" s="10">
        <v>2.7236971088541585E-3</v>
      </c>
      <c r="O239" s="1" t="str">
        <f>HYPERLINK(".\sm_car_250418_1417\sm_car_250418_1417_238_Ca170TrN_MaCMF_ode23t_1.png","figure")</f>
        <v>figure</v>
      </c>
      <c r="P239" t="s">
        <v>15</v>
      </c>
    </row>
    <row r="240" spans="1:16" x14ac:dyDescent="0.25">
      <c r="A240">
        <v>239</v>
      </c>
      <c r="B240">
        <v>170</v>
      </c>
      <c r="C240" t="s">
        <v>45</v>
      </c>
      <c r="D240" t="s">
        <v>35</v>
      </c>
      <c r="E240" t="s">
        <v>49</v>
      </c>
      <c r="F240" t="s">
        <v>19</v>
      </c>
      <c r="G240" t="s">
        <v>20</v>
      </c>
      <c r="H240" t="s">
        <v>21</v>
      </c>
      <c r="I240" t="s">
        <v>80</v>
      </c>
      <c r="J240" t="s">
        <v>23</v>
      </c>
      <c r="K240">
        <v>4609</v>
      </c>
      <c r="L240" s="10">
        <v>34.652229599999998</v>
      </c>
      <c r="M240" s="10">
        <v>-329.51009407332702</v>
      </c>
      <c r="N240" s="10">
        <v>6.0639136686986017</v>
      </c>
      <c r="O240" s="1" t="str">
        <f>HYPERLINK(".\sm_car_250418_1417\sm_car_250418_1417_239_Ca170TrN_MaMPO_ode23t_1.png","figure")</f>
        <v>figure</v>
      </c>
      <c r="P240" t="s">
        <v>15</v>
      </c>
    </row>
    <row r="241" spans="1:16" x14ac:dyDescent="0.25">
      <c r="A241">
        <v>240</v>
      </c>
      <c r="B241">
        <v>170</v>
      </c>
      <c r="C241" t="s">
        <v>45</v>
      </c>
      <c r="D241" t="s">
        <v>35</v>
      </c>
      <c r="E241" t="s">
        <v>49</v>
      </c>
      <c r="F241" t="s">
        <v>19</v>
      </c>
      <c r="G241" t="s">
        <v>20</v>
      </c>
      <c r="H241" t="s">
        <v>21</v>
      </c>
      <c r="I241" t="s">
        <v>81</v>
      </c>
      <c r="J241" t="s">
        <v>23</v>
      </c>
      <c r="K241">
        <v>1204</v>
      </c>
      <c r="L241" s="10">
        <v>10.1508214</v>
      </c>
      <c r="M241" s="10">
        <v>-13.897550707519279</v>
      </c>
      <c r="N241" s="10">
        <v>0.20769660102888565</v>
      </c>
      <c r="O241" s="1" t="str">
        <f>HYPERLINK(".\sm_car_250418_1417\sm_car_250418_1417_240_Ca170TrN_MaMCI_ode23t_1.png","figure")</f>
        <v>figure</v>
      </c>
      <c r="P241" t="s">
        <v>15</v>
      </c>
    </row>
    <row r="242" spans="1:16" x14ac:dyDescent="0.25">
      <c r="A242">
        <v>241</v>
      </c>
      <c r="B242">
        <v>170</v>
      </c>
      <c r="C242" t="s">
        <v>45</v>
      </c>
      <c r="D242" t="s">
        <v>35</v>
      </c>
      <c r="E242" t="s">
        <v>49</v>
      </c>
      <c r="F242" t="s">
        <v>19</v>
      </c>
      <c r="G242" t="s">
        <v>20</v>
      </c>
      <c r="H242" t="s">
        <v>21</v>
      </c>
      <c r="I242" t="s">
        <v>110</v>
      </c>
      <c r="J242" t="s">
        <v>23</v>
      </c>
      <c r="K242">
        <v>6073</v>
      </c>
      <c r="L242" s="10">
        <v>18.999927599999999</v>
      </c>
      <c r="M242" s="10">
        <v>-5.9993972379445921</v>
      </c>
      <c r="N242" s="10">
        <v>-4.4752493875231912E-3</v>
      </c>
      <c r="O242" s="1" t="str">
        <f>HYPERLINK(".\sm_car_250418_1417\sm_car_250418_1417_241_Ca170TrN_MaCHO_ode23t_1.png","figure")</f>
        <v>figure</v>
      </c>
      <c r="P242" t="s">
        <v>15</v>
      </c>
    </row>
    <row r="243" spans="1:16" x14ac:dyDescent="0.25">
      <c r="A243">
        <v>242</v>
      </c>
      <c r="B243">
        <v>170</v>
      </c>
      <c r="C243" t="s">
        <v>45</v>
      </c>
      <c r="D243" t="s">
        <v>35</v>
      </c>
      <c r="E243" t="s">
        <v>49</v>
      </c>
      <c r="F243" t="s">
        <v>19</v>
      </c>
      <c r="G243" t="s">
        <v>20</v>
      </c>
      <c r="H243" t="s">
        <v>21</v>
      </c>
      <c r="I243" t="s">
        <v>111</v>
      </c>
      <c r="J243" t="s">
        <v>23</v>
      </c>
      <c r="K243">
        <v>3418</v>
      </c>
      <c r="L243" s="10">
        <v>17.152287999999999</v>
      </c>
      <c r="M243" s="10">
        <v>-5.9995710731965417</v>
      </c>
      <c r="N243" s="10">
        <v>-4.5022106862034304E-3</v>
      </c>
      <c r="O243" s="1" t="str">
        <f>HYPERLINK(".\sm_car_250418_1417\sm_car_250418_1417_242_Ca170TrN_MaCHF_ode23t_1.png","figure")</f>
        <v>figure</v>
      </c>
      <c r="P243" t="s">
        <v>15</v>
      </c>
    </row>
    <row r="244" spans="1:16" x14ac:dyDescent="0.25">
      <c r="A244">
        <v>243</v>
      </c>
      <c r="B244">
        <v>170</v>
      </c>
      <c r="C244" t="s">
        <v>45</v>
      </c>
      <c r="D244" t="s">
        <v>35</v>
      </c>
      <c r="E244" t="s">
        <v>49</v>
      </c>
      <c r="F244" t="s">
        <v>19</v>
      </c>
      <c r="G244" t="s">
        <v>20</v>
      </c>
      <c r="H244" t="s">
        <v>21</v>
      </c>
      <c r="I244" t="s">
        <v>82</v>
      </c>
      <c r="J244" t="s">
        <v>23</v>
      </c>
      <c r="K244">
        <v>7077</v>
      </c>
      <c r="L244" s="10">
        <v>30.3290598</v>
      </c>
      <c r="M244" s="10">
        <v>-751.82150146193067</v>
      </c>
      <c r="N244" s="10">
        <v>628.25551362628812</v>
      </c>
      <c r="O244" s="1" t="str">
        <f>HYPERLINK(".\sm_car_250418_1417\sm_car_250418_1417_243_Ca170TrN_MaCKY_ode23t_1.png","figure")</f>
        <v>figure</v>
      </c>
      <c r="P244" t="s">
        <v>15</v>
      </c>
    </row>
    <row r="245" spans="1:16" x14ac:dyDescent="0.25">
      <c r="A245">
        <v>244</v>
      </c>
      <c r="B245">
        <v>170</v>
      </c>
      <c r="C245" t="s">
        <v>45</v>
      </c>
      <c r="D245" t="s">
        <v>35</v>
      </c>
      <c r="E245" t="s">
        <v>49</v>
      </c>
      <c r="F245" t="s">
        <v>19</v>
      </c>
      <c r="G245" t="s">
        <v>20</v>
      </c>
      <c r="H245" t="s">
        <v>21</v>
      </c>
      <c r="I245" t="s">
        <v>83</v>
      </c>
      <c r="J245" t="s">
        <v>23</v>
      </c>
      <c r="K245">
        <v>2177</v>
      </c>
      <c r="L245" s="10">
        <v>15.1574679</v>
      </c>
      <c r="M245" s="10">
        <v>-758.45727781527444</v>
      </c>
      <c r="N245" s="10">
        <v>632.5649538544202</v>
      </c>
      <c r="O245" s="1" t="str">
        <f>HYPERLINK(".\sm_car_250418_1417\sm_car_250418_1417_244_Ca170TrN_MaCKF_ode23t_1.png","figure")</f>
        <v>figure</v>
      </c>
      <c r="P245" t="s">
        <v>15</v>
      </c>
    </row>
    <row r="246" spans="1:16" x14ac:dyDescent="0.25">
      <c r="A246">
        <v>245</v>
      </c>
      <c r="B246">
        <v>170</v>
      </c>
      <c r="C246" t="s">
        <v>45</v>
      </c>
      <c r="D246" t="s">
        <v>35</v>
      </c>
      <c r="E246" t="s">
        <v>49</v>
      </c>
      <c r="F246" t="s">
        <v>19</v>
      </c>
      <c r="G246" t="s">
        <v>20</v>
      </c>
      <c r="H246" t="s">
        <v>21</v>
      </c>
      <c r="I246" t="s">
        <v>84</v>
      </c>
      <c r="J246" t="s">
        <v>23</v>
      </c>
      <c r="K246">
        <v>2751</v>
      </c>
      <c r="L246" s="10">
        <v>16.625102699999999</v>
      </c>
      <c r="M246" s="10">
        <v>177.30517667750314</v>
      </c>
      <c r="N246" s="10">
        <v>288.17176479005514</v>
      </c>
      <c r="O246" s="1" t="str">
        <f>HYPERLINK(".\sm_car_250418_1417\sm_car_250418_1417_245_Ca170TrN_MaCNN_ode23t_1.png","figure")</f>
        <v>figure</v>
      </c>
      <c r="P246" t="s">
        <v>15</v>
      </c>
    </row>
    <row r="247" spans="1:16" x14ac:dyDescent="0.25">
      <c r="A247">
        <v>246</v>
      </c>
      <c r="B247">
        <v>170</v>
      </c>
      <c r="C247" t="s">
        <v>45</v>
      </c>
      <c r="D247" t="s">
        <v>35</v>
      </c>
      <c r="E247" t="s">
        <v>49</v>
      </c>
      <c r="F247" t="s">
        <v>19</v>
      </c>
      <c r="G247" t="s">
        <v>20</v>
      </c>
      <c r="H247" t="s">
        <v>21</v>
      </c>
      <c r="I247" t="s">
        <v>85</v>
      </c>
      <c r="J247" t="s">
        <v>23</v>
      </c>
      <c r="K247">
        <v>4421</v>
      </c>
      <c r="L247" s="10">
        <v>71.271522000000004</v>
      </c>
      <c r="M247" s="10">
        <v>2995.8489756346107</v>
      </c>
      <c r="N247" s="10">
        <v>-3063.9311078288224</v>
      </c>
      <c r="O247" s="1" t="str">
        <f>HYPERLINK(".\sm_car_250418_1417\sm_car_250418_1417_246_Ca170TrN_MaCNF_ode23t_1.png","figure")</f>
        <v>figure</v>
      </c>
      <c r="P247" t="s">
        <v>15</v>
      </c>
    </row>
    <row r="248" spans="1:16" x14ac:dyDescent="0.25">
      <c r="A248">
        <v>247</v>
      </c>
      <c r="B248">
        <v>170</v>
      </c>
      <c r="C248" t="s">
        <v>45</v>
      </c>
      <c r="D248" t="s">
        <v>35</v>
      </c>
      <c r="E248" t="s">
        <v>49</v>
      </c>
      <c r="F248" t="s">
        <v>19</v>
      </c>
      <c r="G248" t="s">
        <v>20</v>
      </c>
      <c r="H248" t="s">
        <v>21</v>
      </c>
      <c r="I248" t="s">
        <v>86</v>
      </c>
      <c r="J248" t="s">
        <v>23</v>
      </c>
      <c r="K248">
        <v>2939</v>
      </c>
      <c r="L248" s="10">
        <v>13.5803364</v>
      </c>
      <c r="M248" s="10">
        <v>522.30734507778118</v>
      </c>
      <c r="N248" s="10">
        <v>-164.27057997378705</v>
      </c>
      <c r="O248" s="1" t="str">
        <f>HYPERLINK(".\sm_car_250418_1417\sm_car_250418_1417_247_Ca170TrN_MaCSZ_ode23t_1.png","figure")</f>
        <v>figure</v>
      </c>
      <c r="P248" t="s">
        <v>15</v>
      </c>
    </row>
    <row r="249" spans="1:16" x14ac:dyDescent="0.25">
      <c r="A249">
        <v>248</v>
      </c>
      <c r="B249">
        <v>170</v>
      </c>
      <c r="C249" t="s">
        <v>45</v>
      </c>
      <c r="D249" t="s">
        <v>35</v>
      </c>
      <c r="E249" t="s">
        <v>49</v>
      </c>
      <c r="F249" t="s">
        <v>19</v>
      </c>
      <c r="G249" t="s">
        <v>20</v>
      </c>
      <c r="H249" t="s">
        <v>21</v>
      </c>
      <c r="I249" t="s">
        <v>87</v>
      </c>
      <c r="J249" t="s">
        <v>23</v>
      </c>
      <c r="K249">
        <v>5685</v>
      </c>
      <c r="L249" s="10">
        <v>79.767704100000003</v>
      </c>
      <c r="M249" s="10">
        <v>-8.9937960572226867</v>
      </c>
      <c r="N249" s="10">
        <v>1.0053205588384115E-2</v>
      </c>
      <c r="O249" s="1" t="str">
        <f>HYPERLINK(".\sm_car_250418_1417\sm_car_250418_1417_248_Ca170TrN_MaCSF_ode23t_1.png","figure")</f>
        <v>figure</v>
      </c>
      <c r="P249" t="s">
        <v>15</v>
      </c>
    </row>
    <row r="250" spans="1:16" x14ac:dyDescent="0.25">
      <c r="A250">
        <v>249</v>
      </c>
      <c r="B250">
        <v>170</v>
      </c>
      <c r="C250" t="s">
        <v>45</v>
      </c>
      <c r="D250" t="s">
        <v>35</v>
      </c>
      <c r="E250" t="s">
        <v>49</v>
      </c>
      <c r="F250" t="s">
        <v>19</v>
      </c>
      <c r="G250" t="s">
        <v>20</v>
      </c>
      <c r="H250" t="s">
        <v>21</v>
      </c>
      <c r="I250" t="s">
        <v>88</v>
      </c>
      <c r="J250" t="s">
        <v>23</v>
      </c>
      <c r="K250">
        <v>2035</v>
      </c>
      <c r="L250" s="10">
        <v>15.8574457</v>
      </c>
      <c r="M250" s="10">
        <v>208.95173271957245</v>
      </c>
      <c r="N250" s="10">
        <v>379.20664701615067</v>
      </c>
      <c r="O250" s="1" t="str">
        <f>HYPERLINK(".\sm_car_250418_1417\sm_car_250418_1417_249_Ca170TrN_MaCPU_ode23t_1.png","figure")</f>
        <v>figure</v>
      </c>
      <c r="P250" t="s">
        <v>15</v>
      </c>
    </row>
    <row r="251" spans="1:16" x14ac:dyDescent="0.25">
      <c r="A251">
        <v>250</v>
      </c>
      <c r="B251">
        <v>170</v>
      </c>
      <c r="C251" t="s">
        <v>45</v>
      </c>
      <c r="D251" t="s">
        <v>35</v>
      </c>
      <c r="E251" t="s">
        <v>49</v>
      </c>
      <c r="F251" t="s">
        <v>19</v>
      </c>
      <c r="G251" t="s">
        <v>20</v>
      </c>
      <c r="H251" t="s">
        <v>21</v>
      </c>
      <c r="I251" t="s">
        <v>89</v>
      </c>
      <c r="J251" t="s">
        <v>23</v>
      </c>
      <c r="K251">
        <v>2558</v>
      </c>
      <c r="L251" s="10">
        <v>18.8421439</v>
      </c>
      <c r="M251" s="10">
        <v>183.04745642911462</v>
      </c>
      <c r="N251" s="10">
        <v>-170.21937160498237</v>
      </c>
      <c r="O251" s="1" t="str">
        <f>HYPERLINK(".\sm_car_250418_1417\sm_car_250418_1417_250_Ca170TrN_MaCPD_ode23t_1.png","figure")</f>
        <v>figure</v>
      </c>
      <c r="P251" t="s">
        <v>15</v>
      </c>
    </row>
    <row r="252" spans="1:16" x14ac:dyDescent="0.25">
      <c r="A252">
        <v>251</v>
      </c>
      <c r="B252">
        <v>202</v>
      </c>
      <c r="C252" t="s">
        <v>45</v>
      </c>
      <c r="D252" t="s">
        <v>35</v>
      </c>
      <c r="E252" t="s">
        <v>107</v>
      </c>
      <c r="F252" t="s">
        <v>19</v>
      </c>
      <c r="G252" t="s">
        <v>20</v>
      </c>
      <c r="H252" t="s">
        <v>21</v>
      </c>
      <c r="I252" t="s">
        <v>79</v>
      </c>
      <c r="J252" t="s">
        <v>23</v>
      </c>
      <c r="K252">
        <v>1797</v>
      </c>
      <c r="L252" s="10">
        <v>4.1318241000000002</v>
      </c>
      <c r="M252" s="10">
        <v>-5.9732505400745399</v>
      </c>
      <c r="N252" s="10">
        <v>2.8077915143428587E-3</v>
      </c>
      <c r="O252" s="1" t="str">
        <f>HYPERLINK(".\sm_car_250418_1417\sm_car_250418_1417_251_Ca202TrN_MaCMF_ode23t_1.png","figure")</f>
        <v>figure</v>
      </c>
      <c r="P252" t="s">
        <v>15</v>
      </c>
    </row>
    <row r="253" spans="1:16" x14ac:dyDescent="0.25">
      <c r="A253">
        <v>252</v>
      </c>
      <c r="B253">
        <v>202</v>
      </c>
      <c r="C253" t="s">
        <v>45</v>
      </c>
      <c r="D253" t="s">
        <v>35</v>
      </c>
      <c r="E253" t="s">
        <v>107</v>
      </c>
      <c r="F253" t="s">
        <v>19</v>
      </c>
      <c r="G253" t="s">
        <v>20</v>
      </c>
      <c r="H253" t="s">
        <v>21</v>
      </c>
      <c r="I253" t="s">
        <v>80</v>
      </c>
      <c r="J253" t="s">
        <v>23</v>
      </c>
      <c r="K253">
        <v>4499</v>
      </c>
      <c r="L253" s="10">
        <v>22.1862517</v>
      </c>
      <c r="M253" s="10">
        <v>-329.50809157633853</v>
      </c>
      <c r="N253" s="10">
        <v>6.0587194077147268</v>
      </c>
      <c r="O253" s="1" t="str">
        <f>HYPERLINK(".\sm_car_250418_1417\sm_car_250418_1417_252_Ca202TrN_MaMPO_ode23t_1.png","figure")</f>
        <v>figure</v>
      </c>
      <c r="P253" t="s">
        <v>15</v>
      </c>
    </row>
    <row r="254" spans="1:16" x14ac:dyDescent="0.25">
      <c r="A254">
        <v>253</v>
      </c>
      <c r="B254">
        <v>202</v>
      </c>
      <c r="C254" t="s">
        <v>45</v>
      </c>
      <c r="D254" t="s">
        <v>35</v>
      </c>
      <c r="E254" t="s">
        <v>107</v>
      </c>
      <c r="F254" t="s">
        <v>19</v>
      </c>
      <c r="G254" t="s">
        <v>20</v>
      </c>
      <c r="H254" t="s">
        <v>21</v>
      </c>
      <c r="I254" t="s">
        <v>81</v>
      </c>
      <c r="J254" t="s">
        <v>23</v>
      </c>
      <c r="K254">
        <v>1193</v>
      </c>
      <c r="L254" s="10">
        <v>5.9108347999999999</v>
      </c>
      <c r="M254" s="10">
        <v>-13.902917110453195</v>
      </c>
      <c r="N254" s="10">
        <v>0.2046734003144195</v>
      </c>
      <c r="O254" s="1" t="str">
        <f>HYPERLINK(".\sm_car_250418_1417\sm_car_250418_1417_253_Ca202TrN_MaMCI_ode23t_1.png","figure")</f>
        <v>figure</v>
      </c>
      <c r="P254" t="s">
        <v>15</v>
      </c>
    </row>
    <row r="255" spans="1:16" x14ac:dyDescent="0.25">
      <c r="A255">
        <v>254</v>
      </c>
      <c r="B255">
        <v>202</v>
      </c>
      <c r="C255" t="s">
        <v>45</v>
      </c>
      <c r="D255" t="s">
        <v>35</v>
      </c>
      <c r="E255" t="s">
        <v>107</v>
      </c>
      <c r="F255" t="s">
        <v>19</v>
      </c>
      <c r="G255" t="s">
        <v>20</v>
      </c>
      <c r="H255" t="s">
        <v>21</v>
      </c>
      <c r="I255" t="s">
        <v>83</v>
      </c>
      <c r="J255" t="s">
        <v>23</v>
      </c>
      <c r="K255">
        <v>3626</v>
      </c>
      <c r="L255" s="10">
        <v>9.2264175999999996</v>
      </c>
      <c r="M255" s="10">
        <v>-5.9908518780683089</v>
      </c>
      <c r="N255" s="10">
        <v>-7.1870564873795081E-3</v>
      </c>
      <c r="O255" s="1" t="str">
        <f>HYPERLINK(".\sm_car_250418_1417\sm_car_250418_1417_254_Ca202TrN_MaCKF_ode23t_1.png","figure")</f>
        <v>figure</v>
      </c>
      <c r="P255" t="s">
        <v>15</v>
      </c>
    </row>
    <row r="256" spans="1:16" x14ac:dyDescent="0.25">
      <c r="A256">
        <v>255</v>
      </c>
      <c r="B256">
        <v>202</v>
      </c>
      <c r="C256" t="s">
        <v>45</v>
      </c>
      <c r="D256" t="s">
        <v>35</v>
      </c>
      <c r="E256" t="s">
        <v>107</v>
      </c>
      <c r="F256" t="s">
        <v>19</v>
      </c>
      <c r="G256" t="s">
        <v>20</v>
      </c>
      <c r="H256" t="s">
        <v>21</v>
      </c>
      <c r="I256" t="s">
        <v>85</v>
      </c>
      <c r="J256" t="s">
        <v>23</v>
      </c>
      <c r="K256">
        <v>10227</v>
      </c>
      <c r="L256" s="10">
        <v>107.8616097</v>
      </c>
      <c r="M256" s="10">
        <v>-8.9984482519704176</v>
      </c>
      <c r="N256" s="10">
        <v>4.7059211791373567E-2</v>
      </c>
      <c r="O256" s="1" t="str">
        <f>HYPERLINK(".\sm_car_250418_1417\sm_car_250418_1417_255_Ca202TrN_MaCNF_ode23t_1.png","figure")</f>
        <v>figure</v>
      </c>
      <c r="P256" t="s">
        <v>15</v>
      </c>
    </row>
    <row r="257" spans="1:16" x14ac:dyDescent="0.25">
      <c r="A257">
        <v>256</v>
      </c>
      <c r="B257">
        <v>202</v>
      </c>
      <c r="C257" t="s">
        <v>45</v>
      </c>
      <c r="D257" t="s">
        <v>35</v>
      </c>
      <c r="E257" t="s">
        <v>107</v>
      </c>
      <c r="F257" t="s">
        <v>19</v>
      </c>
      <c r="G257" t="s">
        <v>20</v>
      </c>
      <c r="H257" t="s">
        <v>21</v>
      </c>
      <c r="I257" t="s">
        <v>87</v>
      </c>
      <c r="J257" t="s">
        <v>23</v>
      </c>
      <c r="K257">
        <v>5745</v>
      </c>
      <c r="L257" s="10">
        <v>45.549486199999997</v>
      </c>
      <c r="M257" s="10">
        <v>-8.9431525670925076</v>
      </c>
      <c r="N257" s="10">
        <v>9.7566684280262807E-3</v>
      </c>
      <c r="O257" s="1" t="str">
        <f>HYPERLINK(".\sm_car_250418_1417\sm_car_250418_1417_256_Ca202TrN_MaCSF_ode23t_1.png","figure")</f>
        <v>figure</v>
      </c>
      <c r="P257" t="s">
        <v>15</v>
      </c>
    </row>
    <row r="258" spans="1:16" x14ac:dyDescent="0.25">
      <c r="A258">
        <v>257</v>
      </c>
      <c r="B258">
        <v>202</v>
      </c>
      <c r="C258" t="s">
        <v>45</v>
      </c>
      <c r="D258" t="s">
        <v>35</v>
      </c>
      <c r="E258" t="s">
        <v>107</v>
      </c>
      <c r="F258" t="s">
        <v>19</v>
      </c>
      <c r="G258" t="s">
        <v>20</v>
      </c>
      <c r="H258" t="s">
        <v>21</v>
      </c>
      <c r="I258" t="s">
        <v>78</v>
      </c>
      <c r="J258" t="s">
        <v>23</v>
      </c>
      <c r="K258">
        <v>5538</v>
      </c>
      <c r="L258" s="10">
        <v>18.939167099999999</v>
      </c>
      <c r="M258" s="10">
        <v>-5.999398283026526</v>
      </c>
      <c r="N258" s="10">
        <v>2.9353198212814595E-3</v>
      </c>
      <c r="O258" s="1" t="str">
        <f>HYPERLINK(".\sm_car_250418_1417\sm_car_250418_1417_257_Ca202TrN_MaCMP_ode23t_1.png","figure")</f>
        <v>figure</v>
      </c>
      <c r="P258" t="s">
        <v>15</v>
      </c>
    </row>
    <row r="259" spans="1:16" x14ac:dyDescent="0.25">
      <c r="A259">
        <v>258</v>
      </c>
      <c r="B259">
        <v>202</v>
      </c>
      <c r="C259" t="s">
        <v>45</v>
      </c>
      <c r="D259" t="s">
        <v>35</v>
      </c>
      <c r="E259" t="s">
        <v>107</v>
      </c>
      <c r="F259" t="s">
        <v>19</v>
      </c>
      <c r="G259" t="s">
        <v>20</v>
      </c>
      <c r="H259" t="s">
        <v>21</v>
      </c>
      <c r="I259" t="s">
        <v>82</v>
      </c>
      <c r="J259" t="s">
        <v>23</v>
      </c>
      <c r="K259">
        <v>14905</v>
      </c>
      <c r="L259" s="10">
        <v>52.977103300000003</v>
      </c>
      <c r="M259" s="10">
        <v>-5.9990245248567993</v>
      </c>
      <c r="N259" s="10">
        <v>-8.8922096543663648E-3</v>
      </c>
      <c r="O259" s="1" t="str">
        <f>HYPERLINK(".\sm_car_250418_1417\sm_car_250418_1417_258_Ca202TrN_MaCKY_ode23t_1.png","figure")</f>
        <v>figure</v>
      </c>
      <c r="P259" t="s">
        <v>15</v>
      </c>
    </row>
    <row r="260" spans="1:16" x14ac:dyDescent="0.25">
      <c r="A260">
        <v>259</v>
      </c>
      <c r="B260">
        <v>202</v>
      </c>
      <c r="C260" t="s">
        <v>45</v>
      </c>
      <c r="D260" t="s">
        <v>35</v>
      </c>
      <c r="E260" t="s">
        <v>107</v>
      </c>
      <c r="F260" t="s">
        <v>19</v>
      </c>
      <c r="G260" t="s">
        <v>20</v>
      </c>
      <c r="H260" t="s">
        <v>21</v>
      </c>
      <c r="I260" t="s">
        <v>75</v>
      </c>
      <c r="J260" t="s">
        <v>23</v>
      </c>
      <c r="K260">
        <v>460</v>
      </c>
      <c r="L260" s="10">
        <v>2.4734129999999999</v>
      </c>
      <c r="M260" s="10">
        <v>381.37293638019747</v>
      </c>
      <c r="N260" s="10">
        <v>0.32912509632959175</v>
      </c>
      <c r="O260" s="1" t="str">
        <f>HYPERLINK(".\sm_car_250418_1417\sm_car_250418_1417_259_Ca202TrN_MaCPL_ode23t_1.png","figure")</f>
        <v>figure</v>
      </c>
      <c r="P260" t="s">
        <v>15</v>
      </c>
    </row>
    <row r="261" spans="1:16" x14ac:dyDescent="0.25">
      <c r="A261">
        <v>260</v>
      </c>
      <c r="B261">
        <v>140</v>
      </c>
      <c r="C261" t="s">
        <v>45</v>
      </c>
      <c r="D261" t="s">
        <v>17</v>
      </c>
      <c r="E261" t="s">
        <v>49</v>
      </c>
      <c r="F261" t="s">
        <v>19</v>
      </c>
      <c r="G261" t="s">
        <v>26</v>
      </c>
      <c r="H261" t="s">
        <v>21</v>
      </c>
      <c r="I261" t="s">
        <v>112</v>
      </c>
      <c r="J261" t="s">
        <v>23</v>
      </c>
      <c r="K261">
        <v>2737</v>
      </c>
      <c r="L261" s="10">
        <v>40.783298600000002</v>
      </c>
      <c r="M261" s="10">
        <v>176.28408187492218</v>
      </c>
      <c r="N261" s="10">
        <v>7.1522509420073477E-4</v>
      </c>
      <c r="O261" s="1" t="str">
        <f>HYPERLINK(".\sm_car_250418_1417\sm_car_250418_1417_260_Ca140TrN_MaCRR_ode23t_1.png","figure")</f>
        <v>figure</v>
      </c>
      <c r="P261" t="s">
        <v>15</v>
      </c>
    </row>
    <row r="262" spans="1:16" x14ac:dyDescent="0.25">
      <c r="A262">
        <v>261</v>
      </c>
      <c r="B262">
        <v>189</v>
      </c>
      <c r="C262" t="s">
        <v>45</v>
      </c>
      <c r="D262" t="s">
        <v>17</v>
      </c>
      <c r="E262" t="s">
        <v>107</v>
      </c>
      <c r="F262" t="s">
        <v>19</v>
      </c>
      <c r="G262" t="s">
        <v>26</v>
      </c>
      <c r="H262" t="s">
        <v>21</v>
      </c>
      <c r="I262" t="s">
        <v>112</v>
      </c>
      <c r="J262" t="s">
        <v>23</v>
      </c>
      <c r="K262">
        <v>3334</v>
      </c>
      <c r="L262" s="10">
        <v>36.368087600000003</v>
      </c>
      <c r="M262" s="10">
        <v>176.34124703706829</v>
      </c>
      <c r="N262" s="10">
        <v>7.5729250974732119E-4</v>
      </c>
      <c r="O262" s="1" t="str">
        <f>HYPERLINK(".\sm_car_250418_1417\sm_car_250418_1417_261_Ca189TrN_MaCRR_ode23t_1.png","figure")</f>
        <v>figure</v>
      </c>
      <c r="P262" t="s">
        <v>15</v>
      </c>
    </row>
    <row r="263" spans="1:16" x14ac:dyDescent="0.25">
      <c r="A263">
        <v>262</v>
      </c>
      <c r="B263">
        <v>173</v>
      </c>
      <c r="C263" t="s">
        <v>45</v>
      </c>
      <c r="D263" t="s">
        <v>35</v>
      </c>
      <c r="E263" t="s">
        <v>49</v>
      </c>
      <c r="F263" t="s">
        <v>19</v>
      </c>
      <c r="G263" t="s">
        <v>90</v>
      </c>
      <c r="H263" t="s">
        <v>21</v>
      </c>
      <c r="I263" t="s">
        <v>91</v>
      </c>
      <c r="J263" t="s">
        <v>92</v>
      </c>
      <c r="K263">
        <v>1595</v>
      </c>
      <c r="L263" s="10">
        <v>58.653961899999999</v>
      </c>
      <c r="M263" s="10">
        <v>51.299667292212206</v>
      </c>
      <c r="N263" s="10">
        <v>9.0084138817176865E-3</v>
      </c>
      <c r="O263" s="1" t="str">
        <f>HYPERLINK(".\sm_car_250418_1417\sm_car_250418_1417_262_Ca173TrN_MaDCA_daessc_1.png","figure")</f>
        <v>figure</v>
      </c>
      <c r="P263" t="s">
        <v>15</v>
      </c>
    </row>
    <row r="264" spans="1:16" x14ac:dyDescent="0.25">
      <c r="A264">
        <v>263</v>
      </c>
      <c r="B264">
        <v>173</v>
      </c>
      <c r="C264" t="s">
        <v>45</v>
      </c>
      <c r="D264" t="s">
        <v>35</v>
      </c>
      <c r="E264" t="s">
        <v>49</v>
      </c>
      <c r="F264" t="s">
        <v>19</v>
      </c>
      <c r="G264" t="s">
        <v>90</v>
      </c>
      <c r="H264" t="s">
        <v>21</v>
      </c>
      <c r="I264" t="s">
        <v>93</v>
      </c>
      <c r="J264" t="s">
        <v>92</v>
      </c>
      <c r="K264">
        <v>4143</v>
      </c>
      <c r="L264" s="10">
        <v>104.0119408</v>
      </c>
      <c r="M264" s="10">
        <v>980.46614980919958</v>
      </c>
      <c r="N264" s="10">
        <v>0.72239416866001649</v>
      </c>
      <c r="O264" s="1" t="str">
        <f>HYPERLINK(".\sm_car_250418_1417\sm_car_250418_1417_263_Ca173TrN_MaDC1_daessc_1.png","figure")</f>
        <v>figure</v>
      </c>
      <c r="P264" t="s">
        <v>15</v>
      </c>
    </row>
    <row r="265" spans="1:16" x14ac:dyDescent="0.25">
      <c r="A265">
        <v>264</v>
      </c>
      <c r="B265">
        <v>165</v>
      </c>
      <c r="C265" t="s">
        <v>45</v>
      </c>
      <c r="D265" t="s">
        <v>35</v>
      </c>
      <c r="E265" t="s">
        <v>49</v>
      </c>
      <c r="F265" t="s">
        <v>19</v>
      </c>
      <c r="G265" t="s">
        <v>26</v>
      </c>
      <c r="H265" t="s">
        <v>21</v>
      </c>
      <c r="I265" t="s">
        <v>91</v>
      </c>
      <c r="J265" t="s">
        <v>23</v>
      </c>
      <c r="K265">
        <v>324</v>
      </c>
      <c r="L265" s="10">
        <v>3.6601281999999999</v>
      </c>
      <c r="M265" s="10">
        <v>53.50933855607272</v>
      </c>
      <c r="N265" s="10">
        <v>9.87144080122207E-3</v>
      </c>
      <c r="O265" s="1" t="str">
        <f>HYPERLINK(".\sm_car_250418_1417\sm_car_250418_1417_264_Ca165TrN_MaDCA_ode23t_1.png","figure")</f>
        <v>figure</v>
      </c>
      <c r="P265" t="s">
        <v>15</v>
      </c>
    </row>
    <row r="266" spans="1:16" x14ac:dyDescent="0.25">
      <c r="A266">
        <v>265</v>
      </c>
      <c r="B266">
        <v>165</v>
      </c>
      <c r="C266" t="s">
        <v>45</v>
      </c>
      <c r="D266" t="s">
        <v>35</v>
      </c>
      <c r="E266" t="s">
        <v>49</v>
      </c>
      <c r="F266" t="s">
        <v>19</v>
      </c>
      <c r="G266" t="s">
        <v>26</v>
      </c>
      <c r="H266" t="s">
        <v>21</v>
      </c>
      <c r="I266" t="s">
        <v>93</v>
      </c>
      <c r="J266" t="s">
        <v>23</v>
      </c>
      <c r="K266">
        <v>1192</v>
      </c>
      <c r="L266" s="10">
        <v>7.5177091999999996</v>
      </c>
      <c r="M266" s="10">
        <v>992.65396978481783</v>
      </c>
      <c r="N266" s="10">
        <v>0.79337828607914496</v>
      </c>
      <c r="O266" s="1" t="str">
        <f>HYPERLINK(".\sm_car_250418_1417\sm_car_250418_1417_265_Ca165TrN_MaDC1_ode23t_1.png","figure")</f>
        <v>figure</v>
      </c>
      <c r="P266" t="s">
        <v>15</v>
      </c>
    </row>
    <row r="267" spans="1:16" x14ac:dyDescent="0.25">
      <c r="A267">
        <v>266</v>
      </c>
      <c r="B267">
        <v>196</v>
      </c>
      <c r="C267" t="s">
        <v>45</v>
      </c>
      <c r="D267" t="s">
        <v>35</v>
      </c>
      <c r="E267" t="s">
        <v>107</v>
      </c>
      <c r="F267" t="s">
        <v>19</v>
      </c>
      <c r="G267" t="s">
        <v>90</v>
      </c>
      <c r="H267" t="s">
        <v>21</v>
      </c>
      <c r="I267" t="s">
        <v>93</v>
      </c>
      <c r="J267" t="s">
        <v>92</v>
      </c>
      <c r="K267">
        <v>4088</v>
      </c>
      <c r="L267" s="10">
        <v>48.537710199999999</v>
      </c>
      <c r="M267" s="10">
        <v>980.46291470411711</v>
      </c>
      <c r="N267" s="10">
        <v>0.72250999103930302</v>
      </c>
      <c r="O267" s="1" t="str">
        <f>HYPERLINK(".\sm_car_250418_1417\sm_car_250418_1417_266_Ca196TrN_MaDC1_daessc_1.png","figure")</f>
        <v>figure</v>
      </c>
      <c r="P267" t="s">
        <v>15</v>
      </c>
    </row>
    <row r="268" spans="1:16" x14ac:dyDescent="0.25">
      <c r="A268">
        <v>267</v>
      </c>
      <c r="B268">
        <v>179</v>
      </c>
      <c r="C268" t="s">
        <v>45</v>
      </c>
      <c r="D268" t="s">
        <v>57</v>
      </c>
      <c r="E268" t="s">
        <v>18</v>
      </c>
      <c r="F268" t="s">
        <v>19</v>
      </c>
      <c r="G268" t="s">
        <v>26</v>
      </c>
      <c r="H268" t="s">
        <v>21</v>
      </c>
      <c r="I268" t="s">
        <v>22</v>
      </c>
      <c r="J268" t="s">
        <v>23</v>
      </c>
      <c r="K268">
        <v>488</v>
      </c>
      <c r="L268" s="10">
        <v>5.1589627</v>
      </c>
      <c r="M268" s="10">
        <v>147.84454850028862</v>
      </c>
      <c r="N268" s="10">
        <v>9.4580128439410424E-2</v>
      </c>
      <c r="O268" s="1" t="str">
        <f>HYPERLINK(".\sm_car_250418_1417\sm_car_250418_1417_267_Ca179TrN_MaWOT_ode23t_1.png","figure")</f>
        <v>figure</v>
      </c>
      <c r="P268" t="s">
        <v>15</v>
      </c>
    </row>
    <row r="269" spans="1:16" x14ac:dyDescent="0.25">
      <c r="A269">
        <v>268</v>
      </c>
      <c r="B269">
        <v>180</v>
      </c>
      <c r="C269" t="s">
        <v>45</v>
      </c>
      <c r="D269" t="s">
        <v>57</v>
      </c>
      <c r="E269" t="s">
        <v>49</v>
      </c>
      <c r="F269" t="s">
        <v>19</v>
      </c>
      <c r="G269" t="s">
        <v>26</v>
      </c>
      <c r="H269" t="s">
        <v>21</v>
      </c>
      <c r="I269" t="s">
        <v>22</v>
      </c>
      <c r="J269" t="s">
        <v>23</v>
      </c>
      <c r="K269">
        <v>528</v>
      </c>
      <c r="L269" s="10">
        <v>6.8033608000000001</v>
      </c>
      <c r="M269" s="10">
        <v>147.86585735395442</v>
      </c>
      <c r="N269" s="10">
        <v>9.4528074296231654E-2</v>
      </c>
      <c r="O269" s="1" t="str">
        <f>HYPERLINK(".\sm_car_250418_1417\sm_car_250418_1417_268_Ca180TrN_MaWOT_ode23t_1.png","figure")</f>
        <v>figure</v>
      </c>
      <c r="P269" t="s">
        <v>15</v>
      </c>
    </row>
    <row r="270" spans="1:16" x14ac:dyDescent="0.25">
      <c r="A270">
        <v>269</v>
      </c>
      <c r="B270">
        <v>197</v>
      </c>
      <c r="C270" t="s">
        <v>45</v>
      </c>
      <c r="D270" t="s">
        <v>57</v>
      </c>
      <c r="E270" t="s">
        <v>107</v>
      </c>
      <c r="F270" t="s">
        <v>19</v>
      </c>
      <c r="G270" t="s">
        <v>26</v>
      </c>
      <c r="H270" t="s">
        <v>21</v>
      </c>
      <c r="I270" t="s">
        <v>22</v>
      </c>
      <c r="J270" t="s">
        <v>23</v>
      </c>
      <c r="K270">
        <v>459</v>
      </c>
      <c r="L270" s="10">
        <v>2.0614891000000002</v>
      </c>
      <c r="M270" s="10">
        <v>147.86026190559065</v>
      </c>
      <c r="N270" s="10">
        <v>9.451510019601661E-2</v>
      </c>
      <c r="O270" s="1" t="str">
        <f>HYPERLINK(".\sm_car_250418_1417\sm_car_250418_1417_269_Ca197TrN_MaWOT_ode23t_1.png","figure")</f>
        <v>figure</v>
      </c>
      <c r="P270" t="s">
        <v>15</v>
      </c>
    </row>
    <row r="271" spans="1:16" x14ac:dyDescent="0.25">
      <c r="A271">
        <v>270</v>
      </c>
      <c r="B271">
        <v>182</v>
      </c>
      <c r="C271" t="s">
        <v>45</v>
      </c>
      <c r="D271" t="s">
        <v>17</v>
      </c>
      <c r="E271" t="s">
        <v>49</v>
      </c>
      <c r="F271" t="s">
        <v>19</v>
      </c>
      <c r="G271" t="s">
        <v>26</v>
      </c>
      <c r="H271" t="s">
        <v>21</v>
      </c>
      <c r="I271" t="s">
        <v>64</v>
      </c>
      <c r="J271" t="s">
        <v>23</v>
      </c>
      <c r="K271">
        <v>421</v>
      </c>
      <c r="L271" s="10">
        <v>12.9999628</v>
      </c>
      <c r="M271" s="10">
        <v>62.248050675610131</v>
      </c>
      <c r="N271" s="10">
        <v>-24.542736932717091</v>
      </c>
      <c r="O271" s="1" t="str">
        <f>HYPERLINK(".\sm_car_250418_1417\sm_car_250418_1417_270_Ca182TrN_MaTUR_ode23t_1.png","figure")</f>
        <v>figure</v>
      </c>
      <c r="P271" t="s">
        <v>15</v>
      </c>
    </row>
    <row r="272" spans="1:16" x14ac:dyDescent="0.25">
      <c r="A272">
        <v>271</v>
      </c>
      <c r="B272">
        <v>203</v>
      </c>
      <c r="C272" t="s">
        <v>45</v>
      </c>
      <c r="D272" t="s">
        <v>17</v>
      </c>
      <c r="E272" t="s">
        <v>107</v>
      </c>
      <c r="F272" t="s">
        <v>19</v>
      </c>
      <c r="G272" t="s">
        <v>26</v>
      </c>
      <c r="H272" t="s">
        <v>21</v>
      </c>
      <c r="I272" t="s">
        <v>64</v>
      </c>
      <c r="J272" t="s">
        <v>23</v>
      </c>
      <c r="K272">
        <v>362</v>
      </c>
      <c r="L272" s="10">
        <v>4.6068614999999999</v>
      </c>
      <c r="M272" s="10">
        <v>62.262500244230537</v>
      </c>
      <c r="N272" s="10">
        <v>-24.564044523671043</v>
      </c>
      <c r="O272" s="1" t="str">
        <f>HYPERLINK(".\sm_car_250418_1417\sm_car_250418_1417_271_Ca203TrN_MaTUR_ode23t_1.png","figure")</f>
        <v>figure</v>
      </c>
      <c r="P272" t="s">
        <v>15</v>
      </c>
    </row>
    <row r="273" spans="1:16" x14ac:dyDescent="0.25">
      <c r="A273">
        <v>272</v>
      </c>
      <c r="B273">
        <v>185</v>
      </c>
      <c r="C273" t="s">
        <v>45</v>
      </c>
      <c r="D273" t="s">
        <v>17</v>
      </c>
      <c r="E273" t="s">
        <v>18</v>
      </c>
      <c r="F273" t="s">
        <v>19</v>
      </c>
      <c r="G273" t="s">
        <v>26</v>
      </c>
      <c r="H273" t="s">
        <v>21</v>
      </c>
      <c r="I273" t="s">
        <v>64</v>
      </c>
      <c r="J273" t="s">
        <v>23</v>
      </c>
      <c r="K273">
        <v>529</v>
      </c>
      <c r="L273" s="10">
        <v>22.096002800000001</v>
      </c>
      <c r="M273" s="10">
        <v>112.70046164819981</v>
      </c>
      <c r="N273" s="10">
        <v>-79.24582128180495</v>
      </c>
      <c r="O273" s="1" t="str">
        <f>HYPERLINK(".\sm_car_250418_1417\sm_car_250418_1417_272_Ca185TrN_MaTUR_ode23t_1.png","figure")</f>
        <v>figure</v>
      </c>
      <c r="P273" t="s">
        <v>15</v>
      </c>
    </row>
    <row r="274" spans="1:16" x14ac:dyDescent="0.25">
      <c r="A274">
        <v>273</v>
      </c>
      <c r="B274">
        <v>188</v>
      </c>
      <c r="C274" t="s">
        <v>45</v>
      </c>
      <c r="D274" t="s">
        <v>113</v>
      </c>
      <c r="E274" t="s">
        <v>49</v>
      </c>
      <c r="F274" t="s">
        <v>19</v>
      </c>
      <c r="G274" t="s">
        <v>26</v>
      </c>
      <c r="H274" t="s">
        <v>21</v>
      </c>
      <c r="I274" t="s">
        <v>64</v>
      </c>
      <c r="J274" t="s">
        <v>23</v>
      </c>
      <c r="K274">
        <v>552</v>
      </c>
      <c r="L274" s="10">
        <v>7.4940587000000001</v>
      </c>
      <c r="M274" s="10">
        <v>140.64705522773997</v>
      </c>
      <c r="N274" s="10">
        <v>-71.774852622328865</v>
      </c>
      <c r="O274" s="1" t="str">
        <f>HYPERLINK(".\sm_car_250418_1417\sm_car_250418_1417_273_Ca188TrN_MaTUR_ode23t_1.png","figure")</f>
        <v>figure</v>
      </c>
      <c r="P274" t="s">
        <v>15</v>
      </c>
    </row>
    <row r="275" spans="1:16" x14ac:dyDescent="0.25">
      <c r="A275">
        <v>274</v>
      </c>
      <c r="B275" t="s">
        <v>94</v>
      </c>
      <c r="C275" t="s">
        <v>95</v>
      </c>
      <c r="D275" t="s">
        <v>35</v>
      </c>
      <c r="E275" t="s">
        <v>18</v>
      </c>
      <c r="F275" t="s">
        <v>19</v>
      </c>
      <c r="G275" t="s">
        <v>96</v>
      </c>
      <c r="H275" t="s">
        <v>21</v>
      </c>
      <c r="I275" t="s">
        <v>22</v>
      </c>
      <c r="J275" t="s">
        <v>23</v>
      </c>
      <c r="K275">
        <v>450</v>
      </c>
      <c r="L275" s="10">
        <v>13.1395625</v>
      </c>
      <c r="M275" s="10">
        <v>79.191473099722828</v>
      </c>
      <c r="N275" s="10">
        <v>-0.33363508893979904</v>
      </c>
      <c r="O275" s="1" t="str">
        <f>HYPERLINK(".\sm_car_250418_1417\sm_car_Axle3_250418_1417_274_CaAxle3_000TrN_MaWOT_ode23t_1.png","figure")</f>
        <v>figure</v>
      </c>
      <c r="P275" t="s">
        <v>15</v>
      </c>
    </row>
    <row r="276" spans="1:16" x14ac:dyDescent="0.25">
      <c r="A276">
        <v>275</v>
      </c>
      <c r="B276" t="s">
        <v>99</v>
      </c>
      <c r="C276" t="s">
        <v>100</v>
      </c>
      <c r="D276" t="s">
        <v>35</v>
      </c>
      <c r="E276" t="s">
        <v>18</v>
      </c>
      <c r="F276" t="s">
        <v>19</v>
      </c>
      <c r="G276" t="s">
        <v>96</v>
      </c>
      <c r="H276" t="s">
        <v>21</v>
      </c>
      <c r="I276" t="s">
        <v>22</v>
      </c>
      <c r="J276" t="s">
        <v>23</v>
      </c>
      <c r="K276">
        <v>479</v>
      </c>
      <c r="L276" s="10">
        <v>12.4379311</v>
      </c>
      <c r="M276" s="10">
        <v>69.133267510463625</v>
      </c>
      <c r="N276" s="10">
        <v>8.3860487409241985E-2</v>
      </c>
      <c r="O276" s="1" t="str">
        <f>HYPERLINK(".\sm_car_250418_1417\sm_car_Axle3_250418_1417_275_CaAxle3_008TrN_MaWOT_ode23t_1.png","figure")</f>
        <v>figure</v>
      </c>
      <c r="P276" t="s">
        <v>15</v>
      </c>
    </row>
    <row r="277" spans="1:16" x14ac:dyDescent="0.25">
      <c r="A277">
        <v>276</v>
      </c>
      <c r="B277" t="s">
        <v>97</v>
      </c>
      <c r="C277" t="s">
        <v>95</v>
      </c>
      <c r="D277" t="s">
        <v>35</v>
      </c>
      <c r="E277" t="s">
        <v>49</v>
      </c>
      <c r="F277" t="s">
        <v>19</v>
      </c>
      <c r="G277" t="s">
        <v>98</v>
      </c>
      <c r="H277" t="s">
        <v>21</v>
      </c>
      <c r="I277" t="s">
        <v>22</v>
      </c>
      <c r="J277" t="s">
        <v>23</v>
      </c>
      <c r="K277">
        <v>426</v>
      </c>
      <c r="L277" s="10">
        <v>13.7369003</v>
      </c>
      <c r="M277" s="10">
        <v>79.26753082601013</v>
      </c>
      <c r="N277" s="10">
        <v>-0.31346583892466412</v>
      </c>
      <c r="O277" s="1" t="str">
        <f>HYPERLINK(".\sm_car_250418_1417\sm_car_Axle3_250418_1417_276_CaAxle3_003TrN_MaWOT_ode23t_1.png","figure")</f>
        <v>figure</v>
      </c>
      <c r="P277" t="s">
        <v>15</v>
      </c>
    </row>
    <row r="278" spans="1:16" x14ac:dyDescent="0.25">
      <c r="A278">
        <v>277</v>
      </c>
      <c r="B278" t="s">
        <v>114</v>
      </c>
      <c r="C278" t="s">
        <v>95</v>
      </c>
      <c r="D278" t="s">
        <v>35</v>
      </c>
      <c r="E278" t="s">
        <v>107</v>
      </c>
      <c r="F278" t="s">
        <v>19</v>
      </c>
      <c r="G278" t="s">
        <v>98</v>
      </c>
      <c r="H278" t="s">
        <v>21</v>
      </c>
      <c r="I278" t="s">
        <v>22</v>
      </c>
      <c r="J278" t="s">
        <v>23</v>
      </c>
      <c r="K278">
        <v>438</v>
      </c>
      <c r="L278" s="10">
        <v>1.9084676</v>
      </c>
      <c r="M278" s="10">
        <v>80.149536181477046</v>
      </c>
      <c r="N278" s="10">
        <v>-0.31965340500242301</v>
      </c>
      <c r="O278" s="1" t="str">
        <f>HYPERLINK(".\sm_car_250418_1417\sm_car_Axle3_250418_1417_277_CaAxle3_017TrN_MaWOT_ode23t_1.png","figure")</f>
        <v>figure</v>
      </c>
      <c r="P278" t="s">
        <v>15</v>
      </c>
    </row>
    <row r="279" spans="1:16" x14ac:dyDescent="0.25">
      <c r="A279">
        <v>278</v>
      </c>
      <c r="B279" t="s">
        <v>101</v>
      </c>
      <c r="C279" t="s">
        <v>100</v>
      </c>
      <c r="D279" t="s">
        <v>35</v>
      </c>
      <c r="E279" t="s">
        <v>49</v>
      </c>
      <c r="F279" t="s">
        <v>19</v>
      </c>
      <c r="G279" t="s">
        <v>96</v>
      </c>
      <c r="H279" t="s">
        <v>102</v>
      </c>
      <c r="I279" t="s">
        <v>22</v>
      </c>
      <c r="J279" t="s">
        <v>23</v>
      </c>
      <c r="K279">
        <v>379</v>
      </c>
      <c r="L279" s="10">
        <v>32.072712299999999</v>
      </c>
      <c r="M279" s="10">
        <v>23.327283758737099</v>
      </c>
      <c r="N279" s="10">
        <v>2.4827836515485882E-3</v>
      </c>
      <c r="O279" s="1" t="str">
        <f>HYPERLINK(".\sm_car_250418_1417\sm_car_Axle3_250418_1417_278_CaAxle3_010TrK_MaWOT_ode23t_1.png","figure")</f>
        <v>figure</v>
      </c>
      <c r="P279" t="s">
        <v>15</v>
      </c>
    </row>
    <row r="280" spans="1:16" x14ac:dyDescent="0.25">
      <c r="A280">
        <v>279</v>
      </c>
      <c r="B280" t="s">
        <v>101</v>
      </c>
      <c r="C280" t="s">
        <v>100</v>
      </c>
      <c r="D280" t="s">
        <v>35</v>
      </c>
      <c r="E280" t="s">
        <v>49</v>
      </c>
      <c r="F280" t="s">
        <v>19</v>
      </c>
      <c r="G280" t="s">
        <v>96</v>
      </c>
      <c r="H280" t="s">
        <v>102</v>
      </c>
      <c r="I280" t="s">
        <v>22</v>
      </c>
      <c r="J280" t="s">
        <v>23</v>
      </c>
      <c r="K280">
        <v>402</v>
      </c>
      <c r="L280" s="10">
        <v>32.005809999999997</v>
      </c>
      <c r="M280" s="10">
        <v>23.441137317233412</v>
      </c>
      <c r="N280" s="10">
        <v>2.5318258846586152E-3</v>
      </c>
      <c r="O280" s="1" t="str">
        <f>HYPERLINK(".\sm_car_250418_1417\sm_car_Axle3_250418_1417_279_CaAxle3_010TrK_MaWOT_ode23t_1.png","figure")</f>
        <v>figure</v>
      </c>
      <c r="P280" t="s">
        <v>15</v>
      </c>
    </row>
    <row r="281" spans="1:16" x14ac:dyDescent="0.25">
      <c r="A281">
        <v>280</v>
      </c>
      <c r="B281" t="s">
        <v>115</v>
      </c>
      <c r="C281" t="s">
        <v>100</v>
      </c>
      <c r="D281" t="s">
        <v>35</v>
      </c>
      <c r="E281" t="s">
        <v>107</v>
      </c>
      <c r="F281" t="s">
        <v>19</v>
      </c>
      <c r="G281" t="s">
        <v>96</v>
      </c>
      <c r="H281" t="s">
        <v>102</v>
      </c>
      <c r="I281" t="s">
        <v>22</v>
      </c>
      <c r="J281" t="s">
        <v>23</v>
      </c>
      <c r="K281">
        <v>395</v>
      </c>
      <c r="L281" s="10">
        <v>2.5859328000000001</v>
      </c>
      <c r="M281" s="10">
        <v>26.915043021668794</v>
      </c>
      <c r="N281" s="10">
        <v>3.6189184600081623E-3</v>
      </c>
      <c r="O281" s="1" t="str">
        <f>HYPERLINK(".\sm_car_250418_1417\sm_car_Axle3_250418_1417_280_CaAxle3_019TrK_MaWOT_ode23t_1.png","figure")</f>
        <v>figure</v>
      </c>
      <c r="P281" t="s">
        <v>15</v>
      </c>
    </row>
    <row r="282" spans="1:16" x14ac:dyDescent="0.25">
      <c r="A282">
        <v>281</v>
      </c>
      <c r="B282" t="s">
        <v>115</v>
      </c>
      <c r="C282" t="s">
        <v>100</v>
      </c>
      <c r="D282" t="s">
        <v>35</v>
      </c>
      <c r="E282" t="s">
        <v>107</v>
      </c>
      <c r="F282" t="s">
        <v>19</v>
      </c>
      <c r="G282" t="s">
        <v>96</v>
      </c>
      <c r="H282" t="s">
        <v>102</v>
      </c>
      <c r="I282" t="s">
        <v>22</v>
      </c>
      <c r="J282" t="s">
        <v>23</v>
      </c>
      <c r="K282">
        <v>396</v>
      </c>
      <c r="L282" s="10">
        <v>2.6103516</v>
      </c>
      <c r="M282" s="10">
        <v>26.904154781457223</v>
      </c>
      <c r="N282" s="10">
        <v>3.6114672267954853E-3</v>
      </c>
      <c r="O282" s="1" t="str">
        <f>HYPERLINK(".\sm_car_250418_1417\sm_car_Axle3_250418_1417_281_CaAxle3_019TrK_MaWOT_ode23t_1.png","figure")</f>
        <v>figure</v>
      </c>
      <c r="P282" t="s">
        <v>15</v>
      </c>
    </row>
    <row r="283" spans="1:16" x14ac:dyDescent="0.25">
      <c r="A283">
        <v>282</v>
      </c>
      <c r="B283" t="s">
        <v>103</v>
      </c>
      <c r="C283" t="s">
        <v>100</v>
      </c>
      <c r="D283" t="s">
        <v>35</v>
      </c>
      <c r="E283" t="s">
        <v>18</v>
      </c>
      <c r="F283" t="s">
        <v>19</v>
      </c>
      <c r="G283" t="s">
        <v>104</v>
      </c>
      <c r="H283" t="s">
        <v>102</v>
      </c>
      <c r="I283" t="s">
        <v>53</v>
      </c>
      <c r="J283" t="s">
        <v>23</v>
      </c>
      <c r="K283">
        <v>669</v>
      </c>
      <c r="L283" s="10">
        <v>21.9415096</v>
      </c>
      <c r="M283" s="10">
        <v>253.20044181820992</v>
      </c>
      <c r="N283" s="10">
        <v>-9.6923652458091869E-2</v>
      </c>
      <c r="O283" s="1" t="str">
        <f>HYPERLINK(".\sm_car_250418_1417\sm_car_Axle3_250418_1417_282_CaAxle3_012TrK_MaDLC_ode23t_1.png","figure")</f>
        <v>figure</v>
      </c>
      <c r="P283" t="s">
        <v>15</v>
      </c>
    </row>
    <row r="284" spans="1:16" x14ac:dyDescent="0.25">
      <c r="A284">
        <v>283</v>
      </c>
      <c r="B284" t="s">
        <v>103</v>
      </c>
      <c r="C284" t="s">
        <v>100</v>
      </c>
      <c r="D284" t="s">
        <v>35</v>
      </c>
      <c r="E284" t="s">
        <v>18</v>
      </c>
      <c r="F284" t="s">
        <v>19</v>
      </c>
      <c r="G284" t="s">
        <v>104</v>
      </c>
      <c r="H284" t="s">
        <v>102</v>
      </c>
      <c r="I284" t="s">
        <v>53</v>
      </c>
      <c r="J284" t="s">
        <v>23</v>
      </c>
      <c r="K284">
        <v>761</v>
      </c>
      <c r="L284" s="10">
        <v>19.863819199999998</v>
      </c>
      <c r="M284" s="10">
        <v>254.24577857215235</v>
      </c>
      <c r="N284" s="10">
        <v>-9.851911464804175E-2</v>
      </c>
      <c r="O284" s="1" t="str">
        <f>HYPERLINK(".\sm_car_250418_1417\sm_car_Axle3_250418_1417_283_CaAxle3_012TrK_MaDLC_ode23t_1.png","figure")</f>
        <v>figure</v>
      </c>
      <c r="P284" t="s">
        <v>15</v>
      </c>
    </row>
    <row r="285" spans="1:16" x14ac:dyDescent="0.25">
      <c r="A285">
        <v>284</v>
      </c>
      <c r="B285" t="s">
        <v>103</v>
      </c>
      <c r="C285" t="s">
        <v>100</v>
      </c>
      <c r="D285" t="s">
        <v>35</v>
      </c>
      <c r="E285" t="s">
        <v>18</v>
      </c>
      <c r="F285" t="s">
        <v>19</v>
      </c>
      <c r="G285" t="s">
        <v>104</v>
      </c>
      <c r="H285" t="s">
        <v>102</v>
      </c>
      <c r="I285" t="s">
        <v>53</v>
      </c>
      <c r="J285" t="s">
        <v>23</v>
      </c>
      <c r="K285">
        <v>654</v>
      </c>
      <c r="L285" s="10">
        <v>15.632728999999999</v>
      </c>
      <c r="M285" s="10">
        <v>255.48311603288721</v>
      </c>
      <c r="N285" s="10">
        <v>-0.10384457382500356</v>
      </c>
      <c r="O285" s="1" t="str">
        <f>HYPERLINK(".\sm_car_250418_1417\sm_car_Axle3_250418_1417_284_CaAxle3_012TrK_MaDLC_ode23t_1.png","figure")</f>
        <v>figure</v>
      </c>
      <c r="P285" t="s">
        <v>15</v>
      </c>
    </row>
    <row r="286" spans="1:16" x14ac:dyDescent="0.25">
      <c r="A286">
        <v>285</v>
      </c>
      <c r="B286" t="s">
        <v>103</v>
      </c>
      <c r="C286" t="s">
        <v>100</v>
      </c>
      <c r="D286" t="s">
        <v>35</v>
      </c>
      <c r="E286" t="s">
        <v>18</v>
      </c>
      <c r="F286" t="s">
        <v>19</v>
      </c>
      <c r="G286" t="s">
        <v>104</v>
      </c>
      <c r="H286" t="s">
        <v>102</v>
      </c>
      <c r="I286" t="s">
        <v>53</v>
      </c>
      <c r="J286" t="s">
        <v>23</v>
      </c>
      <c r="K286">
        <v>938</v>
      </c>
      <c r="L286" s="10">
        <v>19.3834844</v>
      </c>
      <c r="M286" s="10">
        <v>253.32002971791792</v>
      </c>
      <c r="N286" s="10">
        <v>-8.9164001208727584E-2</v>
      </c>
      <c r="O286" s="1" t="str">
        <f>HYPERLINK(".\sm_car_250418_1417\sm_car_Axle3_250418_1417_285_CaAxle3_012TrK_MaDLC_ode23t_1.png","figure")</f>
        <v>figure</v>
      </c>
      <c r="P286" t="s">
        <v>15</v>
      </c>
    </row>
  </sheetData>
  <autoFilter ref="A1:P286" xr:uid="{AE6BBF5A-E781-4286-9ADB-BB9ED936C00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B11D-BA3E-4072-892B-09D24D2BA2BD}">
  <dimension ref="A1:R287"/>
  <sheetViews>
    <sheetView workbookViewId="0">
      <pane xSplit="15" ySplit="1" topLeftCell="P2" activePane="bottomRight" state="frozen"/>
      <selection pane="topRight" activeCell="P1" sqref="P1"/>
      <selection pane="bottomLeft" activeCell="A2" sqref="A2"/>
      <selection pane="bottomRight" activeCell="P2" sqref="P2"/>
    </sheetView>
  </sheetViews>
  <sheetFormatPr defaultRowHeight="15" x14ac:dyDescent="0.25"/>
  <cols>
    <col min="1" max="1" width="4.42578125" bestFit="1" customWidth="1"/>
    <col min="2" max="2" width="10" bestFit="1" customWidth="1"/>
    <col min="3" max="3" width="14" bestFit="1" customWidth="1"/>
    <col min="4" max="4" width="12.42578125" bestFit="1" customWidth="1"/>
    <col min="5" max="5" width="11.85546875" bestFit="1" customWidth="1"/>
    <col min="6" max="6" width="11.42578125" bestFit="1" customWidth="1"/>
    <col min="7" max="7" width="16.85546875" bestFit="1" customWidth="1"/>
    <col min="8" max="8" width="8.5703125" bestFit="1" customWidth="1"/>
    <col min="9" max="9" width="27.140625" bestFit="1" customWidth="1"/>
    <col min="10" max="10" width="7.140625" bestFit="1" customWidth="1"/>
    <col min="11" max="11" width="7.28515625" bestFit="1" customWidth="1"/>
    <col min="12" max="12" width="7.5703125" bestFit="1" customWidth="1"/>
    <col min="13" max="13" width="8.5703125" bestFit="1" customWidth="1"/>
    <col min="14" max="14" width="9.28515625" bestFit="1" customWidth="1"/>
    <col min="15" max="15" width="6.5703125" bestFit="1" customWidth="1"/>
    <col min="16" max="16" width="4.85546875" bestFit="1" customWidth="1"/>
    <col min="18" max="18" width="30.7109375" bestFit="1" customWidth="1"/>
  </cols>
  <sheetData>
    <row r="1" spans="1: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R1" s="2" t="s">
        <v>140</v>
      </c>
    </row>
    <row r="2" spans="1:18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429</v>
      </c>
      <c r="L2" s="4">
        <v>7.5553789</v>
      </c>
      <c r="M2" s="4">
        <v>231.11452170644651</v>
      </c>
      <c r="N2" s="4">
        <v>-5.1214568677088804E-3</v>
      </c>
      <c r="O2" s="1" t="str">
        <f>HYPERLINK(".\sm_car_250503_1632\sm_car_250503_1632_001_Ca000TrN_MaWOT_ode23t.png","figure")</f>
        <v>figure</v>
      </c>
      <c r="P2" t="s">
        <v>15</v>
      </c>
      <c r="R2" s="2" t="s">
        <v>116</v>
      </c>
    </row>
    <row r="3" spans="1:18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24</v>
      </c>
      <c r="J3" t="s">
        <v>23</v>
      </c>
      <c r="K3">
        <v>525</v>
      </c>
      <c r="L3" s="4">
        <v>7.8671312000000002</v>
      </c>
      <c r="M3" s="4">
        <v>71.235931523957873</v>
      </c>
      <c r="N3" s="4">
        <v>-0.53998685618115971</v>
      </c>
      <c r="O3" s="1" t="str">
        <f>HYPERLINK(".\sm_car_250503_1632\sm_car_250503_1632_002_Ca000TrN_MaLSS_ode23t.png","figure")</f>
        <v>figure</v>
      </c>
      <c r="P3" t="s">
        <v>15</v>
      </c>
      <c r="R3" s="2" t="s">
        <v>117</v>
      </c>
    </row>
    <row r="4" spans="1:18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21</v>
      </c>
      <c r="I4" t="s">
        <v>22</v>
      </c>
      <c r="J4" t="s">
        <v>23</v>
      </c>
      <c r="K4">
        <v>408</v>
      </c>
      <c r="L4" s="4">
        <v>10.580148400000001</v>
      </c>
      <c r="M4" s="4">
        <v>230.12645584985668</v>
      </c>
      <c r="N4" s="4">
        <v>-1.6493096179388007E-2</v>
      </c>
      <c r="O4" s="1" t="str">
        <f>HYPERLINK(".\sm_car_250503_1632\sm_car_250503_1632_003_Ca001TrN_MaWOT_ode23t.png","figure")</f>
        <v>figure</v>
      </c>
      <c r="P4" t="s">
        <v>15</v>
      </c>
      <c r="R4" s="2" t="s">
        <v>118</v>
      </c>
    </row>
    <row r="5" spans="1:18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25</v>
      </c>
      <c r="H5" t="s">
        <v>21</v>
      </c>
      <c r="I5" t="s">
        <v>24</v>
      </c>
      <c r="J5" t="s">
        <v>23</v>
      </c>
      <c r="K5">
        <v>548</v>
      </c>
      <c r="L5" s="4">
        <v>12.087816399999999</v>
      </c>
      <c r="M5" s="4">
        <v>70.963277781880237</v>
      </c>
      <c r="N5" s="4">
        <v>-0.5346415179083438</v>
      </c>
      <c r="O5" s="1" t="str">
        <f>HYPERLINK(".\sm_car_250503_1632\sm_car_250503_1632_004_Ca001TrN_MaLSS_ode23t.png","figure")</f>
        <v>figure</v>
      </c>
      <c r="P5" t="s">
        <v>15</v>
      </c>
      <c r="R5" t="s">
        <v>141</v>
      </c>
    </row>
    <row r="6" spans="1:18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26</v>
      </c>
      <c r="H6" t="s">
        <v>21</v>
      </c>
      <c r="I6" t="s">
        <v>22</v>
      </c>
      <c r="J6" t="s">
        <v>23</v>
      </c>
      <c r="K6">
        <v>452</v>
      </c>
      <c r="L6" s="4">
        <v>16.6061716</v>
      </c>
      <c r="M6" s="4">
        <v>230.39043817564703</v>
      </c>
      <c r="N6" s="4">
        <v>4.8367750002032903E-2</v>
      </c>
      <c r="O6" s="1" t="str">
        <f>HYPERLINK(".\sm_car_250503_1632\sm_car_250503_1632_005_Ca002TrN_MaWOT_ode23t.png","figure")</f>
        <v>figure</v>
      </c>
      <c r="P6" t="s">
        <v>15</v>
      </c>
    </row>
    <row r="7" spans="1:18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26</v>
      </c>
      <c r="H7" t="s">
        <v>21</v>
      </c>
      <c r="I7" t="s">
        <v>24</v>
      </c>
      <c r="J7" t="s">
        <v>23</v>
      </c>
      <c r="K7">
        <v>525</v>
      </c>
      <c r="L7" s="4">
        <v>13.7437951</v>
      </c>
      <c r="M7" s="4">
        <v>70.954548448709019</v>
      </c>
      <c r="N7" s="4">
        <v>-0.52923719448858431</v>
      </c>
      <c r="O7" s="1" t="str">
        <f>HYPERLINK(".\sm_car_250503_1632\sm_car_250503_1632_006_Ca002TrN_MaLSS_ode23t.png","figure")</f>
        <v>figure</v>
      </c>
      <c r="P7" t="s">
        <v>15</v>
      </c>
    </row>
    <row r="8" spans="1:18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27</v>
      </c>
      <c r="H8" t="s">
        <v>21</v>
      </c>
      <c r="I8" t="s">
        <v>22</v>
      </c>
      <c r="J8" t="s">
        <v>23</v>
      </c>
      <c r="K8">
        <v>480</v>
      </c>
      <c r="L8" s="4">
        <v>17.7113497</v>
      </c>
      <c r="M8" s="4">
        <v>229.9162033825514</v>
      </c>
      <c r="N8" s="4">
        <v>4.6683525190426525E-2</v>
      </c>
      <c r="O8" s="1" t="str">
        <f>HYPERLINK(".\sm_car_250503_1632\sm_car_250503_1632_007_Ca003TrN_MaWOT_ode23t.png","figure")</f>
        <v>figure</v>
      </c>
      <c r="P8" t="s">
        <v>15</v>
      </c>
    </row>
    <row r="9" spans="1:18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27</v>
      </c>
      <c r="H9" t="s">
        <v>21</v>
      </c>
      <c r="I9" t="s">
        <v>24</v>
      </c>
      <c r="J9" t="s">
        <v>23</v>
      </c>
      <c r="K9">
        <v>561</v>
      </c>
      <c r="L9" s="4">
        <v>16.600971099999999</v>
      </c>
      <c r="M9" s="4">
        <v>70.822085075079826</v>
      </c>
      <c r="N9" s="4">
        <v>-0.5290428018529818</v>
      </c>
      <c r="O9" s="1" t="str">
        <f>HYPERLINK(".\sm_car_250503_1632\sm_car_250503_1632_008_Ca003TrN_MaLSS_ode23t.png","figure")</f>
        <v>figure</v>
      </c>
      <c r="P9" t="s">
        <v>15</v>
      </c>
    </row>
    <row r="10" spans="1:18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20</v>
      </c>
      <c r="H10" t="s">
        <v>21</v>
      </c>
      <c r="I10" t="s">
        <v>22</v>
      </c>
      <c r="J10" t="s">
        <v>23</v>
      </c>
      <c r="K10">
        <v>1091</v>
      </c>
      <c r="L10" s="4">
        <v>17.589328900000002</v>
      </c>
      <c r="M10" s="4">
        <v>231.31513178661689</v>
      </c>
      <c r="N10" s="4">
        <v>-3.6827351020467351E-3</v>
      </c>
      <c r="O10" s="1" t="str">
        <f>HYPERLINK(".\sm_car_250503_1632\sm_car_250503_1632_009_Ca004TrN_MaWOT_ode23t.png","figure")</f>
        <v>figure</v>
      </c>
      <c r="P10" t="s">
        <v>15</v>
      </c>
    </row>
    <row r="11" spans="1:18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20</v>
      </c>
      <c r="H11" t="s">
        <v>21</v>
      </c>
      <c r="I11" t="s">
        <v>24</v>
      </c>
      <c r="J11" t="s">
        <v>23</v>
      </c>
      <c r="K11">
        <v>1207</v>
      </c>
      <c r="L11" s="4">
        <v>18.348611600000002</v>
      </c>
      <c r="M11" s="4">
        <v>71.247770392046547</v>
      </c>
      <c r="N11" s="4">
        <v>-0.54207235310952473</v>
      </c>
      <c r="O11" s="1" t="str">
        <f>HYPERLINK(".\sm_car_250503_1632\sm_car_250503_1632_010_Ca004TrN_MaLSS_ode23t.png","figure")</f>
        <v>figure</v>
      </c>
      <c r="P11" t="s">
        <v>15</v>
      </c>
    </row>
    <row r="12" spans="1:18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25</v>
      </c>
      <c r="H12" t="s">
        <v>21</v>
      </c>
      <c r="I12" t="s">
        <v>22</v>
      </c>
      <c r="J12" t="s">
        <v>23</v>
      </c>
      <c r="K12">
        <v>1126</v>
      </c>
      <c r="L12" s="4">
        <v>13.8591028</v>
      </c>
      <c r="M12" s="4">
        <v>230.26343730716522</v>
      </c>
      <c r="N12" s="4">
        <v>-1.1772975595281803E-2</v>
      </c>
      <c r="O12" s="1" t="str">
        <f>HYPERLINK(".\sm_car_250503_1632\sm_car_250503_1632_011_Ca005TrN_MaWOT_ode23t.png","figure")</f>
        <v>figure</v>
      </c>
      <c r="P12" t="s">
        <v>15</v>
      </c>
    </row>
    <row r="13" spans="1:18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25</v>
      </c>
      <c r="H13" t="s">
        <v>21</v>
      </c>
      <c r="I13" t="s">
        <v>24</v>
      </c>
      <c r="J13" t="s">
        <v>23</v>
      </c>
      <c r="K13">
        <v>1233</v>
      </c>
      <c r="L13" s="4">
        <v>14.993567799999999</v>
      </c>
      <c r="M13" s="4">
        <v>70.962050700897009</v>
      </c>
      <c r="N13" s="4">
        <v>-0.53568681682971853</v>
      </c>
      <c r="O13" s="1" t="str">
        <f>HYPERLINK(".\sm_car_250503_1632\sm_car_250503_1632_012_Ca005TrN_MaLSS_ode23t.png","figure")</f>
        <v>figure</v>
      </c>
      <c r="P13" t="s">
        <v>15</v>
      </c>
    </row>
    <row r="14" spans="1:18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26</v>
      </c>
      <c r="H14" t="s">
        <v>21</v>
      </c>
      <c r="I14" t="s">
        <v>22</v>
      </c>
      <c r="J14" t="s">
        <v>23</v>
      </c>
      <c r="K14">
        <v>1222</v>
      </c>
      <c r="L14" s="4">
        <v>17.9970292</v>
      </c>
      <c r="M14" s="4">
        <v>230.233617326906</v>
      </c>
      <c r="N14" s="4">
        <v>5.5380980509635844E-2</v>
      </c>
      <c r="O14" s="1" t="str">
        <f>HYPERLINK(".\sm_car_250503_1632\sm_car_250503_1632_013_Ca006TrN_MaWOT_ode23t.png","figure")</f>
        <v>figure</v>
      </c>
      <c r="P14" t="s">
        <v>15</v>
      </c>
    </row>
    <row r="15" spans="1:18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26</v>
      </c>
      <c r="H15" t="s">
        <v>21</v>
      </c>
      <c r="I15" t="s">
        <v>24</v>
      </c>
      <c r="J15" t="s">
        <v>23</v>
      </c>
      <c r="K15">
        <v>1278</v>
      </c>
      <c r="L15" s="4">
        <v>15.882968099999999</v>
      </c>
      <c r="M15" s="4">
        <v>70.959562890601092</v>
      </c>
      <c r="N15" s="4">
        <v>-0.53249347747600451</v>
      </c>
      <c r="O15" s="1" t="str">
        <f>HYPERLINK(".\sm_car_250503_1632\sm_car_250503_1632_014_Ca006TrN_MaLSS_ode23t.png","figure")</f>
        <v>figure</v>
      </c>
      <c r="P15" t="s">
        <v>15</v>
      </c>
    </row>
    <row r="16" spans="1:18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27</v>
      </c>
      <c r="H16" t="s">
        <v>21</v>
      </c>
      <c r="I16" t="s">
        <v>22</v>
      </c>
      <c r="J16" t="s">
        <v>23</v>
      </c>
      <c r="K16">
        <v>1223</v>
      </c>
      <c r="L16" s="4">
        <v>19.5967226</v>
      </c>
      <c r="M16" s="4">
        <v>229.86142998853629</v>
      </c>
      <c r="N16" s="4">
        <v>5.1833528914222327E-2</v>
      </c>
      <c r="O16" s="1" t="str">
        <f>HYPERLINK(".\sm_car_250503_1632\sm_car_250503_1632_015_Ca007TrN_MaWOT_ode23t.png","figure")</f>
        <v>figure</v>
      </c>
      <c r="P16" t="s">
        <v>15</v>
      </c>
    </row>
    <row r="17" spans="1:16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27</v>
      </c>
      <c r="H17" t="s">
        <v>21</v>
      </c>
      <c r="I17" t="s">
        <v>24</v>
      </c>
      <c r="J17" t="s">
        <v>23</v>
      </c>
      <c r="K17">
        <v>1288</v>
      </c>
      <c r="L17" s="4">
        <v>17.336203399999999</v>
      </c>
      <c r="M17" s="4">
        <v>70.837755620151867</v>
      </c>
      <c r="N17" s="4">
        <v>-0.52963178504067288</v>
      </c>
      <c r="O17" s="1" t="str">
        <f>HYPERLINK(".\sm_car_250503_1632\sm_car_250503_1632_016_Ca007TrN_MaLSS_ode23t.png","figure")</f>
        <v>figure</v>
      </c>
      <c r="P17" t="s">
        <v>15</v>
      </c>
    </row>
    <row r="18" spans="1:16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>
        <v>410</v>
      </c>
      <c r="L18" s="4">
        <v>5.9619219000000001</v>
      </c>
      <c r="M18" s="4">
        <v>231.87836848616234</v>
      </c>
      <c r="N18" s="4">
        <v>-7.1467367141984053E-2</v>
      </c>
      <c r="O18" s="1" t="str">
        <f>HYPERLINK(".\sm_car_250503_1632\sm_car_250503_1632_017_Ca016TrN_MaWOT_ode23t.png","figure")</f>
        <v>figure</v>
      </c>
      <c r="P18" t="s">
        <v>15</v>
      </c>
    </row>
    <row r="19" spans="1:16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20</v>
      </c>
      <c r="H19" t="s">
        <v>21</v>
      </c>
      <c r="I19" t="s">
        <v>24</v>
      </c>
      <c r="J19" t="s">
        <v>23</v>
      </c>
      <c r="K19">
        <v>484</v>
      </c>
      <c r="L19" s="4">
        <v>5.9954811000000001</v>
      </c>
      <c r="M19" s="4">
        <v>71.522828729953773</v>
      </c>
      <c r="N19" s="4">
        <v>-2.1777472346577155E-2</v>
      </c>
      <c r="O19" s="1" t="str">
        <f>HYPERLINK(".\sm_car_250503_1632\sm_car_250503_1632_018_Ca016TrN_MaLSS_ode23t.png","figure")</f>
        <v>figure</v>
      </c>
      <c r="P19" t="s">
        <v>15</v>
      </c>
    </row>
    <row r="20" spans="1:16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>
        <v>403</v>
      </c>
      <c r="L20" s="4">
        <v>7.7026897999999999</v>
      </c>
      <c r="M20" s="4">
        <v>231.33776924947216</v>
      </c>
      <c r="N20" s="4">
        <v>8.5884740684537952E-3</v>
      </c>
      <c r="O20" s="1" t="str">
        <f>HYPERLINK(".\sm_car_250503_1632\sm_car_250503_1632_019_Ca032TrN_MaWOT_ode23t.png","figure")</f>
        <v>figure</v>
      </c>
      <c r="P20" t="s">
        <v>15</v>
      </c>
    </row>
    <row r="21" spans="1:16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20</v>
      </c>
      <c r="H21" t="s">
        <v>21</v>
      </c>
      <c r="I21" t="s">
        <v>24</v>
      </c>
      <c r="J21" t="s">
        <v>23</v>
      </c>
      <c r="K21">
        <v>522</v>
      </c>
      <c r="L21" s="4">
        <v>8.7544444000000006</v>
      </c>
      <c r="M21" s="4">
        <v>71.250270971725854</v>
      </c>
      <c r="N21" s="4">
        <v>-0.52248177369582693</v>
      </c>
      <c r="O21" s="1" t="str">
        <f>HYPERLINK(".\sm_car_250503_1632\sm_car_250503_1632_020_Ca032TrN_MaLSS_ode23t.png","figure")</f>
        <v>figure</v>
      </c>
      <c r="P21" t="s">
        <v>15</v>
      </c>
    </row>
    <row r="22" spans="1:16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>
        <v>408</v>
      </c>
      <c r="L22" s="4">
        <v>8.1617666999999994</v>
      </c>
      <c r="M22" s="4">
        <v>231.18644012813343</v>
      </c>
      <c r="N22" s="4">
        <v>-1.8818384155435391E-2</v>
      </c>
      <c r="O22" s="1" t="str">
        <f>HYPERLINK(".\sm_car_250503_1632\sm_car_250503_1632_021_Ca048TrN_MaWOT_ode23t.png","figure")</f>
        <v>figure</v>
      </c>
      <c r="P22" t="s">
        <v>15</v>
      </c>
    </row>
    <row r="23" spans="1:16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20</v>
      </c>
      <c r="H23" t="s">
        <v>21</v>
      </c>
      <c r="I23" t="s">
        <v>24</v>
      </c>
      <c r="J23" t="s">
        <v>23</v>
      </c>
      <c r="K23">
        <v>517</v>
      </c>
      <c r="L23" s="4">
        <v>9.0445171000000002</v>
      </c>
      <c r="M23" s="4">
        <v>71.250011060540004</v>
      </c>
      <c r="N23" s="4">
        <v>-0.52943743370130636</v>
      </c>
      <c r="O23" s="1" t="str">
        <f>HYPERLINK(".\sm_car_250503_1632\sm_car_250503_1632_022_Ca048TrN_MaLSS_ode23t.png","figure")</f>
        <v>figure</v>
      </c>
      <c r="P23" t="s">
        <v>15</v>
      </c>
    </row>
    <row r="24" spans="1:16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 t="s">
        <v>23</v>
      </c>
      <c r="K24">
        <v>404</v>
      </c>
      <c r="L24" s="4">
        <v>8.8763699000000003</v>
      </c>
      <c r="M24" s="4">
        <v>230.97836325249216</v>
      </c>
      <c r="N24" s="4">
        <v>1.212251295881941E-2</v>
      </c>
      <c r="O24" s="1" t="str">
        <f>HYPERLINK(".\sm_car_250503_1632\sm_car_250503_1632_023_Ca064TrN_MaWOT_ode23t.png","figure")</f>
        <v>figure</v>
      </c>
      <c r="P24" t="s">
        <v>15</v>
      </c>
    </row>
    <row r="25" spans="1:16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20</v>
      </c>
      <c r="H25" t="s">
        <v>21</v>
      </c>
      <c r="I25" t="s">
        <v>24</v>
      </c>
      <c r="J25" t="s">
        <v>23</v>
      </c>
      <c r="K25">
        <v>526</v>
      </c>
      <c r="L25" s="4">
        <v>9.4149966000000003</v>
      </c>
      <c r="M25" s="4">
        <v>71.254030229514086</v>
      </c>
      <c r="N25" s="4">
        <v>-0.51695449498741985</v>
      </c>
      <c r="O25" s="1" t="str">
        <f>HYPERLINK(".\sm_car_250503_1632\sm_car_250503_1632_024_Ca064TrN_MaLSS_ode23t.png","figure")</f>
        <v>figure</v>
      </c>
      <c r="P25" t="s">
        <v>15</v>
      </c>
    </row>
    <row r="26" spans="1:16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23</v>
      </c>
      <c r="K26">
        <v>405</v>
      </c>
      <c r="L26" s="4">
        <v>8.6566139999999994</v>
      </c>
      <c r="M26" s="4">
        <v>231.35067696798785</v>
      </c>
      <c r="N26" s="4">
        <v>-1.686132441177815E-2</v>
      </c>
      <c r="O26" s="1" t="str">
        <f>HYPERLINK(".\sm_car_250503_1632\sm_car_250503_1632_025_Ca080TrN_MaWOT_ode23t.png","figure")</f>
        <v>figure</v>
      </c>
      <c r="P26" t="s">
        <v>15</v>
      </c>
    </row>
    <row r="27" spans="1:16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20</v>
      </c>
      <c r="H27" t="s">
        <v>21</v>
      </c>
      <c r="I27" t="s">
        <v>24</v>
      </c>
      <c r="J27" t="s">
        <v>23</v>
      </c>
      <c r="K27">
        <v>518</v>
      </c>
      <c r="L27" s="4">
        <v>8.9297415999999998</v>
      </c>
      <c r="M27" s="4">
        <v>71.247389451563222</v>
      </c>
      <c r="N27" s="4">
        <v>-0.52615632678319246</v>
      </c>
      <c r="O27" s="1" t="str">
        <f>HYPERLINK(".\sm_car_250503_1632\sm_car_250503_1632_026_Ca080TrN_MaLSS_ode23t.png","figure")</f>
        <v>figure</v>
      </c>
      <c r="P27" t="s">
        <v>15</v>
      </c>
    </row>
    <row r="28" spans="1:16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23</v>
      </c>
      <c r="K28">
        <v>406</v>
      </c>
      <c r="L28" s="4">
        <v>6.7357836999999998</v>
      </c>
      <c r="M28" s="4">
        <v>233.06161786524797</v>
      </c>
      <c r="N28" s="4">
        <v>1.9090482716331254E-2</v>
      </c>
      <c r="O28" s="1" t="str">
        <f>HYPERLINK(".\sm_car_250503_1632\sm_car_250503_1632_027_Ca096TrN_MaWOT_ode23t.png","figure")</f>
        <v>figure</v>
      </c>
      <c r="P28" t="s">
        <v>15</v>
      </c>
    </row>
    <row r="29" spans="1:16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20</v>
      </c>
      <c r="H29" t="s">
        <v>21</v>
      </c>
      <c r="I29" t="s">
        <v>24</v>
      </c>
      <c r="J29" t="s">
        <v>23</v>
      </c>
      <c r="K29">
        <v>523</v>
      </c>
      <c r="L29" s="4">
        <v>7.0712004000000004</v>
      </c>
      <c r="M29" s="4">
        <v>71.761267012492937</v>
      </c>
      <c r="N29" s="4">
        <v>-0.52764493426032011</v>
      </c>
      <c r="O29" s="1" t="str">
        <f>HYPERLINK(".\sm_car_250503_1632\sm_car_250503_1632_028_Ca096TrN_MaLSS_ode23t.png","figure")</f>
        <v>figure</v>
      </c>
      <c r="P29" t="s">
        <v>15</v>
      </c>
    </row>
    <row r="30" spans="1:16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 t="s">
        <v>23</v>
      </c>
      <c r="K30">
        <v>375</v>
      </c>
      <c r="L30" s="4">
        <v>2.6015752999999999</v>
      </c>
      <c r="M30" s="4">
        <v>242.73651595198956</v>
      </c>
      <c r="N30" s="4">
        <v>0.23553468691325108</v>
      </c>
      <c r="O30" s="1" t="str">
        <f>HYPERLINK(".\sm_car_250503_1632\sm_car_250503_1632_029_Ca112TrN_MaWOT_ode23t.png","figure")</f>
        <v>figure</v>
      </c>
      <c r="P30" t="s">
        <v>15</v>
      </c>
    </row>
    <row r="31" spans="1:16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20</v>
      </c>
      <c r="H31" t="s">
        <v>21</v>
      </c>
      <c r="I31" t="s">
        <v>24</v>
      </c>
      <c r="J31" t="s">
        <v>23</v>
      </c>
      <c r="K31">
        <v>477</v>
      </c>
      <c r="L31" s="4">
        <v>2.9234225999999999</v>
      </c>
      <c r="M31" s="4">
        <v>74.668187521493692</v>
      </c>
      <c r="N31" s="4">
        <v>-0.33909359044395815</v>
      </c>
      <c r="O31" s="1" t="str">
        <f>HYPERLINK(".\sm_car_250503_1632\sm_car_250503_1632_030_Ca112TrN_MaLSS_ode23t.png","figure")</f>
        <v>figure</v>
      </c>
      <c r="P31" t="s">
        <v>15</v>
      </c>
    </row>
    <row r="32" spans="1:16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25</v>
      </c>
      <c r="H32" t="s">
        <v>21</v>
      </c>
      <c r="I32" t="s">
        <v>22</v>
      </c>
      <c r="J32" t="s">
        <v>23</v>
      </c>
      <c r="K32">
        <v>376</v>
      </c>
      <c r="L32" s="4">
        <v>3.1817986</v>
      </c>
      <c r="M32" s="4">
        <v>241.63755718713452</v>
      </c>
      <c r="N32" s="4">
        <v>0.23234184187754581</v>
      </c>
      <c r="O32" s="1" t="str">
        <f>HYPERLINK(".\sm_car_250503_1632\sm_car_250503_1632_031_Ca113TrN_MaWOT_ode23t.png","figure")</f>
        <v>figure</v>
      </c>
      <c r="P32" t="s">
        <v>15</v>
      </c>
    </row>
    <row r="33" spans="1:16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25</v>
      </c>
      <c r="H33" t="s">
        <v>21</v>
      </c>
      <c r="I33" t="s">
        <v>24</v>
      </c>
      <c r="J33" t="s">
        <v>23</v>
      </c>
      <c r="K33">
        <v>475</v>
      </c>
      <c r="L33" s="4">
        <v>3.4228185</v>
      </c>
      <c r="M33" s="4">
        <v>74.340329365741994</v>
      </c>
      <c r="N33" s="4">
        <v>-0.33372968245700074</v>
      </c>
      <c r="O33" s="1" t="str">
        <f>HYPERLINK(".\sm_car_250503_1632\sm_car_250503_1632_032_Ca113TrN_MaLSS_ode23t.png","figure")</f>
        <v>figure</v>
      </c>
      <c r="P33" t="s">
        <v>15</v>
      </c>
    </row>
    <row r="34" spans="1:16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26</v>
      </c>
      <c r="H34" t="s">
        <v>21</v>
      </c>
      <c r="I34" t="s">
        <v>22</v>
      </c>
      <c r="J34" t="s">
        <v>23</v>
      </c>
      <c r="K34">
        <v>376</v>
      </c>
      <c r="L34" s="4">
        <v>3.3100035999999999</v>
      </c>
      <c r="M34" s="4">
        <v>241.59707533344746</v>
      </c>
      <c r="N34" s="4">
        <v>0.23361525709566397</v>
      </c>
      <c r="O34" s="1" t="str">
        <f>HYPERLINK(".\sm_car_250503_1632\sm_car_250503_1632_033_Ca114TrN_MaWOT_ode23t.png","figure")</f>
        <v>figure</v>
      </c>
      <c r="P34" t="s">
        <v>15</v>
      </c>
    </row>
    <row r="35" spans="1:16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26</v>
      </c>
      <c r="H35" t="s">
        <v>21</v>
      </c>
      <c r="I35" t="s">
        <v>24</v>
      </c>
      <c r="J35" t="s">
        <v>23</v>
      </c>
      <c r="K35">
        <v>476</v>
      </c>
      <c r="L35" s="4">
        <v>3.7278823999999999</v>
      </c>
      <c r="M35" s="4">
        <v>74.346134764108754</v>
      </c>
      <c r="N35" s="4">
        <v>-0.33360833971581316</v>
      </c>
      <c r="O35" s="1" t="str">
        <f>HYPERLINK(".\sm_car_250503_1632\sm_car_250503_1632_034_Ca114TrN_MaLSS_ode23t.png","figure")</f>
        <v>figure</v>
      </c>
      <c r="P35" t="s">
        <v>15</v>
      </c>
    </row>
    <row r="36" spans="1:16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27</v>
      </c>
      <c r="H36" t="s">
        <v>21</v>
      </c>
      <c r="I36" t="s">
        <v>22</v>
      </c>
      <c r="J36" t="s">
        <v>23</v>
      </c>
      <c r="K36">
        <v>394</v>
      </c>
      <c r="L36" s="4">
        <v>3.6072896999999999</v>
      </c>
      <c r="M36" s="4">
        <v>241.1813347315549</v>
      </c>
      <c r="N36" s="4">
        <v>0.23106196003665347</v>
      </c>
      <c r="O36" s="1" t="str">
        <f>HYPERLINK(".\sm_car_250503_1632\sm_car_250503_1632_035_Ca115TrN_MaWOT_ode23t.png","figure")</f>
        <v>figure</v>
      </c>
      <c r="P36" t="s">
        <v>15</v>
      </c>
    </row>
    <row r="37" spans="1:16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27</v>
      </c>
      <c r="H37" t="s">
        <v>21</v>
      </c>
      <c r="I37" t="s">
        <v>24</v>
      </c>
      <c r="J37" t="s">
        <v>23</v>
      </c>
      <c r="K37">
        <v>509</v>
      </c>
      <c r="L37" s="4">
        <v>4.0179244000000001</v>
      </c>
      <c r="M37" s="4">
        <v>74.216846894608565</v>
      </c>
      <c r="N37" s="4">
        <v>-0.33161654881810237</v>
      </c>
      <c r="O37" s="1" t="str">
        <f>HYPERLINK(".\sm_car_250503_1632\sm_car_250503_1632_036_Ca115TrN_MaLSS_ode23t.png","figure")</f>
        <v>figure</v>
      </c>
      <c r="P37" t="s">
        <v>15</v>
      </c>
    </row>
    <row r="38" spans="1:16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20</v>
      </c>
      <c r="H38" t="s">
        <v>21</v>
      </c>
      <c r="I38" t="s">
        <v>22</v>
      </c>
      <c r="J38" t="s">
        <v>23</v>
      </c>
      <c r="K38">
        <v>925</v>
      </c>
      <c r="L38" s="4">
        <v>4.5654478000000003</v>
      </c>
      <c r="M38" s="4">
        <v>242.65071254681209</v>
      </c>
      <c r="N38" s="4">
        <v>0.23720006147734915</v>
      </c>
      <c r="O38" s="1" t="str">
        <f>HYPERLINK(".\sm_car_250503_1632\sm_car_250503_1632_037_Ca116TrN_MaWOT_ode23t.png","figure")</f>
        <v>figure</v>
      </c>
      <c r="P38" t="s">
        <v>15</v>
      </c>
    </row>
    <row r="39" spans="1:16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20</v>
      </c>
      <c r="H39" t="s">
        <v>21</v>
      </c>
      <c r="I39" t="s">
        <v>24</v>
      </c>
      <c r="J39" t="s">
        <v>23</v>
      </c>
      <c r="K39">
        <v>1063</v>
      </c>
      <c r="L39" s="4">
        <v>5.5984128999999996</v>
      </c>
      <c r="M39" s="4">
        <v>74.663649830564623</v>
      </c>
      <c r="N39" s="4">
        <v>-0.34022089573743669</v>
      </c>
      <c r="O39" s="1" t="str">
        <f>HYPERLINK(".\sm_car_250503_1632\sm_car_250503_1632_038_Ca116TrN_MaLSS_ode23t.png","figure")</f>
        <v>figure</v>
      </c>
      <c r="P39" t="s">
        <v>15</v>
      </c>
    </row>
    <row r="40" spans="1:16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25</v>
      </c>
      <c r="H40" t="s">
        <v>21</v>
      </c>
      <c r="I40" t="s">
        <v>22</v>
      </c>
      <c r="J40" t="s">
        <v>23</v>
      </c>
      <c r="K40">
        <v>971</v>
      </c>
      <c r="L40" s="4">
        <v>5.9594937999999997</v>
      </c>
      <c r="M40" s="4">
        <v>241.57063338836934</v>
      </c>
      <c r="N40" s="4">
        <v>0.23372791812862875</v>
      </c>
      <c r="O40" s="1" t="str">
        <f>HYPERLINK(".\sm_car_250503_1632\sm_car_250503_1632_039_Ca117TrN_MaWOT_ode23t.png","figure")</f>
        <v>figure</v>
      </c>
      <c r="P40" t="s">
        <v>15</v>
      </c>
    </row>
    <row r="41" spans="1:16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25</v>
      </c>
      <c r="H41" t="s">
        <v>21</v>
      </c>
      <c r="I41" t="s">
        <v>24</v>
      </c>
      <c r="J41" t="s">
        <v>23</v>
      </c>
      <c r="K41">
        <v>1083</v>
      </c>
      <c r="L41" s="4">
        <v>6.4697101000000004</v>
      </c>
      <c r="M41" s="4">
        <v>74.339612121412543</v>
      </c>
      <c r="N41" s="4">
        <v>-0.33675108829315759</v>
      </c>
      <c r="O41" s="1" t="str">
        <f>HYPERLINK(".\sm_car_250503_1632\sm_car_250503_1632_040_Ca117TrN_MaLSS_ode23t.png","figure")</f>
        <v>figure</v>
      </c>
      <c r="P41" t="s">
        <v>15</v>
      </c>
    </row>
    <row r="42" spans="1:16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26</v>
      </c>
      <c r="H42" t="s">
        <v>21</v>
      </c>
      <c r="I42" t="s">
        <v>22</v>
      </c>
      <c r="J42" t="s">
        <v>23</v>
      </c>
      <c r="K42">
        <v>960</v>
      </c>
      <c r="L42" s="4">
        <v>5.6287586999999997</v>
      </c>
      <c r="M42" s="4">
        <v>241.50617978126488</v>
      </c>
      <c r="N42" s="4">
        <v>0.23279368238010553</v>
      </c>
      <c r="O42" s="1" t="str">
        <f>HYPERLINK(".\sm_car_250503_1632\sm_car_250503_1632_041_Ca118TrN_MaWOT_ode23t.png","figure")</f>
        <v>figure</v>
      </c>
      <c r="P42" t="s">
        <v>15</v>
      </c>
    </row>
    <row r="43" spans="1:16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26</v>
      </c>
      <c r="H43" t="s">
        <v>21</v>
      </c>
      <c r="I43" t="s">
        <v>24</v>
      </c>
      <c r="J43" t="s">
        <v>23</v>
      </c>
      <c r="K43">
        <v>1070</v>
      </c>
      <c r="L43" s="4">
        <v>6.3972875</v>
      </c>
      <c r="M43" s="4">
        <v>74.336097243681266</v>
      </c>
      <c r="N43" s="4">
        <v>-0.3314148218584429</v>
      </c>
      <c r="O43" s="1" t="str">
        <f>HYPERLINK(".\sm_car_250503_1632\sm_car_250503_1632_042_Ca118TrN_MaLSS_ode23t.png","figure")</f>
        <v>figure</v>
      </c>
      <c r="P43" t="s">
        <v>15</v>
      </c>
    </row>
    <row r="44" spans="1:16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27</v>
      </c>
      <c r="H44" t="s">
        <v>21</v>
      </c>
      <c r="I44" t="s">
        <v>22</v>
      </c>
      <c r="J44" t="s">
        <v>23</v>
      </c>
      <c r="K44">
        <v>999</v>
      </c>
      <c r="L44" s="4">
        <v>5.9003584</v>
      </c>
      <c r="M44" s="4">
        <v>241.12065689629605</v>
      </c>
      <c r="N44" s="4">
        <v>0.22696431971051206</v>
      </c>
      <c r="O44" s="1" t="str">
        <f>HYPERLINK(".\sm_car_250503_1632\sm_car_250503_1632_043_Ca119TrN_MaWOT_ode23t.png","figure")</f>
        <v>figure</v>
      </c>
      <c r="P44" t="s">
        <v>15</v>
      </c>
    </row>
    <row r="45" spans="1:16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27</v>
      </c>
      <c r="H45" t="s">
        <v>21</v>
      </c>
      <c r="I45" t="s">
        <v>24</v>
      </c>
      <c r="J45" t="s">
        <v>23</v>
      </c>
      <c r="K45">
        <v>1128</v>
      </c>
      <c r="L45" s="4">
        <v>6.9222615000000003</v>
      </c>
      <c r="M45" s="4">
        <v>74.192810118818485</v>
      </c>
      <c r="N45" s="4">
        <v>-0.33454337765680836</v>
      </c>
      <c r="O45" s="1" t="str">
        <f>HYPERLINK(".\sm_car_250503_1632\sm_car_250503_1632_044_Ca119TrN_MaLSS_ode23t.png","figure")</f>
        <v>figure</v>
      </c>
      <c r="P45" t="s">
        <v>15</v>
      </c>
    </row>
    <row r="46" spans="1:16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23</v>
      </c>
      <c r="K46">
        <v>339</v>
      </c>
      <c r="L46" s="4">
        <v>6.2789676999999999</v>
      </c>
      <c r="M46" s="4">
        <v>99.8348148831126</v>
      </c>
      <c r="N46" s="4">
        <v>-1.8361776490049636E-2</v>
      </c>
      <c r="O46" s="1" t="str">
        <f>HYPERLINK(".\sm_car_250503_1632\sm_car_250503_1632_045_Ca128TrN_MaWOT_ode23t.png","figure")</f>
        <v>figure</v>
      </c>
      <c r="P46" t="s">
        <v>15</v>
      </c>
    </row>
    <row r="47" spans="1:16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23</v>
      </c>
      <c r="K47">
        <v>452</v>
      </c>
      <c r="L47" s="4">
        <v>7.4994800000000001</v>
      </c>
      <c r="M47" s="4">
        <v>36.976804840959879</v>
      </c>
      <c r="N47" s="4">
        <v>-0.1304133092434698</v>
      </c>
      <c r="O47" s="1" t="str">
        <f>HYPERLINK(".\sm_car_250503_1632\sm_car_250503_1632_046_Ca128TrN_MaLSS_ode23t.png","figure")</f>
        <v>figure</v>
      </c>
      <c r="P47" t="s">
        <v>15</v>
      </c>
    </row>
    <row r="48" spans="1:16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23</v>
      </c>
      <c r="K48">
        <v>344</v>
      </c>
      <c r="L48" s="4">
        <v>7.5039686999999997</v>
      </c>
      <c r="M48" s="4">
        <v>229.36295651186597</v>
      </c>
      <c r="N48" s="4">
        <v>6.1424262328452564E-2</v>
      </c>
      <c r="O48" s="1" t="str">
        <f>HYPERLINK(".\sm_car_250503_1632\sm_car_250503_1632_047_Ca129TrN_MaWOT_ode23t.png","figure")</f>
        <v>figure</v>
      </c>
      <c r="P48" t="s">
        <v>15</v>
      </c>
    </row>
    <row r="49" spans="1:16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23</v>
      </c>
      <c r="K49">
        <v>473</v>
      </c>
      <c r="L49" s="4">
        <v>8.9486247999999993</v>
      </c>
      <c r="M49" s="4">
        <v>70.689465422570237</v>
      </c>
      <c r="N49" s="4">
        <v>-0.52928196924210624</v>
      </c>
      <c r="O49" s="1" t="str">
        <f>HYPERLINK(".\sm_car_250503_1632\sm_car_250503_1632_048_Ca129TrN_MaLSS_ode23t.png","figure")</f>
        <v>figure</v>
      </c>
      <c r="P49" t="s">
        <v>15</v>
      </c>
    </row>
    <row r="50" spans="1:16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23</v>
      </c>
      <c r="K50">
        <v>796</v>
      </c>
      <c r="L50" s="4">
        <v>23.432650800000001</v>
      </c>
      <c r="M50" s="4">
        <v>217.13990328820859</v>
      </c>
      <c r="N50" s="4">
        <v>-1.5378134395056235</v>
      </c>
      <c r="O50" s="1" t="str">
        <f>HYPERLINK(".\sm_car_250503_1632\sm_car_250503_1632_049_Ca130TrN_MaWOT_ode23t.png","figure")</f>
        <v>figure</v>
      </c>
      <c r="P50" t="s">
        <v>15</v>
      </c>
    </row>
    <row r="51" spans="1:16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23</v>
      </c>
      <c r="K51">
        <v>776</v>
      </c>
      <c r="L51" s="4">
        <v>22.1328116</v>
      </c>
      <c r="M51" s="4">
        <v>68.770132548205822</v>
      </c>
      <c r="N51" s="4">
        <v>-0.54742392168507314</v>
      </c>
      <c r="O51" s="1" t="str">
        <f>HYPERLINK(".\sm_car_250503_1632\sm_car_250503_1632_050_Ca130TrN_MaLSS_ode23t.png","figure")</f>
        <v>figure</v>
      </c>
      <c r="P51" t="s">
        <v>15</v>
      </c>
    </row>
    <row r="52" spans="1:16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23</v>
      </c>
      <c r="K52">
        <v>345</v>
      </c>
      <c r="L52" s="4">
        <v>4.9342598000000004</v>
      </c>
      <c r="M52" s="4">
        <v>230.34159316298783</v>
      </c>
      <c r="N52" s="4">
        <v>-4.4327951505746852E-2</v>
      </c>
      <c r="O52" s="1" t="str">
        <f>HYPERLINK(".\sm_car_250503_1632\sm_car_250503_1632_051_Ca131TrN_MaWOT_ode23t.png","figure")</f>
        <v>figure</v>
      </c>
      <c r="P52" t="s">
        <v>15</v>
      </c>
    </row>
    <row r="53" spans="1:16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23</v>
      </c>
      <c r="K53">
        <v>491</v>
      </c>
      <c r="L53" s="4">
        <v>5.6489335000000001</v>
      </c>
      <c r="M53" s="4">
        <v>70.963682534023278</v>
      </c>
      <c r="N53" s="4">
        <v>-0.54153808220607269</v>
      </c>
      <c r="O53" s="1" t="str">
        <f>HYPERLINK(".\sm_car_250503_1632\sm_car_250503_1632_052_Ca131TrN_MaLSS_ode23t.png","figure")</f>
        <v>figure</v>
      </c>
      <c r="P53" t="s">
        <v>15</v>
      </c>
    </row>
    <row r="54" spans="1:16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23</v>
      </c>
      <c r="K54">
        <v>338</v>
      </c>
      <c r="L54" s="4">
        <v>4.7188296999999997</v>
      </c>
      <c r="M54" s="4">
        <v>230.35454480114464</v>
      </c>
      <c r="N54" s="4">
        <v>-8.3108905186805512E-3</v>
      </c>
      <c r="O54" s="1" t="str">
        <f>HYPERLINK(".\sm_car_250503_1632\sm_car_250503_1632_053_Ca132TrN_MaWOT_ode23t.png","figure")</f>
        <v>figure</v>
      </c>
      <c r="P54" t="s">
        <v>15</v>
      </c>
    </row>
    <row r="55" spans="1:16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23</v>
      </c>
      <c r="K55">
        <v>495</v>
      </c>
      <c r="L55" s="4">
        <v>5.9406125000000003</v>
      </c>
      <c r="M55" s="4">
        <v>70.956702374004735</v>
      </c>
      <c r="N55" s="4">
        <v>-0.53549192579678762</v>
      </c>
      <c r="O55" s="1" t="str">
        <f>HYPERLINK(".\sm_car_250503_1632\sm_car_250503_1632_054_Ca132TrN_MaLSS_ode23t.png","figure")</f>
        <v>figure</v>
      </c>
      <c r="P55" t="s">
        <v>15</v>
      </c>
    </row>
    <row r="56" spans="1:16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23</v>
      </c>
      <c r="K56">
        <v>353</v>
      </c>
      <c r="L56" s="4">
        <v>4.7362320000000002</v>
      </c>
      <c r="M56" s="4">
        <v>230.17460071603315</v>
      </c>
      <c r="N56" s="4">
        <v>-9.4965513842213758E-3</v>
      </c>
      <c r="O56" s="1" t="str">
        <f>HYPERLINK(".\sm_car_250503_1632\sm_car_250503_1632_055_Ca133TrN_MaWOT_ode23t.png","figure")</f>
        <v>figure</v>
      </c>
      <c r="P56" t="s">
        <v>15</v>
      </c>
    </row>
    <row r="57" spans="1:16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23</v>
      </c>
      <c r="K57">
        <v>511</v>
      </c>
      <c r="L57" s="4">
        <v>6.0626936000000002</v>
      </c>
      <c r="M57" s="4">
        <v>70.970955889322326</v>
      </c>
      <c r="N57" s="4">
        <v>-0.53566151961706365</v>
      </c>
      <c r="O57" s="1" t="str">
        <f>HYPERLINK(".\sm_car_250503_1632\sm_car_250503_1632_056_Ca133TrN_MaLSS_ode23t.png","figure")</f>
        <v>figure</v>
      </c>
      <c r="P57" t="s">
        <v>15</v>
      </c>
    </row>
    <row r="58" spans="1:16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23</v>
      </c>
      <c r="K58">
        <v>353</v>
      </c>
      <c r="L58" s="4">
        <v>5.1532719</v>
      </c>
      <c r="M58" s="4">
        <v>230.34127193780427</v>
      </c>
      <c r="N58" s="4">
        <v>-9.5337770281672483E-3</v>
      </c>
      <c r="O58" s="1" t="str">
        <f>HYPERLINK(".\sm_car_250503_1632\sm_car_250503_1632_057_Ca134TrN_MaWOT_ode23t.png","figure")</f>
        <v>figure</v>
      </c>
      <c r="P58" t="s">
        <v>15</v>
      </c>
    </row>
    <row r="59" spans="1:16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23</v>
      </c>
      <c r="K59">
        <v>506</v>
      </c>
      <c r="L59" s="4">
        <v>6.1056017999999996</v>
      </c>
      <c r="M59" s="4">
        <v>70.975161905570445</v>
      </c>
      <c r="N59" s="4">
        <v>-0.53571980267467922</v>
      </c>
      <c r="O59" s="1" t="str">
        <f>HYPERLINK(".\sm_car_250503_1632\sm_car_250503_1632_058_Ca134TrN_MaLSS_ode23t.png","figure")</f>
        <v>figure</v>
      </c>
      <c r="P59" t="s">
        <v>15</v>
      </c>
    </row>
    <row r="60" spans="1:16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23</v>
      </c>
      <c r="K60">
        <v>349</v>
      </c>
      <c r="L60" s="4">
        <v>4.9719797000000003</v>
      </c>
      <c r="M60" s="4">
        <v>230.1821416048227</v>
      </c>
      <c r="N60" s="4">
        <v>-1.1736646031084623E-2</v>
      </c>
      <c r="O60" s="1" t="str">
        <f>HYPERLINK(".\sm_car_250503_1632\sm_car_250503_1632_059_Ca135TrN_MaWOT_ode23t.png","figure")</f>
        <v>figure</v>
      </c>
      <c r="P60" t="s">
        <v>15</v>
      </c>
    </row>
    <row r="61" spans="1:16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23</v>
      </c>
      <c r="K61">
        <v>485</v>
      </c>
      <c r="L61" s="4">
        <v>5.8234021</v>
      </c>
      <c r="M61" s="4">
        <v>70.979372016579859</v>
      </c>
      <c r="N61" s="4">
        <v>-0.52620612140315492</v>
      </c>
      <c r="O61" s="1" t="str">
        <f>HYPERLINK(".\sm_car_250503_1632\sm_car_250503_1632_060_Ca135TrN_MaLSS_ode23t.png","figure")</f>
        <v>figure</v>
      </c>
      <c r="P61" t="s">
        <v>15</v>
      </c>
    </row>
    <row r="62" spans="1:16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23</v>
      </c>
      <c r="K62">
        <v>363</v>
      </c>
      <c r="L62" s="4">
        <v>6.4529930000000002</v>
      </c>
      <c r="M62" s="4">
        <v>229.92353105186183</v>
      </c>
      <c r="N62" s="4">
        <v>5.073020465077567E-2</v>
      </c>
      <c r="O62" s="1" t="str">
        <f>HYPERLINK(".\sm_car_250503_1632\sm_car_250503_1632_061_Ca136TrN_MaWOT_ode23t.png","figure")</f>
        <v>figure</v>
      </c>
      <c r="P62" t="s">
        <v>15</v>
      </c>
    </row>
    <row r="63" spans="1:16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23</v>
      </c>
      <c r="K63">
        <v>487</v>
      </c>
      <c r="L63" s="4">
        <v>6.9158485000000001</v>
      </c>
      <c r="M63" s="4">
        <v>70.970821425729</v>
      </c>
      <c r="N63" s="4">
        <v>-0.52183490336125182</v>
      </c>
      <c r="O63" s="1" t="str">
        <f>HYPERLINK(".\sm_car_250503_1632\sm_car_250503_1632_062_Ca136TrN_MaLSS_ode23t.png","figure")</f>
        <v>figure</v>
      </c>
      <c r="P63" t="s">
        <v>15</v>
      </c>
    </row>
    <row r="64" spans="1:16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23</v>
      </c>
      <c r="K64">
        <v>332</v>
      </c>
      <c r="L64" s="4">
        <v>4.4065677000000001</v>
      </c>
      <c r="M64" s="4">
        <v>231.29511965991094</v>
      </c>
      <c r="N64" s="4">
        <v>0.14156643753690779</v>
      </c>
      <c r="O64" s="1" t="str">
        <f>HYPERLINK(".\sm_car_250503_1632\sm_car_250503_1632_063_Ca137TrN_MaWOT_ode23t.png","figure")</f>
        <v>figure</v>
      </c>
      <c r="P64" t="s">
        <v>15</v>
      </c>
    </row>
    <row r="65" spans="1:16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23</v>
      </c>
      <c r="K65">
        <v>470</v>
      </c>
      <c r="L65" s="4">
        <v>4.7325089</v>
      </c>
      <c r="M65" s="4">
        <v>71.239096262029705</v>
      </c>
      <c r="N65" s="4">
        <v>-0.50946599987460017</v>
      </c>
      <c r="O65" s="1" t="str">
        <f>HYPERLINK(".\sm_car_250503_1632\sm_car_250503_1632_064_Ca137TrN_MaLSS_ode23t.png","figure")</f>
        <v>figure</v>
      </c>
      <c r="P65" t="s">
        <v>15</v>
      </c>
    </row>
    <row r="66" spans="1:16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23</v>
      </c>
      <c r="K66">
        <v>326</v>
      </c>
      <c r="L66" s="4">
        <v>6.3864741</v>
      </c>
      <c r="M66" s="4">
        <v>231.05223264002166</v>
      </c>
      <c r="N66" s="4">
        <v>0.15221924284502958</v>
      </c>
      <c r="O66" s="1" t="str">
        <f>HYPERLINK(".\sm_car_250503_1632\sm_car_250503_1632_065_Ca138TrN_MaWOT_ode23t.png","figure")</f>
        <v>figure</v>
      </c>
      <c r="P66" t="s">
        <v>15</v>
      </c>
    </row>
    <row r="67" spans="1:16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23</v>
      </c>
      <c r="K67">
        <v>480</v>
      </c>
      <c r="L67" s="4">
        <v>7.0454518000000004</v>
      </c>
      <c r="M67" s="4">
        <v>71.130781906484387</v>
      </c>
      <c r="N67" s="4">
        <v>-0.82528239602005049</v>
      </c>
      <c r="O67" s="1" t="str">
        <f>HYPERLINK(".\sm_car_250503_1632\sm_car_250503_1632_066_Ca138TrN_MaLSS_ode23t.png","figure")</f>
        <v>figure</v>
      </c>
      <c r="P67" t="s">
        <v>15</v>
      </c>
    </row>
    <row r="68" spans="1:16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23</v>
      </c>
      <c r="K68">
        <v>729</v>
      </c>
      <c r="L68" s="4">
        <v>31.656464400000001</v>
      </c>
      <c r="M68" s="4">
        <v>405.2052348974168</v>
      </c>
      <c r="N68" s="4">
        <v>1.5482682233985725</v>
      </c>
      <c r="O68" s="1" t="str">
        <f>HYPERLINK(".\sm_car_250503_1632\sm_car_250503_1632_067_Ca139TrN_MaWOT_ode23t.png","figure")</f>
        <v>figure</v>
      </c>
      <c r="P68" t="s">
        <v>15</v>
      </c>
    </row>
    <row r="69" spans="1:16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23</v>
      </c>
      <c r="K69">
        <v>628</v>
      </c>
      <c r="L69" s="4">
        <v>19.024172799999999</v>
      </c>
      <c r="M69" s="4">
        <v>154.33652512993322</v>
      </c>
      <c r="N69" s="4">
        <v>-0.57607612809149344</v>
      </c>
      <c r="O69" s="1" t="str">
        <f>HYPERLINK(".\sm_car_250503_1632\sm_car_250503_1632_068_Ca139TrN_MaLSS_ode23t.png","figure")</f>
        <v>figure</v>
      </c>
      <c r="P69" t="s">
        <v>15</v>
      </c>
    </row>
    <row r="70" spans="1:16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23</v>
      </c>
      <c r="K70">
        <v>1962</v>
      </c>
      <c r="L70" s="4">
        <v>38.555217800000001</v>
      </c>
      <c r="M70" s="4">
        <v>405.3097998472295</v>
      </c>
      <c r="N70" s="4">
        <v>1.6278354118019869</v>
      </c>
      <c r="O70" s="1" t="str">
        <f>HYPERLINK(".\sm_car_250503_1632\sm_car_250503_1632_069_Ca141TrN_MaWOT_ode23t.png","figure")</f>
        <v>figure</v>
      </c>
      <c r="P70" t="s">
        <v>15</v>
      </c>
    </row>
    <row r="71" spans="1:16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23</v>
      </c>
      <c r="K71">
        <v>1829</v>
      </c>
      <c r="L71" s="4">
        <v>24.4066221</v>
      </c>
      <c r="M71" s="4">
        <v>154.41339360605471</v>
      </c>
      <c r="N71" s="4">
        <v>-0.58077484757284759</v>
      </c>
      <c r="O71" s="1" t="str">
        <f>HYPERLINK(".\sm_car_250503_1632\sm_car_250503_1632_070_Ca141TrN_MaLSS_ode23t.png","figure")</f>
        <v>figure</v>
      </c>
      <c r="P71" t="s">
        <v>15</v>
      </c>
    </row>
    <row r="72" spans="1:16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23</v>
      </c>
      <c r="K72">
        <v>353</v>
      </c>
      <c r="L72" s="4">
        <v>15.546780999999999</v>
      </c>
      <c r="M72" s="4">
        <v>95.821673801111075</v>
      </c>
      <c r="N72" s="4">
        <v>-3.1658773256693203E-2</v>
      </c>
      <c r="O72" s="1" t="str">
        <f>HYPERLINK(".\sm_car_250503_1632\sm_car_250503_1632_071_Ca143TrN_MaWOT_ode23t.png","figure")</f>
        <v>figure</v>
      </c>
      <c r="P72" t="s">
        <v>15</v>
      </c>
    </row>
    <row r="73" spans="1:16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23</v>
      </c>
      <c r="K73">
        <v>448</v>
      </c>
      <c r="L73" s="4">
        <v>17.335292299999999</v>
      </c>
      <c r="M73" s="4">
        <v>25.014681132040707</v>
      </c>
      <c r="N73" s="4">
        <v>-5.2905397861808416E-2</v>
      </c>
      <c r="O73" s="1" t="str">
        <f>HYPERLINK(".\sm_car_250503_1632\sm_car_250503_1632_072_Ca143TrN_MaLSS_ode23t.png","figure")</f>
        <v>figure</v>
      </c>
      <c r="P73" t="s">
        <v>15</v>
      </c>
    </row>
    <row r="74" spans="1:16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23</v>
      </c>
      <c r="K74">
        <v>354</v>
      </c>
      <c r="L74" s="4">
        <v>11.8553332</v>
      </c>
      <c r="M74" s="4">
        <v>114.02109667338847</v>
      </c>
      <c r="N74" s="4">
        <v>0.52989003843524995</v>
      </c>
      <c r="O74" s="1" t="str">
        <f>HYPERLINK(".\sm_car_250503_1632\sm_car_250503_1632_073_Ca144TrN_MaWOT_ode23t.png","figure")</f>
        <v>figure</v>
      </c>
      <c r="P74" t="s">
        <v>15</v>
      </c>
    </row>
    <row r="75" spans="1:16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23</v>
      </c>
      <c r="K75">
        <v>460</v>
      </c>
      <c r="L75" s="4">
        <v>14.7022707</v>
      </c>
      <c r="M75" s="4">
        <v>35.600217061292902</v>
      </c>
      <c r="N75" s="4">
        <v>-3.1094151198819833E-2</v>
      </c>
      <c r="O75" s="1" t="str">
        <f>HYPERLINK(".\sm_car_250503_1632\sm_car_250503_1632_074_Ca144TrN_MaLSS_ode23t.png","figure")</f>
        <v>figure</v>
      </c>
      <c r="P75" t="s">
        <v>15</v>
      </c>
    </row>
    <row r="76" spans="1:16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23</v>
      </c>
      <c r="K76">
        <v>2517</v>
      </c>
      <c r="L76" s="4">
        <v>29.269763000000001</v>
      </c>
      <c r="M76" s="4">
        <v>399.72530296882235</v>
      </c>
      <c r="N76" s="4">
        <v>-16.213352292441975</v>
      </c>
      <c r="O76" s="1" t="str">
        <f>HYPERLINK(".\sm_car_250503_1632\sm_car_250503_1632_075_Ca147TrN_MaWOT_ode23t.png","figure")</f>
        <v>figure</v>
      </c>
      <c r="P76" t="s">
        <v>15</v>
      </c>
    </row>
    <row r="77" spans="1:16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23</v>
      </c>
      <c r="K77">
        <v>1275</v>
      </c>
      <c r="L77" s="4">
        <v>19.7454517</v>
      </c>
      <c r="M77" s="4">
        <v>151.92477177175357</v>
      </c>
      <c r="N77" s="4">
        <v>-2.3090201359952283</v>
      </c>
      <c r="O77" s="1" t="str">
        <f>HYPERLINK(".\sm_car_250503_1632\sm_car_250503_1632_076_Ca147TrN_MaLSS_ode23t.png","figure")</f>
        <v>figure</v>
      </c>
      <c r="P77" t="s">
        <v>15</v>
      </c>
    </row>
    <row r="78" spans="1:16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23</v>
      </c>
      <c r="K78">
        <v>312</v>
      </c>
      <c r="L78" s="4">
        <v>9.5360846000000006</v>
      </c>
      <c r="M78" s="4">
        <v>229.67542025612829</v>
      </c>
      <c r="N78" s="4">
        <v>5.5980890335133957E-3</v>
      </c>
      <c r="O78" s="1" t="str">
        <f>HYPERLINK(".\sm_car_250503_1632\sm_car_250503_1632_077_Ca215TrN_MaWOT_ode23t.png","figure")</f>
        <v>figure</v>
      </c>
      <c r="P78" t="s">
        <v>15</v>
      </c>
    </row>
    <row r="79" spans="1:16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23</v>
      </c>
      <c r="K79">
        <v>471</v>
      </c>
      <c r="L79" s="4">
        <v>8.8826053999999992</v>
      </c>
      <c r="M79" s="4">
        <v>81.26828189226714</v>
      </c>
      <c r="N79" s="4">
        <v>-0.22189443475888274</v>
      </c>
      <c r="O79" s="1" t="str">
        <f>HYPERLINK(".\sm_car_250503_1632\sm_car_250503_1632_078_Ca215TrN_MaLSS_ode23t.png","figure")</f>
        <v>figure</v>
      </c>
      <c r="P79" t="s">
        <v>15</v>
      </c>
    </row>
    <row r="80" spans="1:16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26</v>
      </c>
      <c r="H80" t="s">
        <v>21</v>
      </c>
      <c r="I80" t="s">
        <v>22</v>
      </c>
      <c r="J80" t="s">
        <v>23</v>
      </c>
      <c r="K80">
        <v>352</v>
      </c>
      <c r="L80" s="4">
        <v>4.6997815000000003</v>
      </c>
      <c r="M80" s="4">
        <v>230.35398414030485</v>
      </c>
      <c r="N80" s="4">
        <v>0.17143722707571341</v>
      </c>
      <c r="O80" s="1" t="str">
        <f>HYPERLINK(".\sm_car_250503_1632\sm_car_250503_1632_079_Ca218TrN_MaWOT_ode23t.png","figure")</f>
        <v>figure</v>
      </c>
      <c r="P80" t="s">
        <v>15</v>
      </c>
    </row>
    <row r="81" spans="1:16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26</v>
      </c>
      <c r="H81" t="s">
        <v>21</v>
      </c>
      <c r="I81" t="s">
        <v>24</v>
      </c>
      <c r="J81" t="s">
        <v>23</v>
      </c>
      <c r="K81">
        <v>493</v>
      </c>
      <c r="L81" s="4">
        <v>5.1685527999999996</v>
      </c>
      <c r="M81" s="4">
        <v>70.957583599859348</v>
      </c>
      <c r="N81" s="4">
        <v>-0.53349006913031716</v>
      </c>
      <c r="O81" s="1" t="str">
        <f>HYPERLINK(".\sm_car_250503_1632\sm_car_250503_1632_080_Ca218TrN_MaLSS_ode23t.png","figure")</f>
        <v>figure</v>
      </c>
      <c r="P81" t="s">
        <v>15</v>
      </c>
    </row>
    <row r="82" spans="1:16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26</v>
      </c>
      <c r="H82" t="s">
        <v>21</v>
      </c>
      <c r="I82" t="s">
        <v>22</v>
      </c>
      <c r="J82" t="s">
        <v>23</v>
      </c>
      <c r="K82">
        <v>394</v>
      </c>
      <c r="L82" s="4">
        <v>7.3708960000000001</v>
      </c>
      <c r="M82" s="4">
        <v>229.80281773506661</v>
      </c>
      <c r="N82" s="4">
        <v>0.17229977774040328</v>
      </c>
      <c r="O82" s="1" t="str">
        <f>HYPERLINK(".\sm_car_250503_1632\sm_car_250503_1632_081_Ca219TrN_MaWOT_ode23t.png","figure")</f>
        <v>figure</v>
      </c>
      <c r="P82" t="s">
        <v>15</v>
      </c>
    </row>
    <row r="83" spans="1:16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26</v>
      </c>
      <c r="H83" t="s">
        <v>21</v>
      </c>
      <c r="I83" t="s">
        <v>24</v>
      </c>
      <c r="J83" t="s">
        <v>23</v>
      </c>
      <c r="K83">
        <v>505</v>
      </c>
      <c r="L83" s="4">
        <v>8.9445523999999992</v>
      </c>
      <c r="M83" s="4">
        <v>70.789129489386184</v>
      </c>
      <c r="N83" s="4">
        <v>-0.55134280819392167</v>
      </c>
      <c r="O83" s="1" t="str">
        <f>HYPERLINK(".\sm_car_250503_1632\sm_car_250503_1632_082_Ca219TrN_MaLSS_ode23t.png","figure")</f>
        <v>figure</v>
      </c>
      <c r="P83" t="s">
        <v>15</v>
      </c>
    </row>
    <row r="84" spans="1:16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26</v>
      </c>
      <c r="H84" t="s">
        <v>21</v>
      </c>
      <c r="I84" t="s">
        <v>22</v>
      </c>
      <c r="J84" t="s">
        <v>23</v>
      </c>
      <c r="K84">
        <v>933</v>
      </c>
      <c r="L84" s="4">
        <v>31.0897656</v>
      </c>
      <c r="M84" s="4">
        <v>223.95163969706701</v>
      </c>
      <c r="N84" s="4">
        <v>-1.2020820759860475</v>
      </c>
      <c r="O84" s="1" t="str">
        <f>HYPERLINK(".\sm_car_250503_1632\sm_car_250503_1632_083_Ca220TrN_MaWOT_ode23t.png","figure")</f>
        <v>figure</v>
      </c>
      <c r="P84" t="s">
        <v>15</v>
      </c>
    </row>
    <row r="85" spans="1:16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26</v>
      </c>
      <c r="H85" t="s">
        <v>21</v>
      </c>
      <c r="I85" t="s">
        <v>24</v>
      </c>
      <c r="J85" t="s">
        <v>23</v>
      </c>
      <c r="K85">
        <v>1092</v>
      </c>
      <c r="L85" s="4">
        <v>40.246278599999997</v>
      </c>
      <c r="M85" s="4">
        <v>69.461481321788227</v>
      </c>
      <c r="N85" s="4">
        <v>-1.5021637298256783</v>
      </c>
      <c r="O85" s="1" t="str">
        <f>HYPERLINK(".\sm_car_250503_1632\sm_car_250503_1632_084_Ca220TrN_MaLSS_ode23t.png","figure")</f>
        <v>figure</v>
      </c>
      <c r="P85" t="s">
        <v>15</v>
      </c>
    </row>
    <row r="86" spans="1:16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23</v>
      </c>
      <c r="K86">
        <v>472</v>
      </c>
      <c r="L86" s="4">
        <v>7.4151837</v>
      </c>
      <c r="M86" s="4">
        <v>293.17950458299157</v>
      </c>
      <c r="N86" s="4">
        <v>1.5062754959794983E-4</v>
      </c>
      <c r="O86" s="1" t="str">
        <f>HYPERLINK(".\sm_car_250503_1632\sm_car_250503_1632_085_Ca223TrN_MaWOT_ode23t.png","figure")</f>
        <v>figure</v>
      </c>
      <c r="P86" t="s">
        <v>15</v>
      </c>
    </row>
    <row r="87" spans="1:16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23</v>
      </c>
      <c r="K87">
        <v>659</v>
      </c>
      <c r="L87" s="4">
        <v>7.8945835999999998</v>
      </c>
      <c r="M87" s="4">
        <v>103.53337831355417</v>
      </c>
      <c r="N87" s="4">
        <v>-0.15030926673706038</v>
      </c>
      <c r="O87" s="1" t="str">
        <f>HYPERLINK(".\sm_car_250503_1632\sm_car_250503_1632_086_Ca223TrN_MaLSS_ode23t.png","figure")</f>
        <v>figure</v>
      </c>
      <c r="P87" t="s">
        <v>15</v>
      </c>
    </row>
    <row r="88" spans="1:16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23</v>
      </c>
      <c r="K88">
        <v>640</v>
      </c>
      <c r="L88" s="4">
        <v>21.440970400000001</v>
      </c>
      <c r="M88" s="4">
        <v>409.19765869811135</v>
      </c>
      <c r="N88" s="4">
        <v>1.5824644060177515</v>
      </c>
      <c r="O88" s="1" t="str">
        <f>HYPERLINK(".\sm_car_250503_1632\sm_car_250503_1632_087_Ca227TrN_MaWOT_ode23t.png","figure")</f>
        <v>figure</v>
      </c>
      <c r="P88" t="s">
        <v>15</v>
      </c>
    </row>
    <row r="89" spans="1:16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23</v>
      </c>
      <c r="K89">
        <v>624</v>
      </c>
      <c r="L89" s="4">
        <v>13.3950622</v>
      </c>
      <c r="M89" s="4">
        <v>156.26311288502313</v>
      </c>
      <c r="N89" s="4">
        <v>-0.35993463494087147</v>
      </c>
      <c r="O89" s="1" t="str">
        <f>HYPERLINK(".\sm_car_250503_1632\sm_car_250503_1632_088_Ca227TrN_MaLSS_ode23t.png","figure")</f>
        <v>figure</v>
      </c>
      <c r="P89" t="s">
        <v>15</v>
      </c>
    </row>
    <row r="90" spans="1:16" x14ac:dyDescent="0.25">
      <c r="A90">
        <v>89</v>
      </c>
      <c r="B90">
        <v>8</v>
      </c>
      <c r="C90" t="s">
        <v>16</v>
      </c>
      <c r="D90" t="s">
        <v>17</v>
      </c>
      <c r="E90" t="s">
        <v>49</v>
      </c>
      <c r="F90" t="s">
        <v>19</v>
      </c>
      <c r="G90" t="s">
        <v>20</v>
      </c>
      <c r="H90" t="s">
        <v>21</v>
      </c>
      <c r="I90" t="s">
        <v>22</v>
      </c>
      <c r="J90" t="s">
        <v>23</v>
      </c>
      <c r="K90">
        <v>390</v>
      </c>
      <c r="L90" s="4">
        <v>12.0381638</v>
      </c>
      <c r="M90" s="4">
        <v>231.25342515099939</v>
      </c>
      <c r="N90" s="4">
        <v>-4.1055540444863252E-3</v>
      </c>
      <c r="O90" s="1" t="str">
        <f>HYPERLINK(".\sm_car_250503_1632\sm_car_250503_1632_089_Ca008TrN_MaWOT_ode23t_1.png","figure")</f>
        <v>figure</v>
      </c>
      <c r="P90" t="s">
        <v>15</v>
      </c>
    </row>
    <row r="91" spans="1:16" x14ac:dyDescent="0.25">
      <c r="A91">
        <v>90</v>
      </c>
      <c r="B91">
        <v>8</v>
      </c>
      <c r="C91" t="s">
        <v>16</v>
      </c>
      <c r="D91" t="s">
        <v>17</v>
      </c>
      <c r="E91" t="s">
        <v>49</v>
      </c>
      <c r="F91" t="s">
        <v>19</v>
      </c>
      <c r="G91" t="s">
        <v>20</v>
      </c>
      <c r="H91" t="s">
        <v>21</v>
      </c>
      <c r="I91" t="s">
        <v>24</v>
      </c>
      <c r="J91" t="s">
        <v>23</v>
      </c>
      <c r="K91">
        <v>545</v>
      </c>
      <c r="L91" s="4">
        <v>14.3532466</v>
      </c>
      <c r="M91" s="4">
        <v>71.257040415655197</v>
      </c>
      <c r="N91" s="4">
        <v>-0.53862879436815525</v>
      </c>
      <c r="O91" s="1" t="str">
        <f>HYPERLINK(".\sm_car_250503_1632\sm_car_250503_1632_090_Ca008TrN_MaLSS_ode23t_1.png","figure")</f>
        <v>figure</v>
      </c>
      <c r="P91" t="s">
        <v>15</v>
      </c>
    </row>
    <row r="92" spans="1:16" x14ac:dyDescent="0.25">
      <c r="A92">
        <v>91</v>
      </c>
      <c r="B92">
        <v>9</v>
      </c>
      <c r="C92" t="s">
        <v>16</v>
      </c>
      <c r="D92" t="s">
        <v>17</v>
      </c>
      <c r="E92" t="s">
        <v>49</v>
      </c>
      <c r="F92" t="s">
        <v>19</v>
      </c>
      <c r="G92" t="s">
        <v>25</v>
      </c>
      <c r="H92" t="s">
        <v>21</v>
      </c>
      <c r="I92" t="s">
        <v>22</v>
      </c>
      <c r="J92" t="s">
        <v>23</v>
      </c>
      <c r="K92">
        <v>376</v>
      </c>
      <c r="L92" s="4">
        <v>13.083645799999999</v>
      </c>
      <c r="M92" s="4">
        <v>230.28926362620362</v>
      </c>
      <c r="N92" s="4">
        <v>-1.2681374492488448E-2</v>
      </c>
      <c r="O92" s="1" t="str">
        <f>HYPERLINK(".\sm_car_250503_1632\sm_car_250503_1632_091_Ca009TrN_MaWOT_ode23t_1.png","figure")</f>
        <v>figure</v>
      </c>
      <c r="P92" t="s">
        <v>15</v>
      </c>
    </row>
    <row r="93" spans="1:16" x14ac:dyDescent="0.25">
      <c r="A93">
        <v>92</v>
      </c>
      <c r="B93">
        <v>9</v>
      </c>
      <c r="C93" t="s">
        <v>16</v>
      </c>
      <c r="D93" t="s">
        <v>17</v>
      </c>
      <c r="E93" t="s">
        <v>49</v>
      </c>
      <c r="F93" t="s">
        <v>19</v>
      </c>
      <c r="G93" t="s">
        <v>25</v>
      </c>
      <c r="H93" t="s">
        <v>21</v>
      </c>
      <c r="I93" t="s">
        <v>24</v>
      </c>
      <c r="J93" t="s">
        <v>23</v>
      </c>
      <c r="K93">
        <v>534</v>
      </c>
      <c r="L93" s="4">
        <v>15.9476154</v>
      </c>
      <c r="M93" s="4">
        <v>70.963068662644332</v>
      </c>
      <c r="N93" s="4">
        <v>-0.53209508727926691</v>
      </c>
      <c r="O93" s="1" t="str">
        <f>HYPERLINK(".\sm_car_250503_1632\sm_car_250503_1632_092_Ca009TrN_MaLSS_ode23t_1.png","figure")</f>
        <v>figure</v>
      </c>
      <c r="P93" t="s">
        <v>15</v>
      </c>
    </row>
    <row r="94" spans="1:16" x14ac:dyDescent="0.25">
      <c r="A94">
        <v>93</v>
      </c>
      <c r="B94">
        <v>10</v>
      </c>
      <c r="C94" t="s">
        <v>16</v>
      </c>
      <c r="D94" t="s">
        <v>17</v>
      </c>
      <c r="E94" t="s">
        <v>49</v>
      </c>
      <c r="F94" t="s">
        <v>19</v>
      </c>
      <c r="G94" t="s">
        <v>26</v>
      </c>
      <c r="H94" t="s">
        <v>21</v>
      </c>
      <c r="I94" t="s">
        <v>22</v>
      </c>
      <c r="J94" t="s">
        <v>23</v>
      </c>
      <c r="K94">
        <v>407</v>
      </c>
      <c r="L94" s="4">
        <v>15.149514699999999</v>
      </c>
      <c r="M94" s="4">
        <v>230.31104911957328</v>
      </c>
      <c r="N94" s="4">
        <v>5.1892990897578574E-2</v>
      </c>
      <c r="O94" s="1" t="str">
        <f>HYPERLINK(".\sm_car_250503_1632\sm_car_250503_1632_093_Ca010TrN_MaWOT_ode23t_1.png","figure")</f>
        <v>figure</v>
      </c>
      <c r="P94" t="s">
        <v>15</v>
      </c>
    </row>
    <row r="95" spans="1:16" x14ac:dyDescent="0.25">
      <c r="A95">
        <v>94</v>
      </c>
      <c r="B95">
        <v>10</v>
      </c>
      <c r="C95" t="s">
        <v>16</v>
      </c>
      <c r="D95" t="s">
        <v>17</v>
      </c>
      <c r="E95" t="s">
        <v>49</v>
      </c>
      <c r="F95" t="s">
        <v>19</v>
      </c>
      <c r="G95" t="s">
        <v>26</v>
      </c>
      <c r="H95" t="s">
        <v>21</v>
      </c>
      <c r="I95" t="s">
        <v>24</v>
      </c>
      <c r="J95" t="s">
        <v>23</v>
      </c>
      <c r="K95">
        <v>561</v>
      </c>
      <c r="L95" s="4">
        <v>18.693540299999999</v>
      </c>
      <c r="M95" s="4">
        <v>70.974657622821724</v>
      </c>
      <c r="N95" s="4">
        <v>-0.52787348277148771</v>
      </c>
      <c r="O95" s="1" t="str">
        <f>HYPERLINK(".\sm_car_250503_1632\sm_car_250503_1632_094_Ca010TrN_MaLSS_ode23t_1.png","figure")</f>
        <v>figure</v>
      </c>
      <c r="P95" t="s">
        <v>15</v>
      </c>
    </row>
    <row r="96" spans="1:16" x14ac:dyDescent="0.25">
      <c r="A96">
        <v>95</v>
      </c>
      <c r="B96">
        <v>11</v>
      </c>
      <c r="C96" t="s">
        <v>16</v>
      </c>
      <c r="D96" t="s">
        <v>17</v>
      </c>
      <c r="E96" t="s">
        <v>49</v>
      </c>
      <c r="F96" t="s">
        <v>19</v>
      </c>
      <c r="G96" t="s">
        <v>27</v>
      </c>
      <c r="H96" t="s">
        <v>21</v>
      </c>
      <c r="I96" t="s">
        <v>22</v>
      </c>
      <c r="J96" t="s">
        <v>23</v>
      </c>
      <c r="K96">
        <v>445</v>
      </c>
      <c r="L96" s="4">
        <v>16.166585000000001</v>
      </c>
      <c r="M96" s="4">
        <v>229.81860367988594</v>
      </c>
      <c r="N96" s="4">
        <v>5.9199767989043056E-2</v>
      </c>
      <c r="O96" s="1" t="str">
        <f>HYPERLINK(".\sm_car_250503_1632\sm_car_250503_1632_095_Ca011TrN_MaWOT_ode23t_1.png","figure")</f>
        <v>figure</v>
      </c>
      <c r="P96" t="s">
        <v>15</v>
      </c>
    </row>
    <row r="97" spans="1:16" x14ac:dyDescent="0.25">
      <c r="A97">
        <v>96</v>
      </c>
      <c r="B97">
        <v>11</v>
      </c>
      <c r="C97" t="s">
        <v>16</v>
      </c>
      <c r="D97" t="s">
        <v>17</v>
      </c>
      <c r="E97" t="s">
        <v>49</v>
      </c>
      <c r="F97" t="s">
        <v>19</v>
      </c>
      <c r="G97" t="s">
        <v>27</v>
      </c>
      <c r="H97" t="s">
        <v>21</v>
      </c>
      <c r="I97" t="s">
        <v>24</v>
      </c>
      <c r="J97" t="s">
        <v>23</v>
      </c>
      <c r="K97">
        <v>580</v>
      </c>
      <c r="L97" s="4">
        <v>18.694261399999998</v>
      </c>
      <c r="M97" s="4">
        <v>70.836405302117072</v>
      </c>
      <c r="N97" s="4">
        <v>-0.51922678816277001</v>
      </c>
      <c r="O97" s="1" t="str">
        <f>HYPERLINK(".\sm_car_250503_1632\sm_car_250503_1632_096_Ca011TrN_MaLSS_ode23t_1.png","figure")</f>
        <v>figure</v>
      </c>
      <c r="P97" t="s">
        <v>15</v>
      </c>
    </row>
    <row r="98" spans="1:16" x14ac:dyDescent="0.25">
      <c r="A98">
        <v>97</v>
      </c>
      <c r="B98">
        <v>12</v>
      </c>
      <c r="C98" t="s">
        <v>16</v>
      </c>
      <c r="D98" t="s">
        <v>17</v>
      </c>
      <c r="E98" t="s">
        <v>49</v>
      </c>
      <c r="F98" t="s">
        <v>28</v>
      </c>
      <c r="G98" t="s">
        <v>20</v>
      </c>
      <c r="H98" t="s">
        <v>21</v>
      </c>
      <c r="I98" t="s">
        <v>22</v>
      </c>
      <c r="J98" t="s">
        <v>23</v>
      </c>
      <c r="K98">
        <v>841</v>
      </c>
      <c r="L98" s="4">
        <v>13.0884205</v>
      </c>
      <c r="M98" s="4">
        <v>231.1963725932564</v>
      </c>
      <c r="N98" s="4">
        <v>-3.6928517707706882E-3</v>
      </c>
      <c r="O98" s="1" t="str">
        <f>HYPERLINK(".\sm_car_250503_1632\sm_car_250503_1632_097_Ca012TrN_MaWOT_ode23t_1.png","figure")</f>
        <v>figure</v>
      </c>
      <c r="P98" t="s">
        <v>15</v>
      </c>
    </row>
    <row r="99" spans="1:16" x14ac:dyDescent="0.25">
      <c r="A99">
        <v>98</v>
      </c>
      <c r="B99">
        <v>12</v>
      </c>
      <c r="C99" t="s">
        <v>16</v>
      </c>
      <c r="D99" t="s">
        <v>17</v>
      </c>
      <c r="E99" t="s">
        <v>49</v>
      </c>
      <c r="F99" t="s">
        <v>28</v>
      </c>
      <c r="G99" t="s">
        <v>20</v>
      </c>
      <c r="H99" t="s">
        <v>21</v>
      </c>
      <c r="I99" t="s">
        <v>24</v>
      </c>
      <c r="J99" t="s">
        <v>23</v>
      </c>
      <c r="K99">
        <v>967</v>
      </c>
      <c r="L99" s="4">
        <v>13.6072025</v>
      </c>
      <c r="M99" s="4">
        <v>71.248617959083418</v>
      </c>
      <c r="N99" s="4">
        <v>-0.54359709995901451</v>
      </c>
      <c r="O99" s="1" t="str">
        <f>HYPERLINK(".\sm_car_250503_1632\sm_car_250503_1632_098_Ca012TrN_MaLSS_ode23t_1.png","figure")</f>
        <v>figure</v>
      </c>
      <c r="P99" t="s">
        <v>15</v>
      </c>
    </row>
    <row r="100" spans="1:16" x14ac:dyDescent="0.25">
      <c r="A100">
        <v>99</v>
      </c>
      <c r="B100">
        <v>13</v>
      </c>
      <c r="C100" t="s">
        <v>16</v>
      </c>
      <c r="D100" t="s">
        <v>17</v>
      </c>
      <c r="E100" t="s">
        <v>49</v>
      </c>
      <c r="F100" t="s">
        <v>28</v>
      </c>
      <c r="G100" t="s">
        <v>25</v>
      </c>
      <c r="H100" t="s">
        <v>21</v>
      </c>
      <c r="I100" t="s">
        <v>22</v>
      </c>
      <c r="J100" t="s">
        <v>23</v>
      </c>
      <c r="K100">
        <v>846</v>
      </c>
      <c r="L100" s="4">
        <v>14.4876402</v>
      </c>
      <c r="M100" s="4">
        <v>230.25889894226307</v>
      </c>
      <c r="N100" s="4">
        <v>-1.182314288468825E-2</v>
      </c>
      <c r="O100" s="1" t="str">
        <f>HYPERLINK(".\sm_car_250503_1632\sm_car_250503_1632_099_Ca013TrN_MaWOT_ode23t_1.png","figure")</f>
        <v>figure</v>
      </c>
      <c r="P100" t="s">
        <v>15</v>
      </c>
    </row>
    <row r="101" spans="1:16" x14ac:dyDescent="0.25">
      <c r="A101">
        <v>100</v>
      </c>
      <c r="B101">
        <v>13</v>
      </c>
      <c r="C101" t="s">
        <v>16</v>
      </c>
      <c r="D101" t="s">
        <v>17</v>
      </c>
      <c r="E101" t="s">
        <v>49</v>
      </c>
      <c r="F101" t="s">
        <v>28</v>
      </c>
      <c r="G101" t="s">
        <v>25</v>
      </c>
      <c r="H101" t="s">
        <v>21</v>
      </c>
      <c r="I101" t="s">
        <v>24</v>
      </c>
      <c r="J101" t="s">
        <v>23</v>
      </c>
      <c r="K101">
        <v>999</v>
      </c>
      <c r="L101" s="4">
        <v>16.599138199999999</v>
      </c>
      <c r="M101" s="4">
        <v>70.957674890579938</v>
      </c>
      <c r="N101" s="4">
        <v>-0.54017823213199245</v>
      </c>
      <c r="O101" s="1" t="str">
        <f>HYPERLINK(".\sm_car_250503_1632\sm_car_250503_1632_100_Ca013TrN_MaLSS_ode23t_1.png","figure")</f>
        <v>figure</v>
      </c>
      <c r="P101" t="s">
        <v>15</v>
      </c>
    </row>
    <row r="102" spans="1:16" x14ac:dyDescent="0.25">
      <c r="A102">
        <v>101</v>
      </c>
      <c r="B102">
        <v>14</v>
      </c>
      <c r="C102" t="s">
        <v>16</v>
      </c>
      <c r="D102" t="s">
        <v>17</v>
      </c>
      <c r="E102" t="s">
        <v>49</v>
      </c>
      <c r="F102" t="s">
        <v>28</v>
      </c>
      <c r="G102" t="s">
        <v>26</v>
      </c>
      <c r="H102" t="s">
        <v>21</v>
      </c>
      <c r="I102" t="s">
        <v>22</v>
      </c>
      <c r="J102" t="s">
        <v>23</v>
      </c>
      <c r="K102">
        <v>885</v>
      </c>
      <c r="L102" s="4">
        <v>14.6291779</v>
      </c>
      <c r="M102" s="4">
        <v>229.9928952700557</v>
      </c>
      <c r="N102" s="4">
        <v>5.3897451558046511E-2</v>
      </c>
      <c r="O102" s="1" t="str">
        <f>HYPERLINK(".\sm_car_250503_1632\sm_car_250503_1632_101_Ca014TrN_MaWOT_ode23t_1.png","figure")</f>
        <v>figure</v>
      </c>
      <c r="P102" t="s">
        <v>15</v>
      </c>
    </row>
    <row r="103" spans="1:16" x14ac:dyDescent="0.25">
      <c r="A103">
        <v>102</v>
      </c>
      <c r="B103">
        <v>14</v>
      </c>
      <c r="C103" t="s">
        <v>16</v>
      </c>
      <c r="D103" t="s">
        <v>17</v>
      </c>
      <c r="E103" t="s">
        <v>49</v>
      </c>
      <c r="F103" t="s">
        <v>28</v>
      </c>
      <c r="G103" t="s">
        <v>26</v>
      </c>
      <c r="H103" t="s">
        <v>21</v>
      </c>
      <c r="I103" t="s">
        <v>24</v>
      </c>
      <c r="J103" t="s">
        <v>23</v>
      </c>
      <c r="K103">
        <v>1008</v>
      </c>
      <c r="L103" s="4">
        <v>17.240038899999998</v>
      </c>
      <c r="M103" s="4">
        <v>70.962311577732564</v>
      </c>
      <c r="N103" s="4">
        <v>-0.53492541702932372</v>
      </c>
      <c r="O103" s="1" t="str">
        <f>HYPERLINK(".\sm_car_250503_1632\sm_car_250503_1632_102_Ca014TrN_MaLSS_ode23t_1.png","figure")</f>
        <v>figure</v>
      </c>
      <c r="P103" t="s">
        <v>15</v>
      </c>
    </row>
    <row r="104" spans="1:16" x14ac:dyDescent="0.25">
      <c r="A104">
        <v>103</v>
      </c>
      <c r="B104">
        <v>15</v>
      </c>
      <c r="C104" t="s">
        <v>16</v>
      </c>
      <c r="D104" t="s">
        <v>17</v>
      </c>
      <c r="E104" t="s">
        <v>49</v>
      </c>
      <c r="F104" t="s">
        <v>28</v>
      </c>
      <c r="G104" t="s">
        <v>27</v>
      </c>
      <c r="H104" t="s">
        <v>21</v>
      </c>
      <c r="I104" t="s">
        <v>22</v>
      </c>
      <c r="J104" t="s">
        <v>23</v>
      </c>
      <c r="K104">
        <v>882</v>
      </c>
      <c r="L104" s="4">
        <v>15.177391200000001</v>
      </c>
      <c r="M104" s="4">
        <v>229.96254752273236</v>
      </c>
      <c r="N104" s="4">
        <v>5.4211803171460966E-2</v>
      </c>
      <c r="O104" s="1" t="str">
        <f>HYPERLINK(".\sm_car_250503_1632\sm_car_250503_1632_103_Ca015TrN_MaWOT_ode23t_1.png","figure")</f>
        <v>figure</v>
      </c>
      <c r="P104" t="s">
        <v>15</v>
      </c>
    </row>
    <row r="105" spans="1:16" x14ac:dyDescent="0.25">
      <c r="A105">
        <v>104</v>
      </c>
      <c r="B105">
        <v>15</v>
      </c>
      <c r="C105" t="s">
        <v>16</v>
      </c>
      <c r="D105" t="s">
        <v>17</v>
      </c>
      <c r="E105" t="s">
        <v>49</v>
      </c>
      <c r="F105" t="s">
        <v>28</v>
      </c>
      <c r="G105" t="s">
        <v>27</v>
      </c>
      <c r="H105" t="s">
        <v>21</v>
      </c>
      <c r="I105" t="s">
        <v>24</v>
      </c>
      <c r="J105" t="s">
        <v>23</v>
      </c>
      <c r="K105">
        <v>1051</v>
      </c>
      <c r="L105" s="4">
        <v>18.893105200000001</v>
      </c>
      <c r="M105" s="4">
        <v>70.831686978169017</v>
      </c>
      <c r="N105" s="4">
        <v>-0.5315244294808753</v>
      </c>
      <c r="O105" s="1" t="str">
        <f>HYPERLINK(".\sm_car_250503_1632\sm_car_250503_1632_104_Ca015TrN_MaLSS_ode23t_1.png","figure")</f>
        <v>figure</v>
      </c>
      <c r="P105" t="s">
        <v>15</v>
      </c>
    </row>
    <row r="106" spans="1:16" x14ac:dyDescent="0.25">
      <c r="A106">
        <v>105</v>
      </c>
      <c r="B106">
        <v>120</v>
      </c>
      <c r="C106" t="s">
        <v>16</v>
      </c>
      <c r="D106" t="s">
        <v>35</v>
      </c>
      <c r="E106" t="s">
        <v>49</v>
      </c>
      <c r="F106" t="s">
        <v>19</v>
      </c>
      <c r="G106" t="s">
        <v>20</v>
      </c>
      <c r="H106" t="s">
        <v>21</v>
      </c>
      <c r="I106" t="s">
        <v>22</v>
      </c>
      <c r="J106" t="s">
        <v>23</v>
      </c>
      <c r="K106">
        <v>413</v>
      </c>
      <c r="L106" s="4">
        <v>3.9898826000000001</v>
      </c>
      <c r="M106" s="4">
        <v>242.69174293174811</v>
      </c>
      <c r="N106" s="4">
        <v>0.23531139430229381</v>
      </c>
      <c r="O106" s="1" t="str">
        <f>HYPERLINK(".\sm_car_250503_1632\sm_car_250503_1632_105_Ca120TrN_MaWOT_ode23t_1.png","figure")</f>
        <v>figure</v>
      </c>
      <c r="P106" t="s">
        <v>15</v>
      </c>
    </row>
    <row r="107" spans="1:16" x14ac:dyDescent="0.25">
      <c r="A107">
        <v>106</v>
      </c>
      <c r="B107">
        <v>120</v>
      </c>
      <c r="C107" t="s">
        <v>16</v>
      </c>
      <c r="D107" t="s">
        <v>35</v>
      </c>
      <c r="E107" t="s">
        <v>49</v>
      </c>
      <c r="F107" t="s">
        <v>19</v>
      </c>
      <c r="G107" t="s">
        <v>20</v>
      </c>
      <c r="H107" t="s">
        <v>21</v>
      </c>
      <c r="I107" t="s">
        <v>24</v>
      </c>
      <c r="J107" t="s">
        <v>23</v>
      </c>
      <c r="K107">
        <v>527</v>
      </c>
      <c r="L107" s="4">
        <v>4.3659350000000003</v>
      </c>
      <c r="M107" s="4">
        <v>74.673062205491476</v>
      </c>
      <c r="N107" s="4">
        <v>-0.33895253431539496</v>
      </c>
      <c r="O107" s="1" t="str">
        <f>HYPERLINK(".\sm_car_250503_1632\sm_car_250503_1632_106_Ca120TrN_MaLSS_ode23t_1.png","figure")</f>
        <v>figure</v>
      </c>
      <c r="P107" t="s">
        <v>15</v>
      </c>
    </row>
    <row r="108" spans="1:16" x14ac:dyDescent="0.25">
      <c r="A108">
        <v>107</v>
      </c>
      <c r="B108">
        <v>121</v>
      </c>
      <c r="C108" t="s">
        <v>16</v>
      </c>
      <c r="D108" t="s">
        <v>35</v>
      </c>
      <c r="E108" t="s">
        <v>49</v>
      </c>
      <c r="F108" t="s">
        <v>19</v>
      </c>
      <c r="G108" t="s">
        <v>25</v>
      </c>
      <c r="H108" t="s">
        <v>21</v>
      </c>
      <c r="I108" t="s">
        <v>22</v>
      </c>
      <c r="J108" t="s">
        <v>23</v>
      </c>
      <c r="K108">
        <v>407</v>
      </c>
      <c r="L108" s="4">
        <v>4.6152264000000001</v>
      </c>
      <c r="M108" s="4">
        <v>241.21117175166435</v>
      </c>
      <c r="N108" s="4">
        <v>0.23111594004149721</v>
      </c>
      <c r="O108" s="1" t="str">
        <f>HYPERLINK(".\sm_car_250503_1632\sm_car_250503_1632_107_Ca121TrN_MaWOT_ode23t_1.png","figure")</f>
        <v>figure</v>
      </c>
      <c r="P108" t="s">
        <v>15</v>
      </c>
    </row>
    <row r="109" spans="1:16" x14ac:dyDescent="0.25">
      <c r="A109">
        <v>108</v>
      </c>
      <c r="B109">
        <v>121</v>
      </c>
      <c r="C109" t="s">
        <v>16</v>
      </c>
      <c r="D109" t="s">
        <v>35</v>
      </c>
      <c r="E109" t="s">
        <v>49</v>
      </c>
      <c r="F109" t="s">
        <v>19</v>
      </c>
      <c r="G109" t="s">
        <v>25</v>
      </c>
      <c r="H109" t="s">
        <v>21</v>
      </c>
      <c r="I109" t="s">
        <v>24</v>
      </c>
      <c r="J109" t="s">
        <v>23</v>
      </c>
      <c r="K109">
        <v>500</v>
      </c>
      <c r="L109" s="4">
        <v>5.0116914000000001</v>
      </c>
      <c r="M109" s="4">
        <v>74.357499242740801</v>
      </c>
      <c r="N109" s="4">
        <v>-0.33014717241211844</v>
      </c>
      <c r="O109" s="1" t="str">
        <f>HYPERLINK(".\sm_car_250503_1632\sm_car_250503_1632_108_Ca121TrN_MaLSS_ode23t_1.png","figure")</f>
        <v>figure</v>
      </c>
      <c r="P109" t="s">
        <v>15</v>
      </c>
    </row>
    <row r="110" spans="1:16" x14ac:dyDescent="0.25">
      <c r="A110">
        <v>109</v>
      </c>
      <c r="B110">
        <v>122</v>
      </c>
      <c r="C110" t="s">
        <v>16</v>
      </c>
      <c r="D110" t="s">
        <v>35</v>
      </c>
      <c r="E110" t="s">
        <v>49</v>
      </c>
      <c r="F110" t="s">
        <v>19</v>
      </c>
      <c r="G110" t="s">
        <v>26</v>
      </c>
      <c r="H110" t="s">
        <v>21</v>
      </c>
      <c r="I110" t="s">
        <v>22</v>
      </c>
      <c r="J110" t="s">
        <v>23</v>
      </c>
      <c r="K110">
        <v>417</v>
      </c>
      <c r="L110" s="4">
        <v>4.8012351999999998</v>
      </c>
      <c r="M110" s="4">
        <v>241.75718230278986</v>
      </c>
      <c r="N110" s="4">
        <v>0.23179219964746173</v>
      </c>
      <c r="O110" s="1" t="str">
        <f>HYPERLINK(".\sm_car_250503_1632\sm_car_250503_1632_109_Ca122TrN_MaWOT_ode23t_1.png","figure")</f>
        <v>figure</v>
      </c>
      <c r="P110" t="s">
        <v>15</v>
      </c>
    </row>
    <row r="111" spans="1:16" x14ac:dyDescent="0.25">
      <c r="A111">
        <v>110</v>
      </c>
      <c r="B111">
        <v>122</v>
      </c>
      <c r="C111" t="s">
        <v>16</v>
      </c>
      <c r="D111" t="s">
        <v>35</v>
      </c>
      <c r="E111" t="s">
        <v>49</v>
      </c>
      <c r="F111" t="s">
        <v>19</v>
      </c>
      <c r="G111" t="s">
        <v>26</v>
      </c>
      <c r="H111" t="s">
        <v>21</v>
      </c>
      <c r="I111" t="s">
        <v>24</v>
      </c>
      <c r="J111" t="s">
        <v>23</v>
      </c>
      <c r="K111">
        <v>514</v>
      </c>
      <c r="L111" s="4">
        <v>5.2903789999999997</v>
      </c>
      <c r="M111" s="4">
        <v>74.376008375858689</v>
      </c>
      <c r="N111" s="4">
        <v>-0.3339006169882236</v>
      </c>
      <c r="O111" s="1" t="str">
        <f>HYPERLINK(".\sm_car_250503_1632\sm_car_250503_1632_110_Ca122TrN_MaLSS_ode23t_1.png","figure")</f>
        <v>figure</v>
      </c>
      <c r="P111" t="s">
        <v>15</v>
      </c>
    </row>
    <row r="112" spans="1:16" x14ac:dyDescent="0.25">
      <c r="A112">
        <v>111</v>
      </c>
      <c r="B112">
        <v>123</v>
      </c>
      <c r="C112" t="s">
        <v>16</v>
      </c>
      <c r="D112" t="s">
        <v>35</v>
      </c>
      <c r="E112" t="s">
        <v>49</v>
      </c>
      <c r="F112" t="s">
        <v>19</v>
      </c>
      <c r="G112" t="s">
        <v>27</v>
      </c>
      <c r="H112" t="s">
        <v>21</v>
      </c>
      <c r="I112" t="s">
        <v>22</v>
      </c>
      <c r="J112" t="s">
        <v>23</v>
      </c>
      <c r="K112">
        <v>445</v>
      </c>
      <c r="L112" s="4">
        <v>5.1817336000000003</v>
      </c>
      <c r="M112" s="4">
        <v>241.12593776169095</v>
      </c>
      <c r="N112" s="4">
        <v>0.22895077967473185</v>
      </c>
      <c r="O112" s="1" t="str">
        <f>HYPERLINK(".\sm_car_250503_1632\sm_car_250503_1632_111_Ca123TrN_MaWOT_ode23t_1.png","figure")</f>
        <v>figure</v>
      </c>
      <c r="P112" t="s">
        <v>15</v>
      </c>
    </row>
    <row r="113" spans="1:16" x14ac:dyDescent="0.25">
      <c r="A113">
        <v>112</v>
      </c>
      <c r="B113">
        <v>123</v>
      </c>
      <c r="C113" t="s">
        <v>16</v>
      </c>
      <c r="D113" t="s">
        <v>35</v>
      </c>
      <c r="E113" t="s">
        <v>49</v>
      </c>
      <c r="F113" t="s">
        <v>19</v>
      </c>
      <c r="G113" t="s">
        <v>27</v>
      </c>
      <c r="H113" t="s">
        <v>21</v>
      </c>
      <c r="I113" t="s">
        <v>24</v>
      </c>
      <c r="J113" t="s">
        <v>23</v>
      </c>
      <c r="K113">
        <v>545</v>
      </c>
      <c r="L113" s="4">
        <v>5.8284345999999996</v>
      </c>
      <c r="M113" s="4">
        <v>74.205123031483751</v>
      </c>
      <c r="N113" s="4">
        <v>-0.32986039402492062</v>
      </c>
      <c r="O113" s="1" t="str">
        <f>HYPERLINK(".\sm_car_250503_1632\sm_car_250503_1632_112_Ca123TrN_MaLSS_ode23t_1.png","figure")</f>
        <v>figure</v>
      </c>
      <c r="P113" t="s">
        <v>15</v>
      </c>
    </row>
    <row r="114" spans="1:16" x14ac:dyDescent="0.25">
      <c r="A114">
        <v>113</v>
      </c>
      <c r="B114">
        <v>124</v>
      </c>
      <c r="C114" t="s">
        <v>16</v>
      </c>
      <c r="D114" t="s">
        <v>35</v>
      </c>
      <c r="E114" t="s">
        <v>49</v>
      </c>
      <c r="F114" t="s">
        <v>28</v>
      </c>
      <c r="G114" t="s">
        <v>20</v>
      </c>
      <c r="H114" t="s">
        <v>21</v>
      </c>
      <c r="I114" t="s">
        <v>22</v>
      </c>
      <c r="J114" t="s">
        <v>23</v>
      </c>
      <c r="K114">
        <v>1003</v>
      </c>
      <c r="L114" s="4">
        <v>5.1177283999999998</v>
      </c>
      <c r="M114" s="4">
        <v>242.5958767256522</v>
      </c>
      <c r="N114" s="4">
        <v>0.23603148155887721</v>
      </c>
      <c r="O114" s="1" t="str">
        <f>HYPERLINK(".\sm_car_250503_1632\sm_car_250503_1632_113_Ca124TrN_MaWOT_ode23t_1.png","figure")</f>
        <v>figure</v>
      </c>
      <c r="P114" t="s">
        <v>15</v>
      </c>
    </row>
    <row r="115" spans="1:16" x14ac:dyDescent="0.25">
      <c r="A115">
        <v>114</v>
      </c>
      <c r="B115">
        <v>124</v>
      </c>
      <c r="C115" t="s">
        <v>16</v>
      </c>
      <c r="D115" t="s">
        <v>35</v>
      </c>
      <c r="E115" t="s">
        <v>49</v>
      </c>
      <c r="F115" t="s">
        <v>28</v>
      </c>
      <c r="G115" t="s">
        <v>20</v>
      </c>
      <c r="H115" t="s">
        <v>21</v>
      </c>
      <c r="I115" t="s">
        <v>24</v>
      </c>
      <c r="J115" t="s">
        <v>23</v>
      </c>
      <c r="K115">
        <v>1118</v>
      </c>
      <c r="L115" s="4">
        <v>5.6711349999999996</v>
      </c>
      <c r="M115" s="4">
        <v>74.658945627810112</v>
      </c>
      <c r="N115" s="4">
        <v>-0.34187103805206981</v>
      </c>
      <c r="O115" s="1" t="str">
        <f>HYPERLINK(".\sm_car_250503_1632\sm_car_250503_1632_114_Ca124TrN_MaLSS_ode23t_1.png","figure")</f>
        <v>figure</v>
      </c>
      <c r="P115" t="s">
        <v>15</v>
      </c>
    </row>
    <row r="116" spans="1:16" x14ac:dyDescent="0.25">
      <c r="A116">
        <v>115</v>
      </c>
      <c r="B116">
        <v>125</v>
      </c>
      <c r="C116" t="s">
        <v>16</v>
      </c>
      <c r="D116" t="s">
        <v>35</v>
      </c>
      <c r="E116" t="s">
        <v>49</v>
      </c>
      <c r="F116" t="s">
        <v>28</v>
      </c>
      <c r="G116" t="s">
        <v>25</v>
      </c>
      <c r="H116" t="s">
        <v>21</v>
      </c>
      <c r="I116" t="s">
        <v>22</v>
      </c>
      <c r="J116" t="s">
        <v>23</v>
      </c>
      <c r="K116">
        <v>1005</v>
      </c>
      <c r="L116" s="4">
        <v>5.6345241000000001</v>
      </c>
      <c r="M116" s="4">
        <v>241.58752076350953</v>
      </c>
      <c r="N116" s="4">
        <v>0.23266703424713392</v>
      </c>
      <c r="O116" s="1" t="str">
        <f>HYPERLINK(".\sm_car_250503_1632\sm_car_250503_1632_115_Ca125TrN_MaWOT_ode23t_1.png","figure")</f>
        <v>figure</v>
      </c>
      <c r="P116" t="s">
        <v>15</v>
      </c>
    </row>
    <row r="117" spans="1:16" x14ac:dyDescent="0.25">
      <c r="A117">
        <v>116</v>
      </c>
      <c r="B117">
        <v>125</v>
      </c>
      <c r="C117" t="s">
        <v>16</v>
      </c>
      <c r="D117" t="s">
        <v>35</v>
      </c>
      <c r="E117" t="s">
        <v>49</v>
      </c>
      <c r="F117" t="s">
        <v>28</v>
      </c>
      <c r="G117" t="s">
        <v>25</v>
      </c>
      <c r="H117" t="s">
        <v>21</v>
      </c>
      <c r="I117" t="s">
        <v>24</v>
      </c>
      <c r="J117" t="s">
        <v>23</v>
      </c>
      <c r="K117">
        <v>1131</v>
      </c>
      <c r="L117" s="4">
        <v>6.4227999000000002</v>
      </c>
      <c r="M117" s="4">
        <v>74.350050540402492</v>
      </c>
      <c r="N117" s="4">
        <v>-0.33747370778325414</v>
      </c>
      <c r="O117" s="1" t="str">
        <f>HYPERLINK(".\sm_car_250503_1632\sm_car_250503_1632_116_Ca125TrN_MaLSS_ode23t_1.png","figure")</f>
        <v>figure</v>
      </c>
      <c r="P117" t="s">
        <v>15</v>
      </c>
    </row>
    <row r="118" spans="1:16" x14ac:dyDescent="0.25">
      <c r="A118">
        <v>117</v>
      </c>
      <c r="B118">
        <v>126</v>
      </c>
      <c r="C118" t="s">
        <v>16</v>
      </c>
      <c r="D118" t="s">
        <v>35</v>
      </c>
      <c r="E118" t="s">
        <v>49</v>
      </c>
      <c r="F118" t="s">
        <v>28</v>
      </c>
      <c r="G118" t="s">
        <v>26</v>
      </c>
      <c r="H118" t="s">
        <v>21</v>
      </c>
      <c r="I118" t="s">
        <v>22</v>
      </c>
      <c r="J118" t="s">
        <v>23</v>
      </c>
      <c r="K118">
        <v>1026</v>
      </c>
      <c r="L118" s="4">
        <v>5.9131016000000001</v>
      </c>
      <c r="M118" s="4">
        <v>241.400115425248</v>
      </c>
      <c r="N118" s="4">
        <v>0.23231610167602565</v>
      </c>
      <c r="O118" s="1" t="str">
        <f>HYPERLINK(".\sm_car_250503_1632\sm_car_250503_1632_117_Ca126TrN_MaWOT_ode23t_1.png","figure")</f>
        <v>figure</v>
      </c>
      <c r="P118" t="s">
        <v>15</v>
      </c>
    </row>
    <row r="119" spans="1:16" x14ac:dyDescent="0.25">
      <c r="A119">
        <v>118</v>
      </c>
      <c r="B119">
        <v>126</v>
      </c>
      <c r="C119" t="s">
        <v>16</v>
      </c>
      <c r="D119" t="s">
        <v>35</v>
      </c>
      <c r="E119" t="s">
        <v>49</v>
      </c>
      <c r="F119" t="s">
        <v>28</v>
      </c>
      <c r="G119" t="s">
        <v>26</v>
      </c>
      <c r="H119" t="s">
        <v>21</v>
      </c>
      <c r="I119" t="s">
        <v>24</v>
      </c>
      <c r="J119" t="s">
        <v>23</v>
      </c>
      <c r="K119">
        <v>1151</v>
      </c>
      <c r="L119" s="4">
        <v>6.5966608999999998</v>
      </c>
      <c r="M119" s="4">
        <v>74.340276521405471</v>
      </c>
      <c r="N119" s="4">
        <v>-0.33691224467820413</v>
      </c>
      <c r="O119" s="1" t="str">
        <f>HYPERLINK(".\sm_car_250503_1632\sm_car_250503_1632_118_Ca126TrN_MaLSS_ode23t_1.png","figure")</f>
        <v>figure</v>
      </c>
      <c r="P119" t="s">
        <v>15</v>
      </c>
    </row>
    <row r="120" spans="1:16" x14ac:dyDescent="0.25">
      <c r="A120">
        <v>119</v>
      </c>
      <c r="B120">
        <v>127</v>
      </c>
      <c r="C120" t="s">
        <v>16</v>
      </c>
      <c r="D120" t="s">
        <v>35</v>
      </c>
      <c r="E120" t="s">
        <v>49</v>
      </c>
      <c r="F120" t="s">
        <v>28</v>
      </c>
      <c r="G120" t="s">
        <v>27</v>
      </c>
      <c r="H120" t="s">
        <v>21</v>
      </c>
      <c r="I120" t="s">
        <v>22</v>
      </c>
      <c r="J120" t="s">
        <v>23</v>
      </c>
      <c r="K120">
        <v>1057</v>
      </c>
      <c r="L120" s="4">
        <v>6.5805379000000004</v>
      </c>
      <c r="M120" s="4">
        <v>241.12844204727122</v>
      </c>
      <c r="N120" s="4">
        <v>0.2311365856834241</v>
      </c>
      <c r="O120" s="1" t="str">
        <f>HYPERLINK(".\sm_car_250503_1632\sm_car_250503_1632_119_Ca127TrN_MaWOT_ode23t_1.png","figure")</f>
        <v>figure</v>
      </c>
      <c r="P120" t="s">
        <v>15</v>
      </c>
    </row>
    <row r="121" spans="1:16" x14ac:dyDescent="0.25">
      <c r="A121">
        <v>120</v>
      </c>
      <c r="B121">
        <v>127</v>
      </c>
      <c r="C121" t="s">
        <v>16</v>
      </c>
      <c r="D121" t="s">
        <v>35</v>
      </c>
      <c r="E121" t="s">
        <v>49</v>
      </c>
      <c r="F121" t="s">
        <v>28</v>
      </c>
      <c r="G121" t="s">
        <v>27</v>
      </c>
      <c r="H121" t="s">
        <v>21</v>
      </c>
      <c r="I121" t="s">
        <v>24</v>
      </c>
      <c r="J121" t="s">
        <v>23</v>
      </c>
      <c r="K121">
        <v>1186</v>
      </c>
      <c r="L121" s="4">
        <v>7.5244473999999997</v>
      </c>
      <c r="M121" s="4">
        <v>74.195060486218921</v>
      </c>
      <c r="N121" s="4">
        <v>-0.33360081703041344</v>
      </c>
      <c r="O121" s="1" t="str">
        <f>HYPERLINK(".\sm_car_250503_1632\sm_car_250503_1632_120_Ca127TrN_MaLSS_ode23t_1.png","figure")</f>
        <v>figure</v>
      </c>
      <c r="P121" t="s">
        <v>15</v>
      </c>
    </row>
    <row r="122" spans="1:16" x14ac:dyDescent="0.25">
      <c r="A122">
        <v>121</v>
      </c>
      <c r="B122">
        <v>140</v>
      </c>
      <c r="C122" t="s">
        <v>45</v>
      </c>
      <c r="D122" t="s">
        <v>17</v>
      </c>
      <c r="E122" t="s">
        <v>49</v>
      </c>
      <c r="F122" t="s">
        <v>19</v>
      </c>
      <c r="G122" t="s">
        <v>26</v>
      </c>
      <c r="H122" t="s">
        <v>21</v>
      </c>
      <c r="I122" t="s">
        <v>22</v>
      </c>
      <c r="J122" t="s">
        <v>23</v>
      </c>
      <c r="K122">
        <v>687</v>
      </c>
      <c r="L122" s="4">
        <v>40.012362799999998</v>
      </c>
      <c r="M122" s="4">
        <v>404.99636423411556</v>
      </c>
      <c r="N122" s="4">
        <v>1.6714509775583231</v>
      </c>
      <c r="O122" s="1" t="str">
        <f>HYPERLINK(".\sm_car_250503_1632\sm_car_250503_1632_121_Ca140TrN_MaWOT_ode23t_1.png","figure")</f>
        <v>figure</v>
      </c>
      <c r="P122" t="s">
        <v>15</v>
      </c>
    </row>
    <row r="123" spans="1:16" x14ac:dyDescent="0.25">
      <c r="A123">
        <v>122</v>
      </c>
      <c r="B123">
        <v>140</v>
      </c>
      <c r="C123" t="s">
        <v>45</v>
      </c>
      <c r="D123" t="s">
        <v>17</v>
      </c>
      <c r="E123" t="s">
        <v>49</v>
      </c>
      <c r="F123" t="s">
        <v>19</v>
      </c>
      <c r="G123" t="s">
        <v>26</v>
      </c>
      <c r="H123" t="s">
        <v>21</v>
      </c>
      <c r="I123" t="s">
        <v>24</v>
      </c>
      <c r="J123" t="s">
        <v>23</v>
      </c>
      <c r="K123">
        <v>636</v>
      </c>
      <c r="L123" s="4">
        <v>23.962288900000001</v>
      </c>
      <c r="M123" s="4">
        <v>154.33698845347902</v>
      </c>
      <c r="N123" s="4">
        <v>-0.58409865966007402</v>
      </c>
      <c r="O123" s="1" t="str">
        <f>HYPERLINK(".\sm_car_250503_1632\sm_car_250503_1632_122_Ca140TrN_MaLSS_ode23t_1.png","figure")</f>
        <v>figure</v>
      </c>
      <c r="P123" t="s">
        <v>15</v>
      </c>
    </row>
    <row r="124" spans="1:16" x14ac:dyDescent="0.25">
      <c r="A124">
        <v>123</v>
      </c>
      <c r="B124">
        <v>142</v>
      </c>
      <c r="C124" t="s">
        <v>45</v>
      </c>
      <c r="D124" t="s">
        <v>17</v>
      </c>
      <c r="E124" t="s">
        <v>49</v>
      </c>
      <c r="F124" t="s">
        <v>28</v>
      </c>
      <c r="G124" t="s">
        <v>26</v>
      </c>
      <c r="H124" t="s">
        <v>21</v>
      </c>
      <c r="I124" t="s">
        <v>22</v>
      </c>
      <c r="J124" t="s">
        <v>23</v>
      </c>
      <c r="K124">
        <v>1238</v>
      </c>
      <c r="L124" s="4">
        <v>35.5615661</v>
      </c>
      <c r="M124" s="4">
        <v>405.32461534603971</v>
      </c>
      <c r="N124" s="4">
        <v>1.5309581472690987</v>
      </c>
      <c r="O124" s="1" t="str">
        <f>HYPERLINK(".\sm_car_250503_1632\sm_car_250503_1632_123_Ca142TrN_MaWOT_ode23t_1.png","figure")</f>
        <v>figure</v>
      </c>
      <c r="P124" t="s">
        <v>15</v>
      </c>
    </row>
    <row r="125" spans="1:16" x14ac:dyDescent="0.25">
      <c r="A125">
        <v>124</v>
      </c>
      <c r="B125">
        <v>142</v>
      </c>
      <c r="C125" t="s">
        <v>45</v>
      </c>
      <c r="D125" t="s">
        <v>17</v>
      </c>
      <c r="E125" t="s">
        <v>49</v>
      </c>
      <c r="F125" t="s">
        <v>28</v>
      </c>
      <c r="G125" t="s">
        <v>26</v>
      </c>
      <c r="H125" t="s">
        <v>21</v>
      </c>
      <c r="I125" t="s">
        <v>24</v>
      </c>
      <c r="J125" t="s">
        <v>23</v>
      </c>
      <c r="K125">
        <v>1244</v>
      </c>
      <c r="L125" s="4">
        <v>27.6449772</v>
      </c>
      <c r="M125" s="4">
        <v>154.47270797182526</v>
      </c>
      <c r="N125" s="4">
        <v>-0.59074220503342856</v>
      </c>
      <c r="O125" s="1" t="str">
        <f>HYPERLINK(".\sm_car_250503_1632\sm_car_250503_1632_124_Ca142TrN_MaLSS_ode23t_1.png","figure")</f>
        <v>figure</v>
      </c>
      <c r="P125" t="s">
        <v>15</v>
      </c>
    </row>
    <row r="126" spans="1:16" x14ac:dyDescent="0.25">
      <c r="A126">
        <v>125</v>
      </c>
      <c r="B126">
        <v>145</v>
      </c>
      <c r="C126" t="s">
        <v>46</v>
      </c>
      <c r="D126" t="s">
        <v>17</v>
      </c>
      <c r="E126" t="s">
        <v>50</v>
      </c>
      <c r="F126" t="s">
        <v>19</v>
      </c>
      <c r="G126" t="s">
        <v>26</v>
      </c>
      <c r="H126" t="s">
        <v>21</v>
      </c>
      <c r="I126" t="s">
        <v>22</v>
      </c>
      <c r="J126" t="s">
        <v>23</v>
      </c>
      <c r="K126">
        <v>355</v>
      </c>
      <c r="L126" s="4">
        <v>16.650906200000001</v>
      </c>
      <c r="M126" s="4">
        <v>95.763190305917007</v>
      </c>
      <c r="N126" s="4">
        <v>-3.2503290073543287E-2</v>
      </c>
      <c r="O126" s="1" t="str">
        <f>HYPERLINK(".\sm_car_250503_1632\sm_car_250503_1632_125_Ca145TrN_MaWOT_ode23t_1.png","figure")</f>
        <v>figure</v>
      </c>
      <c r="P126" t="s">
        <v>15</v>
      </c>
    </row>
    <row r="127" spans="1:16" x14ac:dyDescent="0.25">
      <c r="A127">
        <v>126</v>
      </c>
      <c r="B127">
        <v>145</v>
      </c>
      <c r="C127" t="s">
        <v>46</v>
      </c>
      <c r="D127" t="s">
        <v>17</v>
      </c>
      <c r="E127" t="s">
        <v>50</v>
      </c>
      <c r="F127" t="s">
        <v>19</v>
      </c>
      <c r="G127" t="s">
        <v>26</v>
      </c>
      <c r="H127" t="s">
        <v>21</v>
      </c>
      <c r="I127" t="s">
        <v>24</v>
      </c>
      <c r="J127" t="s">
        <v>23</v>
      </c>
      <c r="K127">
        <v>463</v>
      </c>
      <c r="L127" s="4">
        <v>18.325195699999998</v>
      </c>
      <c r="M127" s="4">
        <v>25.00357142466428</v>
      </c>
      <c r="N127" s="4">
        <v>-4.9851827421342497E-2</v>
      </c>
      <c r="O127" s="1" t="str">
        <f>HYPERLINK(".\sm_car_250503_1632\sm_car_250503_1632_126_Ca145TrN_MaLSS_ode23t_1.png","figure")</f>
        <v>figure</v>
      </c>
      <c r="P127" t="s">
        <v>15</v>
      </c>
    </row>
    <row r="128" spans="1:16" x14ac:dyDescent="0.25">
      <c r="A128">
        <v>127</v>
      </c>
      <c r="B128">
        <v>146</v>
      </c>
      <c r="C128" t="s">
        <v>46</v>
      </c>
      <c r="D128" t="s">
        <v>17</v>
      </c>
      <c r="E128" t="s">
        <v>49</v>
      </c>
      <c r="F128" t="s">
        <v>19</v>
      </c>
      <c r="G128" t="s">
        <v>26</v>
      </c>
      <c r="H128" t="s">
        <v>21</v>
      </c>
      <c r="I128" t="s">
        <v>22</v>
      </c>
      <c r="J128" t="s">
        <v>23</v>
      </c>
      <c r="K128">
        <v>330</v>
      </c>
      <c r="L128" s="4">
        <v>10.9911832</v>
      </c>
      <c r="M128" s="4">
        <v>113.96657772839266</v>
      </c>
      <c r="N128" s="4">
        <v>0.53221246736806072</v>
      </c>
      <c r="O128" s="1" t="str">
        <f>HYPERLINK(".\sm_car_250503_1632\sm_car_250503_1632_127_Ca146TrN_MaWOT_ode23t_1.png","figure")</f>
        <v>figure</v>
      </c>
      <c r="P128" t="s">
        <v>15</v>
      </c>
    </row>
    <row r="129" spans="1:16" x14ac:dyDescent="0.25">
      <c r="A129">
        <v>128</v>
      </c>
      <c r="B129">
        <v>146</v>
      </c>
      <c r="C129" t="s">
        <v>46</v>
      </c>
      <c r="D129" t="s">
        <v>17</v>
      </c>
      <c r="E129" t="s">
        <v>49</v>
      </c>
      <c r="F129" t="s">
        <v>19</v>
      </c>
      <c r="G129" t="s">
        <v>26</v>
      </c>
      <c r="H129" t="s">
        <v>21</v>
      </c>
      <c r="I129" t="s">
        <v>24</v>
      </c>
      <c r="J129" t="s">
        <v>23</v>
      </c>
      <c r="K129">
        <v>450</v>
      </c>
      <c r="L129" s="4">
        <v>13.5607834</v>
      </c>
      <c r="M129" s="4">
        <v>35.604687394938694</v>
      </c>
      <c r="N129" s="4">
        <v>-2.7989443676201601E-2</v>
      </c>
      <c r="O129" s="1" t="str">
        <f>HYPERLINK(".\sm_car_250503_1632\sm_car_250503_1632_128_Ca146TrN_MaLSS_ode23t_1.png","figure")</f>
        <v>figure</v>
      </c>
      <c r="P129" t="s">
        <v>15</v>
      </c>
    </row>
    <row r="130" spans="1:16" x14ac:dyDescent="0.25">
      <c r="A130">
        <v>129</v>
      </c>
      <c r="B130">
        <v>146</v>
      </c>
      <c r="C130" t="s">
        <v>46</v>
      </c>
      <c r="D130" t="s">
        <v>17</v>
      </c>
      <c r="E130" t="s">
        <v>49</v>
      </c>
      <c r="F130" t="s">
        <v>19</v>
      </c>
      <c r="G130" t="s">
        <v>26</v>
      </c>
      <c r="H130" t="s">
        <v>21</v>
      </c>
      <c r="I130" t="s">
        <v>22</v>
      </c>
      <c r="J130" t="s">
        <v>23</v>
      </c>
      <c r="K130">
        <v>330</v>
      </c>
      <c r="L130" s="4">
        <v>11.159461500000001</v>
      </c>
      <c r="M130" s="4">
        <v>113.96657772839266</v>
      </c>
      <c r="N130" s="4">
        <v>0.53221246736806072</v>
      </c>
      <c r="O130" s="1" t="str">
        <f>HYPERLINK(".\sm_car_250503_1632\sm_car_250503_1632_129_Ca146TrN_MaWOT_ode23t_1.png","figure")</f>
        <v>figure</v>
      </c>
      <c r="P130" t="s">
        <v>15</v>
      </c>
    </row>
    <row r="131" spans="1:16" x14ac:dyDescent="0.25">
      <c r="A131">
        <v>130</v>
      </c>
      <c r="B131">
        <v>146</v>
      </c>
      <c r="C131" t="s">
        <v>46</v>
      </c>
      <c r="D131" t="s">
        <v>17</v>
      </c>
      <c r="E131" t="s">
        <v>49</v>
      </c>
      <c r="F131" t="s">
        <v>19</v>
      </c>
      <c r="G131" t="s">
        <v>26</v>
      </c>
      <c r="H131" t="s">
        <v>21</v>
      </c>
      <c r="I131" t="s">
        <v>24</v>
      </c>
      <c r="J131" t="s">
        <v>23</v>
      </c>
      <c r="K131">
        <v>450</v>
      </c>
      <c r="L131" s="4">
        <v>13.546356100000001</v>
      </c>
      <c r="M131" s="4">
        <v>35.604687394938694</v>
      </c>
      <c r="N131" s="4">
        <v>-2.7989443676201601E-2</v>
      </c>
      <c r="O131" s="1" t="str">
        <f>HYPERLINK(".\sm_car_250503_1632\sm_car_250503_1632_130_Ca146TrN_MaLSS_ode23t_1.png","figure")</f>
        <v>figure</v>
      </c>
      <c r="P131" t="s">
        <v>15</v>
      </c>
    </row>
    <row r="132" spans="1:16" x14ac:dyDescent="0.25">
      <c r="A132">
        <v>131</v>
      </c>
      <c r="B132">
        <v>161</v>
      </c>
      <c r="C132" t="s">
        <v>45</v>
      </c>
      <c r="D132" t="s">
        <v>51</v>
      </c>
      <c r="E132" t="s">
        <v>49</v>
      </c>
      <c r="F132" t="s">
        <v>19</v>
      </c>
      <c r="G132" t="s">
        <v>26</v>
      </c>
      <c r="H132" t="s">
        <v>21</v>
      </c>
      <c r="I132" t="s">
        <v>22</v>
      </c>
      <c r="J132" t="s">
        <v>23</v>
      </c>
      <c r="K132">
        <v>565</v>
      </c>
      <c r="L132" s="4">
        <v>28.649325900000001</v>
      </c>
      <c r="M132" s="4">
        <v>179.74531702249288</v>
      </c>
      <c r="N132" s="4">
        <v>0.30512604641395569</v>
      </c>
      <c r="O132" s="1" t="str">
        <f>HYPERLINK(".\sm_car_250503_1632\sm_car_250503_1632_131_Ca161TrN_MaWOT_ode23t_1.png","figure")</f>
        <v>figure</v>
      </c>
      <c r="P132" t="s">
        <v>15</v>
      </c>
    </row>
    <row r="133" spans="1:16" x14ac:dyDescent="0.25">
      <c r="A133">
        <v>132</v>
      </c>
      <c r="B133">
        <v>161</v>
      </c>
      <c r="C133" t="s">
        <v>45</v>
      </c>
      <c r="D133" t="s">
        <v>51</v>
      </c>
      <c r="E133" t="s">
        <v>49</v>
      </c>
      <c r="F133" t="s">
        <v>19</v>
      </c>
      <c r="G133" t="s">
        <v>26</v>
      </c>
      <c r="H133" t="s">
        <v>21</v>
      </c>
      <c r="I133" t="s">
        <v>24</v>
      </c>
      <c r="J133" t="s">
        <v>23</v>
      </c>
      <c r="K133">
        <v>690</v>
      </c>
      <c r="L133" s="4">
        <v>34.033870200000003</v>
      </c>
      <c r="M133" s="4">
        <v>154.16161373392961</v>
      </c>
      <c r="N133" s="4">
        <v>-0.60125910684743689</v>
      </c>
      <c r="O133" s="1" t="str">
        <f>HYPERLINK(".\sm_car_250503_1632\sm_car_250503_1632_132_Ca161TrN_MaLSS_ode23t_1.png","figure")</f>
        <v>figure</v>
      </c>
      <c r="P133" t="s">
        <v>15</v>
      </c>
    </row>
    <row r="134" spans="1:16" x14ac:dyDescent="0.25">
      <c r="A134">
        <v>133</v>
      </c>
      <c r="B134">
        <v>163</v>
      </c>
      <c r="C134" t="s">
        <v>45</v>
      </c>
      <c r="D134" t="s">
        <v>52</v>
      </c>
      <c r="E134" t="s">
        <v>49</v>
      </c>
      <c r="F134" t="s">
        <v>19</v>
      </c>
      <c r="G134" t="s">
        <v>26</v>
      </c>
      <c r="H134" t="s">
        <v>21</v>
      </c>
      <c r="I134" t="s">
        <v>22</v>
      </c>
      <c r="J134" t="s">
        <v>23</v>
      </c>
      <c r="K134">
        <v>646</v>
      </c>
      <c r="L134" s="4">
        <v>33.872328799999998</v>
      </c>
      <c r="M134" s="4">
        <v>277.46085468240625</v>
      </c>
      <c r="N134" s="4">
        <v>0.71654276953012508</v>
      </c>
      <c r="O134" s="1" t="str">
        <f>HYPERLINK(".\sm_car_250503_1632\sm_car_250503_1632_133_Ca163TrN_MaWOT_ode23t_1.png","figure")</f>
        <v>figure</v>
      </c>
      <c r="P134" t="s">
        <v>15</v>
      </c>
    </row>
    <row r="135" spans="1:16" x14ac:dyDescent="0.25">
      <c r="A135">
        <v>134</v>
      </c>
      <c r="B135">
        <v>163</v>
      </c>
      <c r="C135" t="s">
        <v>45</v>
      </c>
      <c r="D135" t="s">
        <v>52</v>
      </c>
      <c r="E135" t="s">
        <v>49</v>
      </c>
      <c r="F135" t="s">
        <v>19</v>
      </c>
      <c r="G135" t="s">
        <v>26</v>
      </c>
      <c r="H135" t="s">
        <v>21</v>
      </c>
      <c r="I135" t="s">
        <v>24</v>
      </c>
      <c r="J135" t="s">
        <v>23</v>
      </c>
      <c r="K135">
        <v>832</v>
      </c>
      <c r="L135" s="4">
        <v>41.700107299999999</v>
      </c>
      <c r="M135" s="4">
        <v>256.40550631391579</v>
      </c>
      <c r="N135" s="4">
        <v>-0.8706035907118459</v>
      </c>
      <c r="O135" s="1" t="str">
        <f>HYPERLINK(".\sm_car_250503_1632\sm_car_250503_1632_134_Ca163TrN_MaLSS_ode23t_1.png","figure")</f>
        <v>figure</v>
      </c>
      <c r="P135" t="s">
        <v>15</v>
      </c>
    </row>
    <row r="136" spans="1:16" x14ac:dyDescent="0.25">
      <c r="A136">
        <v>135</v>
      </c>
      <c r="B136">
        <v>184</v>
      </c>
      <c r="C136" t="s">
        <v>105</v>
      </c>
      <c r="D136" t="s">
        <v>120</v>
      </c>
      <c r="E136" t="s">
        <v>49</v>
      </c>
      <c r="F136" t="s">
        <v>19</v>
      </c>
      <c r="G136" t="s">
        <v>20</v>
      </c>
      <c r="H136" t="s">
        <v>21</v>
      </c>
      <c r="I136" t="s">
        <v>22</v>
      </c>
      <c r="J136" t="s">
        <v>23</v>
      </c>
      <c r="K136">
        <v>327</v>
      </c>
      <c r="L136" s="4">
        <v>17.105219699999999</v>
      </c>
      <c r="M136" s="4">
        <v>294.65354836640137</v>
      </c>
      <c r="N136" s="4">
        <v>-1.4165300479544265E-3</v>
      </c>
      <c r="O136" s="1" t="str">
        <f>HYPERLINK(".\sm_car_250503_1632\sm_car_250503_1632_135_Ca184TrN_MaWOT_ode23t_1.png","figure")</f>
        <v>figure</v>
      </c>
      <c r="P136" t="s">
        <v>15</v>
      </c>
    </row>
    <row r="137" spans="1:16" x14ac:dyDescent="0.25">
      <c r="A137">
        <v>136</v>
      </c>
      <c r="B137">
        <v>184</v>
      </c>
      <c r="C137" t="s">
        <v>105</v>
      </c>
      <c r="D137" t="s">
        <v>120</v>
      </c>
      <c r="E137" t="s">
        <v>49</v>
      </c>
      <c r="F137" t="s">
        <v>19</v>
      </c>
      <c r="G137" t="s">
        <v>20</v>
      </c>
      <c r="H137" t="s">
        <v>21</v>
      </c>
      <c r="I137" t="s">
        <v>24</v>
      </c>
      <c r="J137" t="s">
        <v>23</v>
      </c>
      <c r="K137">
        <v>462</v>
      </c>
      <c r="L137" s="4">
        <v>12.4605891</v>
      </c>
      <c r="M137" s="4">
        <v>103.56675900720097</v>
      </c>
      <c r="N137" s="4">
        <v>-0.2021218602270663</v>
      </c>
      <c r="O137" s="1" t="str">
        <f>HYPERLINK(".\sm_car_250503_1632\sm_car_250503_1632_136_Ca184TrN_MaLSS_ode23t_1.png","figure")</f>
        <v>figure</v>
      </c>
      <c r="P137" t="s">
        <v>15</v>
      </c>
    </row>
    <row r="138" spans="1:16" x14ac:dyDescent="0.25">
      <c r="A138">
        <v>137</v>
      </c>
      <c r="B138">
        <v>217</v>
      </c>
      <c r="C138" t="s">
        <v>45</v>
      </c>
      <c r="D138" t="s">
        <v>17</v>
      </c>
      <c r="E138" t="s">
        <v>107</v>
      </c>
      <c r="F138" t="s">
        <v>119</v>
      </c>
      <c r="G138" t="s">
        <v>26</v>
      </c>
      <c r="H138" t="s">
        <v>21</v>
      </c>
      <c r="I138" t="s">
        <v>22</v>
      </c>
      <c r="J138" t="s">
        <v>23</v>
      </c>
      <c r="K138">
        <v>750</v>
      </c>
      <c r="L138" s="4">
        <v>33.389195999999998</v>
      </c>
      <c r="M138" s="4">
        <v>278.5816281078034</v>
      </c>
      <c r="N138" s="4">
        <v>0.73028068116359934</v>
      </c>
      <c r="O138" s="1" t="str">
        <f>HYPERLINK(".\sm_car_250503_1632\sm_car_250503_1632_137_Ca217TrN_MaWOT_ode23t_1.png","figure")</f>
        <v>figure</v>
      </c>
      <c r="P138" t="s">
        <v>15</v>
      </c>
    </row>
    <row r="139" spans="1:16" x14ac:dyDescent="0.25">
      <c r="A139">
        <v>138</v>
      </c>
      <c r="B139">
        <v>217</v>
      </c>
      <c r="C139" t="s">
        <v>45</v>
      </c>
      <c r="D139" t="s">
        <v>17</v>
      </c>
      <c r="E139" t="s">
        <v>107</v>
      </c>
      <c r="F139" t="s">
        <v>119</v>
      </c>
      <c r="G139" t="s">
        <v>26</v>
      </c>
      <c r="H139" t="s">
        <v>21</v>
      </c>
      <c r="I139" t="s">
        <v>24</v>
      </c>
      <c r="J139" t="s">
        <v>23</v>
      </c>
      <c r="K139">
        <v>834</v>
      </c>
      <c r="L139" s="4">
        <v>36.7655484</v>
      </c>
      <c r="M139" s="4">
        <v>110.08642289309944</v>
      </c>
      <c r="N139" s="4">
        <v>-0.36033711647838557</v>
      </c>
      <c r="O139" s="1" t="str">
        <f>HYPERLINK(".\sm_car_250503_1632\sm_car_250503_1632_138_Ca217TrN_MaLSS_ode23t_1.png","figure")</f>
        <v>figure</v>
      </c>
      <c r="P139" t="s">
        <v>15</v>
      </c>
    </row>
    <row r="140" spans="1:16" x14ac:dyDescent="0.25">
      <c r="A140">
        <v>139</v>
      </c>
      <c r="B140">
        <v>12</v>
      </c>
      <c r="C140" t="s">
        <v>16</v>
      </c>
      <c r="D140" t="s">
        <v>17</v>
      </c>
      <c r="E140" t="s">
        <v>49</v>
      </c>
      <c r="F140" t="s">
        <v>28</v>
      </c>
      <c r="G140" t="s">
        <v>20</v>
      </c>
      <c r="H140" t="s">
        <v>21</v>
      </c>
      <c r="I140" t="s">
        <v>53</v>
      </c>
      <c r="J140" t="s">
        <v>23</v>
      </c>
      <c r="K140">
        <v>787</v>
      </c>
      <c r="L140" s="4">
        <v>11.4191936</v>
      </c>
      <c r="M140" s="4">
        <v>253.78766450884405</v>
      </c>
      <c r="N140" s="4">
        <v>3.8624909194373558E-3</v>
      </c>
      <c r="O140" s="1" t="str">
        <f>HYPERLINK(".\sm_car_250503_1632\sm_car_250503_1632_139_Ca012TrN_MaDLC_ode23t_1.png","figure")</f>
        <v>figure</v>
      </c>
      <c r="P140" t="s">
        <v>15</v>
      </c>
    </row>
    <row r="141" spans="1:16" x14ac:dyDescent="0.25">
      <c r="A141">
        <v>140</v>
      </c>
      <c r="B141">
        <v>12</v>
      </c>
      <c r="C141" t="s">
        <v>16</v>
      </c>
      <c r="D141" t="s">
        <v>17</v>
      </c>
      <c r="E141" t="s">
        <v>49</v>
      </c>
      <c r="F141" t="s">
        <v>28</v>
      </c>
      <c r="G141" t="s">
        <v>20</v>
      </c>
      <c r="H141" t="s">
        <v>21</v>
      </c>
      <c r="I141" t="s">
        <v>54</v>
      </c>
      <c r="J141" t="s">
        <v>23</v>
      </c>
      <c r="K141">
        <v>935</v>
      </c>
      <c r="L141" s="4">
        <v>15.2330676</v>
      </c>
      <c r="M141" s="4">
        <v>74.802814435123935</v>
      </c>
      <c r="N141" s="4">
        <v>0.72034636879605307</v>
      </c>
      <c r="O141" s="1" t="str">
        <f>HYPERLINK(".\sm_car_250503_1632\sm_car_250503_1632_140_Ca012TrN_MaIPA_ode23t_1.png","figure")</f>
        <v>figure</v>
      </c>
      <c r="P141" t="s">
        <v>15</v>
      </c>
    </row>
    <row r="142" spans="1:16" x14ac:dyDescent="0.25">
      <c r="A142">
        <v>141</v>
      </c>
      <c r="B142">
        <v>142</v>
      </c>
      <c r="C142" t="s">
        <v>45</v>
      </c>
      <c r="D142" t="s">
        <v>17</v>
      </c>
      <c r="E142" t="s">
        <v>49</v>
      </c>
      <c r="F142" t="s">
        <v>28</v>
      </c>
      <c r="G142" t="s">
        <v>26</v>
      </c>
      <c r="H142" t="s">
        <v>21</v>
      </c>
      <c r="I142" t="s">
        <v>53</v>
      </c>
      <c r="J142" t="s">
        <v>23</v>
      </c>
      <c r="K142">
        <v>781</v>
      </c>
      <c r="L142" s="4">
        <v>16.158934299999999</v>
      </c>
      <c r="M142" s="4">
        <v>253.62641531376045</v>
      </c>
      <c r="N142" s="4">
        <v>-5.5752335512591067E-3</v>
      </c>
      <c r="O142" s="1" t="str">
        <f>HYPERLINK(".\sm_car_250503_1632\sm_car_250503_1632_141_Ca142TrN_MaDLC_ode23t_1.png","figure")</f>
        <v>figure</v>
      </c>
      <c r="P142" t="s">
        <v>15</v>
      </c>
    </row>
    <row r="143" spans="1:16" x14ac:dyDescent="0.25">
      <c r="A143">
        <v>142</v>
      </c>
      <c r="B143">
        <v>142</v>
      </c>
      <c r="C143" t="s">
        <v>45</v>
      </c>
      <c r="D143" t="s">
        <v>17</v>
      </c>
      <c r="E143" t="s">
        <v>49</v>
      </c>
      <c r="F143" t="s">
        <v>28</v>
      </c>
      <c r="G143" t="s">
        <v>26</v>
      </c>
      <c r="H143" t="s">
        <v>21</v>
      </c>
      <c r="I143" t="s">
        <v>54</v>
      </c>
      <c r="J143" t="s">
        <v>23</v>
      </c>
      <c r="K143">
        <v>3494</v>
      </c>
      <c r="L143" s="4">
        <v>180.56976359999999</v>
      </c>
      <c r="M143" s="4">
        <v>83.374935040672298</v>
      </c>
      <c r="N143" s="4">
        <v>0.85138578579090274</v>
      </c>
      <c r="O143" s="1" t="str">
        <f>HYPERLINK(".\sm_car_250503_1632\sm_car_250503_1632_142_Ca142TrN_MaIPA_ode23t_1.png","figure")</f>
        <v>figure</v>
      </c>
      <c r="P143" t="s">
        <v>15</v>
      </c>
    </row>
    <row r="144" spans="1:16" x14ac:dyDescent="0.25">
      <c r="A144">
        <v>143</v>
      </c>
      <c r="B144">
        <v>145</v>
      </c>
      <c r="C144" t="s">
        <v>46</v>
      </c>
      <c r="D144" t="s">
        <v>17</v>
      </c>
      <c r="E144" t="s">
        <v>50</v>
      </c>
      <c r="F144" t="s">
        <v>19</v>
      </c>
      <c r="G144" t="s">
        <v>26</v>
      </c>
      <c r="H144" t="s">
        <v>21</v>
      </c>
      <c r="I144" t="s">
        <v>53</v>
      </c>
      <c r="J144" t="s">
        <v>23</v>
      </c>
      <c r="K144">
        <v>485</v>
      </c>
      <c r="L144" s="4">
        <v>18.6683035</v>
      </c>
      <c r="M144" s="4">
        <v>255.34580149843714</v>
      </c>
      <c r="N144" s="4">
        <v>4.1384061767122837E-2</v>
      </c>
      <c r="O144" s="1" t="str">
        <f>HYPERLINK(".\sm_car_250503_1632\sm_car_250503_1632_143_Ca145TrN_MaDLC_ode23t_1.png","figure")</f>
        <v>figure</v>
      </c>
      <c r="P144" t="s">
        <v>15</v>
      </c>
    </row>
    <row r="145" spans="1:16" x14ac:dyDescent="0.25">
      <c r="A145">
        <v>144</v>
      </c>
      <c r="B145">
        <v>145</v>
      </c>
      <c r="C145" t="s">
        <v>46</v>
      </c>
      <c r="D145" t="s">
        <v>17</v>
      </c>
      <c r="E145" t="s">
        <v>50</v>
      </c>
      <c r="F145" t="s">
        <v>19</v>
      </c>
      <c r="G145" t="s">
        <v>26</v>
      </c>
      <c r="H145" t="s">
        <v>21</v>
      </c>
      <c r="I145" t="s">
        <v>54</v>
      </c>
      <c r="J145" t="s">
        <v>23</v>
      </c>
      <c r="K145">
        <v>316</v>
      </c>
      <c r="L145" s="4">
        <v>13.4125187</v>
      </c>
      <c r="M145" s="4">
        <v>28.088186829286883</v>
      </c>
      <c r="N145" s="4">
        <v>1.5899913059596607E-2</v>
      </c>
      <c r="O145" s="1" t="str">
        <f>HYPERLINK(".\sm_car_250503_1632\sm_car_250503_1632_144_Ca145TrN_MaIPA_ode23t_1.png","figure")</f>
        <v>figure</v>
      </c>
      <c r="P145" t="s">
        <v>15</v>
      </c>
    </row>
    <row r="146" spans="1:16" x14ac:dyDescent="0.25">
      <c r="A146">
        <v>145</v>
      </c>
      <c r="B146">
        <v>184</v>
      </c>
      <c r="C146" t="s">
        <v>105</v>
      </c>
      <c r="D146" t="s">
        <v>120</v>
      </c>
      <c r="E146" t="s">
        <v>49</v>
      </c>
      <c r="F146" t="s">
        <v>19</v>
      </c>
      <c r="G146" t="s">
        <v>20</v>
      </c>
      <c r="H146" t="s">
        <v>21</v>
      </c>
      <c r="I146" t="s">
        <v>53</v>
      </c>
      <c r="J146" t="s">
        <v>23</v>
      </c>
      <c r="K146">
        <v>416</v>
      </c>
      <c r="L146" s="4">
        <v>12.579099599999999</v>
      </c>
      <c r="M146" s="4">
        <v>256.01721135516379</v>
      </c>
      <c r="N146" s="4">
        <v>1.0509321697621754E-2</v>
      </c>
      <c r="O146" s="1" t="str">
        <f>HYPERLINK(".\sm_car_250503_1632\sm_car_250503_1632_145_Ca184TrN_MaDLC_ode23t_1.png","figure")</f>
        <v>figure</v>
      </c>
      <c r="P146" t="s">
        <v>15</v>
      </c>
    </row>
    <row r="147" spans="1:16" x14ac:dyDescent="0.25">
      <c r="A147">
        <v>146</v>
      </c>
      <c r="B147">
        <v>184</v>
      </c>
      <c r="C147" t="s">
        <v>105</v>
      </c>
      <c r="D147" t="s">
        <v>120</v>
      </c>
      <c r="E147" t="s">
        <v>49</v>
      </c>
      <c r="F147" t="s">
        <v>19</v>
      </c>
      <c r="G147" t="s">
        <v>20</v>
      </c>
      <c r="H147" t="s">
        <v>21</v>
      </c>
      <c r="I147" t="s">
        <v>54</v>
      </c>
      <c r="J147" t="s">
        <v>23</v>
      </c>
      <c r="K147">
        <v>320</v>
      </c>
      <c r="L147" s="4">
        <v>13.7350539</v>
      </c>
      <c r="M147" s="4">
        <v>55.270088022912738</v>
      </c>
      <c r="N147" s="4">
        <v>5.7514496162795435E-3</v>
      </c>
      <c r="O147" s="1" t="str">
        <f>HYPERLINK(".\sm_car_250503_1632\sm_car_250503_1632_146_Ca184TrN_MaIPA_ode23t_1.png","figure")</f>
        <v>figure</v>
      </c>
      <c r="P147" t="s">
        <v>15</v>
      </c>
    </row>
    <row r="148" spans="1:16" x14ac:dyDescent="0.25">
      <c r="A148">
        <v>147</v>
      </c>
      <c r="B148">
        <v>204</v>
      </c>
      <c r="C148" t="s">
        <v>105</v>
      </c>
      <c r="D148" t="s">
        <v>106</v>
      </c>
      <c r="E148" t="s">
        <v>18</v>
      </c>
      <c r="F148" t="s">
        <v>19</v>
      </c>
      <c r="G148" t="s">
        <v>20</v>
      </c>
      <c r="H148" t="s">
        <v>21</v>
      </c>
      <c r="I148" t="s">
        <v>53</v>
      </c>
      <c r="J148" t="s">
        <v>23</v>
      </c>
      <c r="K148">
        <v>1958</v>
      </c>
      <c r="L148" s="4">
        <v>25.146181800000001</v>
      </c>
      <c r="M148" s="4">
        <v>255.51888947849517</v>
      </c>
      <c r="N148" s="4">
        <v>1.4570414336096515E-2</v>
      </c>
      <c r="O148" s="1" t="str">
        <f>HYPERLINK(".\sm_car_250503_1632\sm_car_250503_1632_147_Ca204TrN_MaDLC_ode23t_1.png","figure")</f>
        <v>figure</v>
      </c>
      <c r="P148" t="s">
        <v>15</v>
      </c>
    </row>
    <row r="149" spans="1:16" x14ac:dyDescent="0.25">
      <c r="A149">
        <v>148</v>
      </c>
      <c r="B149">
        <v>204</v>
      </c>
      <c r="C149" t="s">
        <v>105</v>
      </c>
      <c r="D149" t="s">
        <v>106</v>
      </c>
      <c r="E149" t="s">
        <v>18</v>
      </c>
      <c r="F149" t="s">
        <v>19</v>
      </c>
      <c r="G149" t="s">
        <v>20</v>
      </c>
      <c r="H149" t="s">
        <v>21</v>
      </c>
      <c r="I149" t="s">
        <v>54</v>
      </c>
      <c r="J149" t="s">
        <v>23</v>
      </c>
      <c r="K149">
        <v>713</v>
      </c>
      <c r="L149" s="4">
        <v>12.6275502</v>
      </c>
      <c r="M149" s="4">
        <v>26.037690702485111</v>
      </c>
      <c r="N149" s="4">
        <v>9.6603993610008942E-3</v>
      </c>
      <c r="O149" s="1" t="str">
        <f>HYPERLINK(".\sm_car_250503_1632\sm_car_250503_1632_148_Ca204TrN_MaIPA_ode23t_1.png","figure")</f>
        <v>figure</v>
      </c>
      <c r="P149" t="s">
        <v>15</v>
      </c>
    </row>
    <row r="150" spans="1:16" x14ac:dyDescent="0.25">
      <c r="A150">
        <v>149</v>
      </c>
      <c r="B150">
        <v>12</v>
      </c>
      <c r="C150" t="s">
        <v>16</v>
      </c>
      <c r="D150" t="s">
        <v>17</v>
      </c>
      <c r="E150" t="s">
        <v>49</v>
      </c>
      <c r="F150" t="s">
        <v>28</v>
      </c>
      <c r="G150" t="s">
        <v>20</v>
      </c>
      <c r="H150" t="s">
        <v>21</v>
      </c>
      <c r="I150" t="s">
        <v>55</v>
      </c>
      <c r="J150" t="s">
        <v>23</v>
      </c>
      <c r="K150">
        <v>2698</v>
      </c>
      <c r="L150" s="4">
        <v>27.406830899999999</v>
      </c>
      <c r="M150" s="4">
        <v>-1.6158705408726506E-2</v>
      </c>
      <c r="N150" s="4">
        <v>-0.6223419637204749</v>
      </c>
      <c r="O150" s="1" t="str">
        <f>HYPERLINK(".\sm_car_250503_1632\sm_car_250503_1632_149_Ca012TrN_MaMPK_ode23t_1.png","figure")</f>
        <v>figure</v>
      </c>
      <c r="P150" t="s">
        <v>15</v>
      </c>
    </row>
    <row r="151" spans="1:16" x14ac:dyDescent="0.25">
      <c r="A151">
        <v>150</v>
      </c>
      <c r="B151">
        <v>12</v>
      </c>
      <c r="C151" t="s">
        <v>16</v>
      </c>
      <c r="D151" t="s">
        <v>17</v>
      </c>
      <c r="E151" t="s">
        <v>49</v>
      </c>
      <c r="F151" t="s">
        <v>28</v>
      </c>
      <c r="G151" t="s">
        <v>20</v>
      </c>
      <c r="H151" t="s">
        <v>21</v>
      </c>
      <c r="I151" t="s">
        <v>56</v>
      </c>
      <c r="J151" t="s">
        <v>23</v>
      </c>
      <c r="K151">
        <v>3091</v>
      </c>
      <c r="L151" s="4">
        <v>31.464622500000001</v>
      </c>
      <c r="M151" s="4">
        <v>0.78935664382226101</v>
      </c>
      <c r="N151" s="4">
        <v>-0.32249212708793401</v>
      </c>
      <c r="O151" s="1" t="str">
        <f>HYPERLINK(".\sm_car_250503_1632\sm_car_250503_1632_150_Ca012TrN_MaMPC_ode23t_1.png","figure")</f>
        <v>figure</v>
      </c>
      <c r="P151" t="s">
        <v>15</v>
      </c>
    </row>
    <row r="152" spans="1:16" x14ac:dyDescent="0.25">
      <c r="A152">
        <v>151</v>
      </c>
      <c r="B152">
        <v>142</v>
      </c>
      <c r="C152" t="s">
        <v>45</v>
      </c>
      <c r="D152" t="s">
        <v>17</v>
      </c>
      <c r="E152" t="s">
        <v>49</v>
      </c>
      <c r="F152" t="s">
        <v>28</v>
      </c>
      <c r="G152" t="s">
        <v>26</v>
      </c>
      <c r="H152" t="s">
        <v>21</v>
      </c>
      <c r="I152" t="s">
        <v>55</v>
      </c>
      <c r="J152" t="s">
        <v>23</v>
      </c>
      <c r="K152">
        <v>2582</v>
      </c>
      <c r="L152" s="4">
        <v>62.731944300000002</v>
      </c>
      <c r="M152" s="4">
        <v>-1.8169537320402412E-2</v>
      </c>
      <c r="N152" s="4">
        <v>-0.54670326136020564</v>
      </c>
      <c r="O152" s="1" t="str">
        <f>HYPERLINK(".\sm_car_250503_1632\sm_car_250503_1632_151_Ca142TrN_MaMPK_ode23t_1.png","figure")</f>
        <v>figure</v>
      </c>
      <c r="P152" t="s">
        <v>15</v>
      </c>
    </row>
    <row r="153" spans="1:16" x14ac:dyDescent="0.25">
      <c r="A153">
        <v>152</v>
      </c>
      <c r="B153">
        <v>142</v>
      </c>
      <c r="C153" t="s">
        <v>45</v>
      </c>
      <c r="D153" t="s">
        <v>17</v>
      </c>
      <c r="E153" t="s">
        <v>49</v>
      </c>
      <c r="F153" t="s">
        <v>28</v>
      </c>
      <c r="G153" t="s">
        <v>26</v>
      </c>
      <c r="H153" t="s">
        <v>21</v>
      </c>
      <c r="I153" t="s">
        <v>56</v>
      </c>
      <c r="J153" t="s">
        <v>23</v>
      </c>
      <c r="K153">
        <v>3178</v>
      </c>
      <c r="L153" s="4">
        <v>76.179889200000005</v>
      </c>
      <c r="M153" s="4">
        <v>0.78922015670100798</v>
      </c>
      <c r="N153" s="4">
        <v>-0.36541469674164323</v>
      </c>
      <c r="O153" s="1" t="str">
        <f>HYPERLINK(".\sm_car_250503_1632\sm_car_250503_1632_152_Ca142TrN_MaMPC_ode23t_1.png","figure")</f>
        <v>figure</v>
      </c>
      <c r="P153" t="s">
        <v>15</v>
      </c>
    </row>
    <row r="154" spans="1:16" x14ac:dyDescent="0.25">
      <c r="A154">
        <v>153</v>
      </c>
      <c r="B154">
        <v>116</v>
      </c>
      <c r="C154" t="s">
        <v>16</v>
      </c>
      <c r="D154" t="s">
        <v>35</v>
      </c>
      <c r="E154" t="s">
        <v>18</v>
      </c>
      <c r="F154" t="s">
        <v>28</v>
      </c>
      <c r="G154" t="s">
        <v>20</v>
      </c>
      <c r="H154" t="s">
        <v>21</v>
      </c>
      <c r="I154" t="s">
        <v>55</v>
      </c>
      <c r="J154" t="s">
        <v>23</v>
      </c>
      <c r="K154">
        <v>2888</v>
      </c>
      <c r="L154" s="4">
        <v>13.924890700000001</v>
      </c>
      <c r="M154" s="4">
        <v>-1.659905949378869E-2</v>
      </c>
      <c r="N154" s="4">
        <v>-0.52481719164772289</v>
      </c>
      <c r="O154" s="1" t="str">
        <f>HYPERLINK(".\sm_car_250503_1632\sm_car_250503_1632_153_Ca116TrN_MaMPK_ode23t_1.png","figure")</f>
        <v>figure</v>
      </c>
      <c r="P154" t="s">
        <v>15</v>
      </c>
    </row>
    <row r="155" spans="1:16" x14ac:dyDescent="0.25">
      <c r="A155">
        <v>154</v>
      </c>
      <c r="B155">
        <v>116</v>
      </c>
      <c r="C155" t="s">
        <v>16</v>
      </c>
      <c r="D155" t="s">
        <v>35</v>
      </c>
      <c r="E155" t="s">
        <v>18</v>
      </c>
      <c r="F155" t="s">
        <v>28</v>
      </c>
      <c r="G155" t="s">
        <v>20</v>
      </c>
      <c r="H155" t="s">
        <v>21</v>
      </c>
      <c r="I155" t="s">
        <v>56</v>
      </c>
      <c r="J155" t="s">
        <v>23</v>
      </c>
      <c r="K155">
        <v>3397</v>
      </c>
      <c r="L155" s="4">
        <v>14.767233900000001</v>
      </c>
      <c r="M155" s="4">
        <v>0.78922515394574688</v>
      </c>
      <c r="N155" s="4">
        <v>-0.35484292095130882</v>
      </c>
      <c r="O155" s="1" t="str">
        <f>HYPERLINK(".\sm_car_250503_1632\sm_car_250503_1632_154_Ca116TrN_MaMPC_ode23t_1.png","figure")</f>
        <v>figure</v>
      </c>
      <c r="P155" t="s">
        <v>15</v>
      </c>
    </row>
    <row r="156" spans="1:16" x14ac:dyDescent="0.25">
      <c r="A156">
        <v>155</v>
      </c>
      <c r="B156">
        <v>143</v>
      </c>
      <c r="C156" t="s">
        <v>46</v>
      </c>
      <c r="D156" t="s">
        <v>17</v>
      </c>
      <c r="E156" t="s">
        <v>47</v>
      </c>
      <c r="F156" t="s">
        <v>19</v>
      </c>
      <c r="G156" t="s">
        <v>26</v>
      </c>
      <c r="H156" t="s">
        <v>21</v>
      </c>
      <c r="I156" t="s">
        <v>55</v>
      </c>
      <c r="J156" t="s">
        <v>23</v>
      </c>
      <c r="K156">
        <v>2705</v>
      </c>
      <c r="L156" s="4">
        <v>50.712563099999997</v>
      </c>
      <c r="M156" s="4">
        <v>-1.547737491653195E-2</v>
      </c>
      <c r="N156" s="4">
        <v>-0.38963652890332007</v>
      </c>
      <c r="O156" s="1" t="str">
        <f>HYPERLINK(".\sm_car_250503_1632\sm_car_250503_1632_155_Ca143TrN_MaMPK_ode23t_1.png","figure")</f>
        <v>figure</v>
      </c>
      <c r="P156" t="s">
        <v>15</v>
      </c>
    </row>
    <row r="157" spans="1:16" x14ac:dyDescent="0.25">
      <c r="A157">
        <v>156</v>
      </c>
      <c r="B157">
        <v>143</v>
      </c>
      <c r="C157" t="s">
        <v>46</v>
      </c>
      <c r="D157" t="s">
        <v>17</v>
      </c>
      <c r="E157" t="s">
        <v>47</v>
      </c>
      <c r="F157" t="s">
        <v>19</v>
      </c>
      <c r="G157" t="s">
        <v>26</v>
      </c>
      <c r="H157" t="s">
        <v>21</v>
      </c>
      <c r="I157" t="s">
        <v>56</v>
      </c>
      <c r="J157" t="s">
        <v>23</v>
      </c>
      <c r="K157">
        <v>2910</v>
      </c>
      <c r="L157" s="4">
        <v>63.204051399999997</v>
      </c>
      <c r="M157" s="4">
        <v>0.78862436246815548</v>
      </c>
      <c r="N157" s="4">
        <v>-0.25863249633066265</v>
      </c>
      <c r="O157" s="1" t="str">
        <f>HYPERLINK(".\sm_car_250503_1632\sm_car_250503_1632_156_Ca143TrN_MaMPC_ode23t_1.png","figure")</f>
        <v>figure</v>
      </c>
      <c r="P157" t="s">
        <v>15</v>
      </c>
    </row>
    <row r="158" spans="1:16" x14ac:dyDescent="0.25">
      <c r="A158">
        <v>157</v>
      </c>
      <c r="B158">
        <v>166</v>
      </c>
      <c r="C158" t="s">
        <v>45</v>
      </c>
      <c r="D158" t="s">
        <v>57</v>
      </c>
      <c r="E158" t="s">
        <v>18</v>
      </c>
      <c r="F158" t="s">
        <v>19</v>
      </c>
      <c r="G158" t="s">
        <v>26</v>
      </c>
      <c r="H158" t="s">
        <v>21</v>
      </c>
      <c r="I158" t="s">
        <v>55</v>
      </c>
      <c r="J158" t="s">
        <v>23</v>
      </c>
      <c r="K158">
        <v>3166</v>
      </c>
      <c r="L158" s="4">
        <v>41.012393400000001</v>
      </c>
      <c r="M158" s="4">
        <v>-1.7429740544665812E-2</v>
      </c>
      <c r="N158" s="4">
        <v>-0.5556821794811353</v>
      </c>
      <c r="O158" s="1" t="str">
        <f>HYPERLINK(".\sm_car_250503_1632\sm_car_250503_1632_157_Ca166TrN_MaMPK_ode23t_1.png","figure")</f>
        <v>figure</v>
      </c>
      <c r="P158" t="s">
        <v>15</v>
      </c>
    </row>
    <row r="159" spans="1:16" x14ac:dyDescent="0.25">
      <c r="A159">
        <v>158</v>
      </c>
      <c r="B159">
        <v>166</v>
      </c>
      <c r="C159" t="s">
        <v>45</v>
      </c>
      <c r="D159" t="s">
        <v>57</v>
      </c>
      <c r="E159" t="s">
        <v>18</v>
      </c>
      <c r="F159" t="s">
        <v>19</v>
      </c>
      <c r="G159" t="s">
        <v>26</v>
      </c>
      <c r="H159" t="s">
        <v>21</v>
      </c>
      <c r="I159" t="s">
        <v>56</v>
      </c>
      <c r="J159" t="s">
        <v>23</v>
      </c>
      <c r="K159">
        <v>3549</v>
      </c>
      <c r="L159" s="4">
        <v>47.121725099999999</v>
      </c>
      <c r="M159" s="4">
        <v>0.78872897694451893</v>
      </c>
      <c r="N159" s="4">
        <v>-0.35633855608569337</v>
      </c>
      <c r="O159" s="1" t="str">
        <f>HYPERLINK(".\sm_car_250503_1632\sm_car_250503_1632_158_Ca166TrN_MaMPC_ode23t_1.png","figure")</f>
        <v>figure</v>
      </c>
      <c r="P159" t="s">
        <v>15</v>
      </c>
    </row>
    <row r="160" spans="1:16" x14ac:dyDescent="0.25">
      <c r="A160">
        <v>159</v>
      </c>
      <c r="B160">
        <v>169</v>
      </c>
      <c r="C160" t="s">
        <v>45</v>
      </c>
      <c r="D160" t="s">
        <v>58</v>
      </c>
      <c r="E160" t="s">
        <v>49</v>
      </c>
      <c r="F160" t="s">
        <v>19</v>
      </c>
      <c r="G160" t="s">
        <v>26</v>
      </c>
      <c r="H160" t="s">
        <v>21</v>
      </c>
      <c r="I160" t="s">
        <v>55</v>
      </c>
      <c r="J160" t="s">
        <v>23</v>
      </c>
      <c r="K160">
        <v>3156</v>
      </c>
      <c r="L160" s="4">
        <v>39.986882799999997</v>
      </c>
      <c r="M160" s="4">
        <v>-1.9141826439506779E-2</v>
      </c>
      <c r="N160" s="4">
        <v>-0.55639459648753686</v>
      </c>
      <c r="O160" s="1" t="str">
        <f>HYPERLINK(".\sm_car_250503_1632\sm_car_250503_1632_159_Ca169TrN_MaMPK_ode23t_1.png","figure")</f>
        <v>figure</v>
      </c>
      <c r="P160" t="s">
        <v>15</v>
      </c>
    </row>
    <row r="161" spans="1:16" x14ac:dyDescent="0.25">
      <c r="A161">
        <v>160</v>
      </c>
      <c r="B161">
        <v>169</v>
      </c>
      <c r="C161" t="s">
        <v>45</v>
      </c>
      <c r="D161" t="s">
        <v>58</v>
      </c>
      <c r="E161" t="s">
        <v>49</v>
      </c>
      <c r="F161" t="s">
        <v>19</v>
      </c>
      <c r="G161" t="s">
        <v>26</v>
      </c>
      <c r="H161" t="s">
        <v>21</v>
      </c>
      <c r="I161" t="s">
        <v>56</v>
      </c>
      <c r="J161" t="s">
        <v>23</v>
      </c>
      <c r="K161">
        <v>3381</v>
      </c>
      <c r="L161" s="4">
        <v>39.906883399999998</v>
      </c>
      <c r="M161" s="4">
        <v>0.742201687696042</v>
      </c>
      <c r="N161" s="4">
        <v>-0.35532482944827237</v>
      </c>
      <c r="O161" s="1" t="str">
        <f>HYPERLINK(".\sm_car_250503_1632\sm_car_250503_1632_160_Ca169TrN_MaMPC_ode23t_1.png","figure")</f>
        <v>figure</v>
      </c>
      <c r="P161" t="s">
        <v>15</v>
      </c>
    </row>
    <row r="162" spans="1:16" x14ac:dyDescent="0.25">
      <c r="A162">
        <v>161</v>
      </c>
      <c r="B162">
        <v>184</v>
      </c>
      <c r="C162" t="s">
        <v>105</v>
      </c>
      <c r="D162" t="s">
        <v>120</v>
      </c>
      <c r="E162" t="s">
        <v>49</v>
      </c>
      <c r="F162" t="s">
        <v>19</v>
      </c>
      <c r="G162" t="s">
        <v>20</v>
      </c>
      <c r="H162" t="s">
        <v>21</v>
      </c>
      <c r="I162" t="s">
        <v>55</v>
      </c>
      <c r="J162" t="s">
        <v>23</v>
      </c>
      <c r="K162">
        <v>2106</v>
      </c>
      <c r="L162" s="4">
        <v>53.535779300000002</v>
      </c>
      <c r="M162" s="4">
        <v>-1.990709640849278E-2</v>
      </c>
      <c r="N162" s="4">
        <v>-0.69661197649317685</v>
      </c>
      <c r="O162" s="1" t="str">
        <f>HYPERLINK(".\sm_car_250503_1632\sm_car_250503_1632_161_Ca184TrN_MaMPK_ode23t_1.png","figure")</f>
        <v>figure</v>
      </c>
      <c r="P162" t="s">
        <v>15</v>
      </c>
    </row>
    <row r="163" spans="1:16" x14ac:dyDescent="0.25">
      <c r="A163">
        <v>162</v>
      </c>
      <c r="B163">
        <v>184</v>
      </c>
      <c r="C163" t="s">
        <v>105</v>
      </c>
      <c r="D163" t="s">
        <v>120</v>
      </c>
      <c r="E163" t="s">
        <v>49</v>
      </c>
      <c r="F163" t="s">
        <v>19</v>
      </c>
      <c r="G163" t="s">
        <v>20</v>
      </c>
      <c r="H163" t="s">
        <v>21</v>
      </c>
      <c r="I163" t="s">
        <v>56</v>
      </c>
      <c r="J163" t="s">
        <v>23</v>
      </c>
      <c r="K163">
        <v>2182</v>
      </c>
      <c r="L163" s="4">
        <v>54.159945999999998</v>
      </c>
      <c r="M163" s="4">
        <v>0.78853699487854279</v>
      </c>
      <c r="N163" s="4">
        <v>-0.32950889486527096</v>
      </c>
      <c r="O163" s="1" t="str">
        <f>HYPERLINK(".\sm_car_250503_1632\sm_car_250503_1632_162_Ca184TrN_MaMPC_ode23t_1.png","figure")</f>
        <v>figure</v>
      </c>
      <c r="P163" t="s">
        <v>15</v>
      </c>
    </row>
    <row r="164" spans="1:16" x14ac:dyDescent="0.25">
      <c r="A164">
        <v>163</v>
      </c>
      <c r="B164">
        <v>195</v>
      </c>
      <c r="C164" t="s">
        <v>45</v>
      </c>
      <c r="D164" t="s">
        <v>58</v>
      </c>
      <c r="E164" t="s">
        <v>107</v>
      </c>
      <c r="F164" t="s">
        <v>19</v>
      </c>
      <c r="G164" t="s">
        <v>26</v>
      </c>
      <c r="H164" t="s">
        <v>21</v>
      </c>
      <c r="I164" t="s">
        <v>55</v>
      </c>
      <c r="J164" t="s">
        <v>23</v>
      </c>
      <c r="K164">
        <v>3152</v>
      </c>
      <c r="L164" s="4">
        <v>34.416551499999997</v>
      </c>
      <c r="M164" s="4">
        <v>-1.9174088211562773E-2</v>
      </c>
      <c r="N164" s="4">
        <v>-0.55641282741807108</v>
      </c>
      <c r="O164" s="1" t="str">
        <f>HYPERLINK(".\sm_car_250503_1632\sm_car_250503_1632_163_Ca195TrN_MaMPK_ode23t_1.png","figure")</f>
        <v>figure</v>
      </c>
      <c r="P164" t="s">
        <v>15</v>
      </c>
    </row>
    <row r="165" spans="1:16" x14ac:dyDescent="0.25">
      <c r="A165">
        <v>164</v>
      </c>
      <c r="B165">
        <v>195</v>
      </c>
      <c r="C165" t="s">
        <v>45</v>
      </c>
      <c r="D165" t="s">
        <v>58</v>
      </c>
      <c r="E165" t="s">
        <v>107</v>
      </c>
      <c r="F165" t="s">
        <v>19</v>
      </c>
      <c r="G165" t="s">
        <v>26</v>
      </c>
      <c r="H165" t="s">
        <v>21</v>
      </c>
      <c r="I165" t="s">
        <v>56</v>
      </c>
      <c r="J165" t="s">
        <v>23</v>
      </c>
      <c r="K165">
        <v>3385</v>
      </c>
      <c r="L165" s="4">
        <v>35.086166900000002</v>
      </c>
      <c r="M165" s="4">
        <v>0.7892729636645015</v>
      </c>
      <c r="N165" s="4">
        <v>-0.35563553970221923</v>
      </c>
      <c r="O165" s="1" t="str">
        <f>HYPERLINK(".\sm_car_250503_1632\sm_car_250503_1632_164_Ca195TrN_MaMPC_ode23t_1.png","figure")</f>
        <v>figure</v>
      </c>
      <c r="P165" t="s">
        <v>15</v>
      </c>
    </row>
    <row r="166" spans="1:16" x14ac:dyDescent="0.25">
      <c r="A166">
        <v>165</v>
      </c>
      <c r="B166">
        <v>198</v>
      </c>
      <c r="C166" t="s">
        <v>105</v>
      </c>
      <c r="D166" t="s">
        <v>120</v>
      </c>
      <c r="E166" t="s">
        <v>107</v>
      </c>
      <c r="F166" t="s">
        <v>19</v>
      </c>
      <c r="G166" t="s">
        <v>20</v>
      </c>
      <c r="H166" t="s">
        <v>21</v>
      </c>
      <c r="I166" t="s">
        <v>55</v>
      </c>
      <c r="J166" t="s">
        <v>23</v>
      </c>
      <c r="K166">
        <v>2157</v>
      </c>
      <c r="L166" s="4">
        <v>29.241630499999999</v>
      </c>
      <c r="M166" s="4">
        <v>-2.1806987239671061E-2</v>
      </c>
      <c r="N166" s="4">
        <v>-0.69682608861340012</v>
      </c>
      <c r="O166" s="1" t="str">
        <f>HYPERLINK(".\sm_car_250503_1632\sm_car_250503_1632_165_Ca198TrN_MaMPK_ode23t_1.png","figure")</f>
        <v>figure</v>
      </c>
      <c r="P166" t="s">
        <v>15</v>
      </c>
    </row>
    <row r="167" spans="1:16" x14ac:dyDescent="0.25">
      <c r="A167">
        <v>166</v>
      </c>
      <c r="B167">
        <v>198</v>
      </c>
      <c r="C167" t="s">
        <v>105</v>
      </c>
      <c r="D167" t="s">
        <v>120</v>
      </c>
      <c r="E167" t="s">
        <v>107</v>
      </c>
      <c r="F167" t="s">
        <v>19</v>
      </c>
      <c r="G167" t="s">
        <v>20</v>
      </c>
      <c r="H167" t="s">
        <v>21</v>
      </c>
      <c r="I167" t="s">
        <v>56</v>
      </c>
      <c r="J167" t="s">
        <v>23</v>
      </c>
      <c r="K167">
        <v>2192</v>
      </c>
      <c r="L167" s="4">
        <v>30.7144637</v>
      </c>
      <c r="M167" s="4">
        <v>0.78898862372382439</v>
      </c>
      <c r="N167" s="4">
        <v>-0.3296698855405592</v>
      </c>
      <c r="O167" s="1" t="str">
        <f>HYPERLINK(".\sm_car_250503_1632\sm_car_250503_1632_166_Ca198TrN_MaMPC_ode23t_1.png","figure")</f>
        <v>figure</v>
      </c>
      <c r="P167" t="s">
        <v>15</v>
      </c>
    </row>
    <row r="168" spans="1:16" x14ac:dyDescent="0.25">
      <c r="A168">
        <v>167</v>
      </c>
      <c r="B168">
        <v>151</v>
      </c>
      <c r="C168" t="s">
        <v>16</v>
      </c>
      <c r="D168" t="s">
        <v>17</v>
      </c>
      <c r="E168" t="s">
        <v>18</v>
      </c>
      <c r="F168" t="s">
        <v>19</v>
      </c>
      <c r="G168" t="s">
        <v>59</v>
      </c>
      <c r="H168" t="s">
        <v>21</v>
      </c>
      <c r="I168" t="s">
        <v>24</v>
      </c>
      <c r="J168" t="s">
        <v>23</v>
      </c>
      <c r="K168">
        <v>521</v>
      </c>
      <c r="L168" s="4">
        <v>12.7917758</v>
      </c>
      <c r="M168" s="4">
        <v>72.557162179826022</v>
      </c>
      <c r="N168" s="4">
        <v>-0.80484552565203371</v>
      </c>
      <c r="O168" s="1" t="str">
        <f>HYPERLINK(".\sm_car_250503_1632\sm_car_250503_1632_167_Ca151TrN_MaLSS_ode23t_1.png","figure")</f>
        <v>figure</v>
      </c>
      <c r="P168" t="s">
        <v>15</v>
      </c>
    </row>
    <row r="169" spans="1:16" x14ac:dyDescent="0.25">
      <c r="A169">
        <v>168</v>
      </c>
      <c r="B169">
        <v>152</v>
      </c>
      <c r="C169" t="s">
        <v>16</v>
      </c>
      <c r="D169" t="s">
        <v>17</v>
      </c>
      <c r="E169" t="s">
        <v>18</v>
      </c>
      <c r="F169" t="s">
        <v>19</v>
      </c>
      <c r="G169" t="s">
        <v>60</v>
      </c>
      <c r="H169" t="s">
        <v>21</v>
      </c>
      <c r="I169" t="s">
        <v>24</v>
      </c>
      <c r="J169" t="s">
        <v>23</v>
      </c>
      <c r="K169">
        <v>525</v>
      </c>
      <c r="L169" s="4">
        <v>12.2375036</v>
      </c>
      <c r="M169" s="4">
        <v>70.954548448709019</v>
      </c>
      <c r="N169" s="4">
        <v>-0.52923719448858431</v>
      </c>
      <c r="O169" s="1" t="str">
        <f>HYPERLINK(".\sm_car_250503_1632\sm_car_250503_1632_168_Ca152TrN_MaLSS_ode23t_1.png","figure")</f>
        <v>figure</v>
      </c>
      <c r="P169" t="s">
        <v>15</v>
      </c>
    </row>
    <row r="170" spans="1:16" x14ac:dyDescent="0.25">
      <c r="A170">
        <v>169</v>
      </c>
      <c r="B170">
        <v>153</v>
      </c>
      <c r="C170" t="s">
        <v>16</v>
      </c>
      <c r="D170" t="s">
        <v>17</v>
      </c>
      <c r="E170" t="s">
        <v>18</v>
      </c>
      <c r="F170" t="s">
        <v>19</v>
      </c>
      <c r="G170" t="s">
        <v>61</v>
      </c>
      <c r="H170" t="s">
        <v>21</v>
      </c>
      <c r="I170" t="s">
        <v>24</v>
      </c>
      <c r="J170" t="s">
        <v>23</v>
      </c>
      <c r="K170">
        <v>549</v>
      </c>
      <c r="L170" s="4">
        <v>14.3063565</v>
      </c>
      <c r="M170" s="4">
        <v>70.802186117694774</v>
      </c>
      <c r="N170" s="4">
        <v>-0.8698874027598712</v>
      </c>
      <c r="O170" s="1" t="str">
        <f>HYPERLINK(".\sm_car_250503_1632\sm_car_250503_1632_169_Ca153TrN_MaLSS_ode23t_1.png","figure")</f>
        <v>figure</v>
      </c>
      <c r="P170" t="s">
        <v>15</v>
      </c>
    </row>
    <row r="171" spans="1:16" x14ac:dyDescent="0.25">
      <c r="A171">
        <v>170</v>
      </c>
      <c r="B171">
        <v>154</v>
      </c>
      <c r="C171" t="s">
        <v>16</v>
      </c>
      <c r="D171" t="s">
        <v>17</v>
      </c>
      <c r="E171" t="s">
        <v>18</v>
      </c>
      <c r="F171" t="s">
        <v>19</v>
      </c>
      <c r="G171" t="s">
        <v>108</v>
      </c>
      <c r="H171" t="s">
        <v>21</v>
      </c>
      <c r="I171" t="s">
        <v>24</v>
      </c>
      <c r="J171" t="s">
        <v>23</v>
      </c>
      <c r="K171">
        <v>500</v>
      </c>
      <c r="L171" s="4">
        <v>15.8365784</v>
      </c>
      <c r="M171" s="4">
        <v>70.989909408907749</v>
      </c>
      <c r="N171" s="4">
        <v>-0.35901105458056559</v>
      </c>
      <c r="O171" s="1" t="str">
        <f>HYPERLINK(".\sm_car_250503_1632\sm_car_250503_1632_170_Ca154TrN_MaLSS_ode23t_1.png","figure")</f>
        <v>figure</v>
      </c>
      <c r="P171" t="s">
        <v>15</v>
      </c>
    </row>
    <row r="172" spans="1:16" x14ac:dyDescent="0.25">
      <c r="A172">
        <v>171</v>
      </c>
      <c r="B172">
        <v>155</v>
      </c>
      <c r="C172" t="s">
        <v>16</v>
      </c>
      <c r="D172" t="s">
        <v>17</v>
      </c>
      <c r="E172" t="s">
        <v>18</v>
      </c>
      <c r="F172" t="s">
        <v>19</v>
      </c>
      <c r="G172" t="s">
        <v>62</v>
      </c>
      <c r="H172" t="s">
        <v>21</v>
      </c>
      <c r="I172" t="s">
        <v>24</v>
      </c>
      <c r="J172" t="s">
        <v>23</v>
      </c>
      <c r="K172">
        <v>565</v>
      </c>
      <c r="L172" s="4">
        <v>18.8394254</v>
      </c>
      <c r="M172" s="4">
        <v>70.831991022336652</v>
      </c>
      <c r="N172" s="4">
        <v>-0.84605783770551224</v>
      </c>
      <c r="O172" s="1" t="str">
        <f>HYPERLINK(".\sm_car_250503_1632\sm_car_250503_1632_171_Ca155TrN_MaLSS_ode23t_1.png","figure")</f>
        <v>figure</v>
      </c>
      <c r="P172" t="s">
        <v>15</v>
      </c>
    </row>
    <row r="173" spans="1:16" x14ac:dyDescent="0.25">
      <c r="A173">
        <v>172</v>
      </c>
      <c r="B173">
        <v>4</v>
      </c>
      <c r="C173" t="s">
        <v>16</v>
      </c>
      <c r="D173" t="s">
        <v>17</v>
      </c>
      <c r="E173" t="s">
        <v>18</v>
      </c>
      <c r="F173" t="s">
        <v>28</v>
      </c>
      <c r="G173" t="s">
        <v>20</v>
      </c>
      <c r="H173" t="s">
        <v>21</v>
      </c>
      <c r="I173" t="s">
        <v>22</v>
      </c>
      <c r="J173" t="s">
        <v>63</v>
      </c>
      <c r="K173">
        <v>3247</v>
      </c>
      <c r="L173" s="4">
        <v>8.9169625999999997</v>
      </c>
      <c r="M173" s="4">
        <v>231.38224681421207</v>
      </c>
      <c r="N173" s="4">
        <v>2.2339716431169737E-3</v>
      </c>
      <c r="O173" s="1" t="str">
        <f>HYPERLINK(".\sm_car_250503_1632\sm_car_250503_1632_172_Ca004TrN_MaWOT_ode3_1.png","figure")</f>
        <v>figure</v>
      </c>
      <c r="P173" t="s">
        <v>15</v>
      </c>
    </row>
    <row r="174" spans="1:16" x14ac:dyDescent="0.25">
      <c r="A174">
        <v>173</v>
      </c>
      <c r="B174">
        <v>4</v>
      </c>
      <c r="C174" t="s">
        <v>16</v>
      </c>
      <c r="D174" t="s">
        <v>17</v>
      </c>
      <c r="E174" t="s">
        <v>18</v>
      </c>
      <c r="F174" t="s">
        <v>28</v>
      </c>
      <c r="G174" t="s">
        <v>20</v>
      </c>
      <c r="H174" t="s">
        <v>21</v>
      </c>
      <c r="I174" t="s">
        <v>24</v>
      </c>
      <c r="J174" t="s">
        <v>63</v>
      </c>
      <c r="K174">
        <v>2564</v>
      </c>
      <c r="L174" s="4">
        <v>7.2917727000000001</v>
      </c>
      <c r="M174" s="4">
        <v>71.251895404577667</v>
      </c>
      <c r="N174" s="4">
        <v>-0.5403057115112434</v>
      </c>
      <c r="O174" s="1" t="str">
        <f>HYPERLINK(".\sm_car_250503_1632\sm_car_250503_1632_173_Ca004TrN_MaLSS_ode3_1.png","figure")</f>
        <v>figure</v>
      </c>
      <c r="P174" t="s">
        <v>15</v>
      </c>
    </row>
    <row r="175" spans="1:16" x14ac:dyDescent="0.25">
      <c r="A175">
        <v>174</v>
      </c>
      <c r="B175">
        <v>4</v>
      </c>
      <c r="C175" t="s">
        <v>16</v>
      </c>
      <c r="D175" t="s">
        <v>17</v>
      </c>
      <c r="E175" t="s">
        <v>18</v>
      </c>
      <c r="F175" t="s">
        <v>28</v>
      </c>
      <c r="G175" t="s">
        <v>20</v>
      </c>
      <c r="H175" t="s">
        <v>21</v>
      </c>
      <c r="I175" t="s">
        <v>64</v>
      </c>
      <c r="J175" t="s">
        <v>63</v>
      </c>
      <c r="K175">
        <v>2562</v>
      </c>
      <c r="L175" s="4">
        <v>7.2498186000000002</v>
      </c>
      <c r="M175" s="4">
        <v>63.784285151082656</v>
      </c>
      <c r="N175" s="4">
        <v>-25.042725613120574</v>
      </c>
      <c r="O175" s="1" t="str">
        <f>HYPERLINK(".\sm_car_250503_1632\sm_car_250503_1632_174_Ca004TrN_MaTUR_ode3_1.png","figure")</f>
        <v>figure</v>
      </c>
      <c r="P175" t="s">
        <v>15</v>
      </c>
    </row>
    <row r="176" spans="1:16" x14ac:dyDescent="0.25">
      <c r="A176">
        <v>175</v>
      </c>
      <c r="B176">
        <v>116</v>
      </c>
      <c r="C176" t="s">
        <v>16</v>
      </c>
      <c r="D176" t="s">
        <v>35</v>
      </c>
      <c r="E176" t="s">
        <v>18</v>
      </c>
      <c r="F176" t="s">
        <v>28</v>
      </c>
      <c r="G176" t="s">
        <v>20</v>
      </c>
      <c r="H176" t="s">
        <v>21</v>
      </c>
      <c r="I176" t="s">
        <v>22</v>
      </c>
      <c r="J176" t="s">
        <v>63</v>
      </c>
      <c r="K176">
        <v>3244</v>
      </c>
      <c r="L176" s="4">
        <v>3.8151155999999999</v>
      </c>
      <c r="M176" s="4">
        <v>242.69607455502108</v>
      </c>
      <c r="N176" s="4">
        <v>0.236354456482231</v>
      </c>
      <c r="O176" s="1" t="str">
        <f>HYPERLINK(".\sm_car_250503_1632\sm_car_250503_1632_175_Ca116TrN_MaWOT_ode3_1.png","figure")</f>
        <v>figure</v>
      </c>
      <c r="P176" t="s">
        <v>15</v>
      </c>
    </row>
    <row r="177" spans="1:16" x14ac:dyDescent="0.25">
      <c r="A177">
        <v>176</v>
      </c>
      <c r="B177">
        <v>116</v>
      </c>
      <c r="C177" t="s">
        <v>16</v>
      </c>
      <c r="D177" t="s">
        <v>35</v>
      </c>
      <c r="E177" t="s">
        <v>18</v>
      </c>
      <c r="F177" t="s">
        <v>28</v>
      </c>
      <c r="G177" t="s">
        <v>20</v>
      </c>
      <c r="H177" t="s">
        <v>21</v>
      </c>
      <c r="I177" t="s">
        <v>24</v>
      </c>
      <c r="J177" t="s">
        <v>63</v>
      </c>
      <c r="K177">
        <v>2564</v>
      </c>
      <c r="L177" s="4">
        <v>3.2370033</v>
      </c>
      <c r="M177" s="4">
        <v>74.657190766459138</v>
      </c>
      <c r="N177" s="4">
        <v>-0.34075824603539334</v>
      </c>
      <c r="O177" s="1" t="str">
        <f>HYPERLINK(".\sm_car_250503_1632\sm_car_250503_1632_176_Ca116TrN_MaLSS_ode3_1.png","figure")</f>
        <v>figure</v>
      </c>
      <c r="P177" t="s">
        <v>15</v>
      </c>
    </row>
    <row r="178" spans="1:16" x14ac:dyDescent="0.25">
      <c r="A178">
        <v>177</v>
      </c>
      <c r="B178">
        <v>116</v>
      </c>
      <c r="C178" t="s">
        <v>16</v>
      </c>
      <c r="D178" t="s">
        <v>35</v>
      </c>
      <c r="E178" t="s">
        <v>18</v>
      </c>
      <c r="F178" t="s">
        <v>28</v>
      </c>
      <c r="G178" t="s">
        <v>20</v>
      </c>
      <c r="H178" t="s">
        <v>21</v>
      </c>
      <c r="I178" t="s">
        <v>64</v>
      </c>
      <c r="J178" t="s">
        <v>63</v>
      </c>
      <c r="K178">
        <v>2563</v>
      </c>
      <c r="L178" s="4">
        <v>3.2126636</v>
      </c>
      <c r="M178" s="4">
        <v>71.322015475142095</v>
      </c>
      <c r="N178" s="4">
        <v>-17.590329134054983</v>
      </c>
      <c r="O178" s="1" t="str">
        <f>HYPERLINK(".\sm_car_250503_1632\sm_car_250503_1632_177_Ca116TrN_MaTUR_ode3_1.png","figure")</f>
        <v>figure</v>
      </c>
      <c r="P178" t="s">
        <v>15</v>
      </c>
    </row>
    <row r="179" spans="1:16" x14ac:dyDescent="0.25">
      <c r="A179">
        <v>178</v>
      </c>
      <c r="B179">
        <v>124</v>
      </c>
      <c r="C179" t="s">
        <v>16</v>
      </c>
      <c r="D179" t="s">
        <v>35</v>
      </c>
      <c r="E179" t="s">
        <v>49</v>
      </c>
      <c r="F179" t="s">
        <v>28</v>
      </c>
      <c r="G179" t="s">
        <v>20</v>
      </c>
      <c r="H179" t="s">
        <v>21</v>
      </c>
      <c r="I179" t="s">
        <v>22</v>
      </c>
      <c r="J179" t="s">
        <v>63</v>
      </c>
      <c r="K179">
        <v>3244</v>
      </c>
      <c r="L179" s="4">
        <v>2.1246632999999999</v>
      </c>
      <c r="M179" s="4">
        <v>242.87242715682305</v>
      </c>
      <c r="N179" s="4">
        <v>0.2361586466438336</v>
      </c>
      <c r="O179" s="1" t="str">
        <f>HYPERLINK(".\sm_car_250503_1632\sm_car_250503_1632_178_Ca124TrN_MaWOT_ode3_1.png","figure")</f>
        <v>figure</v>
      </c>
      <c r="P179" t="s">
        <v>15</v>
      </c>
    </row>
    <row r="180" spans="1:16" x14ac:dyDescent="0.25">
      <c r="A180">
        <v>179</v>
      </c>
      <c r="B180">
        <v>124</v>
      </c>
      <c r="C180" t="s">
        <v>16</v>
      </c>
      <c r="D180" t="s">
        <v>35</v>
      </c>
      <c r="E180" t="s">
        <v>49</v>
      </c>
      <c r="F180" t="s">
        <v>28</v>
      </c>
      <c r="G180" t="s">
        <v>20</v>
      </c>
      <c r="H180" t="s">
        <v>21</v>
      </c>
      <c r="I180" t="s">
        <v>24</v>
      </c>
      <c r="J180" t="s">
        <v>63</v>
      </c>
      <c r="K180">
        <v>2565</v>
      </c>
      <c r="L180" s="4">
        <v>1.7786827999999999</v>
      </c>
      <c r="M180" s="4">
        <v>74.796106048085093</v>
      </c>
      <c r="N180" s="4">
        <v>-0.34233746660015291</v>
      </c>
      <c r="O180" s="1" t="str">
        <f>HYPERLINK(".\sm_car_250503_1632\sm_car_250503_1632_179_Ca124TrN_MaLSS_ode3_1.png","figure")</f>
        <v>figure</v>
      </c>
      <c r="P180" t="s">
        <v>15</v>
      </c>
    </row>
    <row r="181" spans="1:16" x14ac:dyDescent="0.25">
      <c r="A181">
        <v>180</v>
      </c>
      <c r="B181">
        <v>124</v>
      </c>
      <c r="C181" t="s">
        <v>16</v>
      </c>
      <c r="D181" t="s">
        <v>35</v>
      </c>
      <c r="E181" t="s">
        <v>49</v>
      </c>
      <c r="F181" t="s">
        <v>28</v>
      </c>
      <c r="G181" t="s">
        <v>20</v>
      </c>
      <c r="H181" t="s">
        <v>21</v>
      </c>
      <c r="I181" t="s">
        <v>64</v>
      </c>
      <c r="J181" t="s">
        <v>63</v>
      </c>
      <c r="K181">
        <v>2564</v>
      </c>
      <c r="L181" s="4">
        <v>1.7163377</v>
      </c>
      <c r="M181" s="4">
        <v>71.447408139063199</v>
      </c>
      <c r="N181" s="4">
        <v>-17.636376356645247</v>
      </c>
      <c r="O181" s="1" t="str">
        <f>HYPERLINK(".\sm_car_250503_1632\sm_car_250503_1632_180_Ca124TrN_MaTUR_ode3_1.png","figure")</f>
        <v>figure</v>
      </c>
      <c r="P181" t="s">
        <v>15</v>
      </c>
    </row>
    <row r="182" spans="1:16" x14ac:dyDescent="0.25">
      <c r="A182">
        <v>181</v>
      </c>
      <c r="B182">
        <v>141</v>
      </c>
      <c r="C182" t="s">
        <v>45</v>
      </c>
      <c r="D182" t="s">
        <v>17</v>
      </c>
      <c r="E182" t="s">
        <v>18</v>
      </c>
      <c r="F182" t="s">
        <v>28</v>
      </c>
      <c r="G182" t="s">
        <v>26</v>
      </c>
      <c r="H182" t="s">
        <v>21</v>
      </c>
      <c r="I182" t="s">
        <v>22</v>
      </c>
      <c r="J182" t="s">
        <v>63</v>
      </c>
      <c r="K182">
        <v>3837</v>
      </c>
      <c r="L182" s="4">
        <v>12.416041699999999</v>
      </c>
      <c r="M182" s="4">
        <v>405.28915147151878</v>
      </c>
      <c r="N182" s="4">
        <v>1.5948272595674267</v>
      </c>
      <c r="O182" s="1" t="str">
        <f>HYPERLINK(".\sm_car_250503_1632\sm_car_250503_1632_181_Ca141TrN_MaWOT_ode3_1.png","figure")</f>
        <v>figure</v>
      </c>
      <c r="P182" t="s">
        <v>15</v>
      </c>
    </row>
    <row r="183" spans="1:16" x14ac:dyDescent="0.25">
      <c r="A183">
        <v>182</v>
      </c>
      <c r="B183">
        <v>141</v>
      </c>
      <c r="C183" t="s">
        <v>45</v>
      </c>
      <c r="D183" t="s">
        <v>17</v>
      </c>
      <c r="E183" t="s">
        <v>18</v>
      </c>
      <c r="F183" t="s">
        <v>28</v>
      </c>
      <c r="G183" t="s">
        <v>26</v>
      </c>
      <c r="H183" t="s">
        <v>21</v>
      </c>
      <c r="I183" t="s">
        <v>24</v>
      </c>
      <c r="J183" t="s">
        <v>63</v>
      </c>
      <c r="K183">
        <v>3192</v>
      </c>
      <c r="L183" s="4">
        <v>10.523331499999999</v>
      </c>
      <c r="M183" s="4">
        <v>154.46780340462431</v>
      </c>
      <c r="N183" s="4">
        <v>-0.58059592590144582</v>
      </c>
      <c r="O183" s="1" t="str">
        <f>HYPERLINK(".\sm_car_250503_1632\sm_car_250503_1632_182_Ca141TrN_MaLSS_ode3_1.png","figure")</f>
        <v>figure</v>
      </c>
      <c r="P183" t="s">
        <v>15</v>
      </c>
    </row>
    <row r="184" spans="1:16" x14ac:dyDescent="0.25">
      <c r="A184">
        <v>183</v>
      </c>
      <c r="B184">
        <v>141</v>
      </c>
      <c r="C184" t="s">
        <v>45</v>
      </c>
      <c r="D184" t="s">
        <v>17</v>
      </c>
      <c r="E184" t="s">
        <v>18</v>
      </c>
      <c r="F184" t="s">
        <v>28</v>
      </c>
      <c r="G184" t="s">
        <v>26</v>
      </c>
      <c r="H184" t="s">
        <v>21</v>
      </c>
      <c r="I184" t="s">
        <v>64</v>
      </c>
      <c r="J184" t="s">
        <v>63</v>
      </c>
      <c r="K184">
        <v>3160</v>
      </c>
      <c r="L184" s="4">
        <v>10.473614100000001</v>
      </c>
      <c r="M184" s="4">
        <v>98.347174839197066</v>
      </c>
      <c r="N184" s="4">
        <v>-87.521160458158107</v>
      </c>
      <c r="O184" s="1" t="str">
        <f>HYPERLINK(".\sm_car_250503_1632\sm_car_250503_1632_183_Ca141TrN_MaTUR_ode3_1.png","figure")</f>
        <v>figure</v>
      </c>
      <c r="P184" t="s">
        <v>15</v>
      </c>
    </row>
    <row r="185" spans="1:16" x14ac:dyDescent="0.25">
      <c r="A185">
        <v>184</v>
      </c>
      <c r="B185">
        <v>145</v>
      </c>
      <c r="C185" t="s">
        <v>46</v>
      </c>
      <c r="D185" t="s">
        <v>17</v>
      </c>
      <c r="E185" t="s">
        <v>50</v>
      </c>
      <c r="F185" t="s">
        <v>19</v>
      </c>
      <c r="G185" t="s">
        <v>26</v>
      </c>
      <c r="H185" t="s">
        <v>21</v>
      </c>
      <c r="I185" t="s">
        <v>22</v>
      </c>
      <c r="J185" t="s">
        <v>63</v>
      </c>
      <c r="K185">
        <v>2856</v>
      </c>
      <c r="L185" s="4">
        <v>7.8051032999999999</v>
      </c>
      <c r="M185" s="4">
        <v>96.143293584542477</v>
      </c>
      <c r="N185" s="4">
        <v>8.6318522634519414E-4</v>
      </c>
      <c r="O185" s="1" t="str">
        <f>HYPERLINK(".\sm_car_250503_1632\sm_car_250503_1632_184_Ca145TrN_MaWOT_ode3_1.png","figure")</f>
        <v>figure</v>
      </c>
      <c r="P185" t="s">
        <v>15</v>
      </c>
    </row>
    <row r="186" spans="1:16" x14ac:dyDescent="0.25">
      <c r="A186">
        <v>185</v>
      </c>
      <c r="B186">
        <v>145</v>
      </c>
      <c r="C186" t="s">
        <v>46</v>
      </c>
      <c r="D186" t="s">
        <v>17</v>
      </c>
      <c r="E186" t="s">
        <v>50</v>
      </c>
      <c r="F186" t="s">
        <v>19</v>
      </c>
      <c r="G186" t="s">
        <v>26</v>
      </c>
      <c r="H186" t="s">
        <v>21</v>
      </c>
      <c r="I186" t="s">
        <v>24</v>
      </c>
      <c r="J186" t="s">
        <v>63</v>
      </c>
      <c r="K186">
        <v>2385</v>
      </c>
      <c r="L186" s="4">
        <v>6.4970071999999996</v>
      </c>
      <c r="M186" s="4">
        <v>25.351601817833707</v>
      </c>
      <c r="N186" s="4">
        <v>-4.1368589281911311E-2</v>
      </c>
      <c r="O186" s="1" t="str">
        <f>HYPERLINK(".\sm_car_250503_1632\sm_car_250503_1632_185_Ca145TrN_MaLSS_ode3_1.png","figure")</f>
        <v>figure</v>
      </c>
      <c r="P186" t="s">
        <v>15</v>
      </c>
    </row>
    <row r="187" spans="1:16" x14ac:dyDescent="0.25">
      <c r="A187">
        <v>186</v>
      </c>
      <c r="B187">
        <v>145</v>
      </c>
      <c r="C187" t="s">
        <v>46</v>
      </c>
      <c r="D187" t="s">
        <v>17</v>
      </c>
      <c r="E187" t="s">
        <v>50</v>
      </c>
      <c r="F187" t="s">
        <v>19</v>
      </c>
      <c r="G187" t="s">
        <v>26</v>
      </c>
      <c r="H187" t="s">
        <v>21</v>
      </c>
      <c r="I187" t="s">
        <v>64</v>
      </c>
      <c r="J187" t="s">
        <v>63</v>
      </c>
      <c r="K187">
        <v>2381</v>
      </c>
      <c r="L187" s="4">
        <v>6.6690838000000001</v>
      </c>
      <c r="M187" s="4">
        <v>25.137842847097982</v>
      </c>
      <c r="N187" s="4">
        <v>-2.6089117989709583</v>
      </c>
      <c r="O187" s="1" t="str">
        <f>HYPERLINK(".\sm_car_250503_1632\sm_car_250503_1632_186_Ca145TrN_MaTUR_ode3_1.png","figure")</f>
        <v>figure</v>
      </c>
      <c r="P187" t="s">
        <v>15</v>
      </c>
    </row>
    <row r="188" spans="1:16" x14ac:dyDescent="0.25">
      <c r="A188">
        <v>187</v>
      </c>
      <c r="B188">
        <v>199</v>
      </c>
      <c r="C188" t="s">
        <v>46</v>
      </c>
      <c r="D188" t="s">
        <v>17</v>
      </c>
      <c r="E188" t="s">
        <v>109</v>
      </c>
      <c r="F188" t="s">
        <v>19</v>
      </c>
      <c r="G188" t="s">
        <v>26</v>
      </c>
      <c r="H188" t="s">
        <v>21</v>
      </c>
      <c r="I188" t="s">
        <v>22</v>
      </c>
      <c r="J188" t="s">
        <v>63</v>
      </c>
      <c r="K188">
        <v>2856</v>
      </c>
      <c r="L188" s="4">
        <v>9.0988849999999992</v>
      </c>
      <c r="M188" s="4">
        <v>96.874498520697102</v>
      </c>
      <c r="N188" s="4">
        <v>0.14711541262466793</v>
      </c>
      <c r="O188" s="1" t="str">
        <f>HYPERLINK(".\sm_car_250503_1632\sm_car_250503_1632_187_Ca199TrN_MaWOT_ode3_1.png","figure")</f>
        <v>figure</v>
      </c>
      <c r="P188" t="s">
        <v>15</v>
      </c>
    </row>
    <row r="189" spans="1:16" x14ac:dyDescent="0.25">
      <c r="A189">
        <v>188</v>
      </c>
      <c r="B189">
        <v>199</v>
      </c>
      <c r="C189" t="s">
        <v>46</v>
      </c>
      <c r="D189" t="s">
        <v>17</v>
      </c>
      <c r="E189" t="s">
        <v>109</v>
      </c>
      <c r="F189" t="s">
        <v>19</v>
      </c>
      <c r="G189" t="s">
        <v>26</v>
      </c>
      <c r="H189" t="s">
        <v>21</v>
      </c>
      <c r="I189" t="s">
        <v>24</v>
      </c>
      <c r="J189" t="s">
        <v>63</v>
      </c>
      <c r="K189">
        <v>2387</v>
      </c>
      <c r="L189" s="4">
        <v>7.3211832000000001</v>
      </c>
      <c r="M189" s="4">
        <v>25.965300865011024</v>
      </c>
      <c r="N189" s="4">
        <v>-2.8433107238327707E-2</v>
      </c>
      <c r="O189" s="1" t="str">
        <f>HYPERLINK(".\sm_car_250503_1632\sm_car_250503_1632_188_Ca199TrN_MaLSS_ode3_1.png","figure")</f>
        <v>figure</v>
      </c>
      <c r="P189" t="s">
        <v>15</v>
      </c>
    </row>
    <row r="190" spans="1:16" x14ac:dyDescent="0.25">
      <c r="A190">
        <v>189</v>
      </c>
      <c r="B190">
        <v>199</v>
      </c>
      <c r="C190" t="s">
        <v>46</v>
      </c>
      <c r="D190" t="s">
        <v>17</v>
      </c>
      <c r="E190" t="s">
        <v>109</v>
      </c>
      <c r="F190" t="s">
        <v>19</v>
      </c>
      <c r="G190" t="s">
        <v>26</v>
      </c>
      <c r="H190" t="s">
        <v>21</v>
      </c>
      <c r="I190" t="s">
        <v>64</v>
      </c>
      <c r="J190" t="s">
        <v>63</v>
      </c>
      <c r="K190">
        <v>2381</v>
      </c>
      <c r="L190" s="4">
        <v>7.3083524000000004</v>
      </c>
      <c r="M190" s="4">
        <v>25.753072775503231</v>
      </c>
      <c r="N190" s="4">
        <v>-2.6780294853401752</v>
      </c>
      <c r="O190" s="1" t="str">
        <f>HYPERLINK(".\sm_car_250503_1632\sm_car_250503_1632_189_Ca199TrN_MaTUR_ode3_1.png","figure")</f>
        <v>figure</v>
      </c>
      <c r="P190" t="s">
        <v>15</v>
      </c>
    </row>
    <row r="191" spans="1:16" x14ac:dyDescent="0.25">
      <c r="A191">
        <v>190</v>
      </c>
      <c r="B191">
        <v>139</v>
      </c>
      <c r="C191" t="s">
        <v>45</v>
      </c>
      <c r="D191" t="s">
        <v>17</v>
      </c>
      <c r="E191" t="s">
        <v>18</v>
      </c>
      <c r="F191" t="s">
        <v>19</v>
      </c>
      <c r="G191" t="s">
        <v>26</v>
      </c>
      <c r="H191" t="s">
        <v>21</v>
      </c>
      <c r="I191" t="s">
        <v>53</v>
      </c>
      <c r="J191" t="s">
        <v>23</v>
      </c>
      <c r="K191">
        <v>558</v>
      </c>
      <c r="L191" s="4">
        <v>10.5907362</v>
      </c>
      <c r="M191" s="4">
        <v>254.02674560439272</v>
      </c>
      <c r="N191" s="4">
        <v>-6.2883356244887167E-3</v>
      </c>
      <c r="O191" s="1" t="str">
        <f>HYPERLINK(".\sm_car_250503_1632\sm_car_250503_1632_190_Ca139TrN_MaDLC_ode23t_1.png","figure")</f>
        <v>figure</v>
      </c>
      <c r="P191" t="s">
        <v>15</v>
      </c>
    </row>
    <row r="192" spans="1:16" x14ac:dyDescent="0.25">
      <c r="A192">
        <v>191</v>
      </c>
      <c r="B192">
        <v>139</v>
      </c>
      <c r="C192" t="s">
        <v>45</v>
      </c>
      <c r="D192" t="s">
        <v>17</v>
      </c>
      <c r="E192" t="s">
        <v>18</v>
      </c>
      <c r="F192" t="s">
        <v>19</v>
      </c>
      <c r="G192" t="s">
        <v>26</v>
      </c>
      <c r="H192" t="s">
        <v>65</v>
      </c>
      <c r="I192" t="s">
        <v>53</v>
      </c>
      <c r="J192" t="s">
        <v>23</v>
      </c>
      <c r="K192">
        <v>886</v>
      </c>
      <c r="L192" s="4">
        <v>30.692735899999999</v>
      </c>
      <c r="M192" s="4">
        <v>253.37729058800932</v>
      </c>
      <c r="N192" s="4">
        <v>0.18302788217950727</v>
      </c>
      <c r="O192" s="1" t="str">
        <f>HYPERLINK(".\sm_car_250503_1632\sm_car_250503_1632_191_Ca139TrE_MaDLC_ode23t_1.png","figure")</f>
        <v>figure</v>
      </c>
      <c r="P192" t="s">
        <v>15</v>
      </c>
    </row>
    <row r="193" spans="1:16" x14ac:dyDescent="0.25">
      <c r="A193">
        <v>192</v>
      </c>
      <c r="B193">
        <v>139</v>
      </c>
      <c r="C193" t="s">
        <v>45</v>
      </c>
      <c r="D193" t="s">
        <v>17</v>
      </c>
      <c r="E193" t="s">
        <v>18</v>
      </c>
      <c r="F193" t="s">
        <v>19</v>
      </c>
      <c r="G193" t="s">
        <v>26</v>
      </c>
      <c r="H193" t="s">
        <v>66</v>
      </c>
      <c r="I193" t="s">
        <v>53</v>
      </c>
      <c r="J193" t="s">
        <v>23</v>
      </c>
      <c r="K193">
        <v>1015</v>
      </c>
      <c r="L193" s="4">
        <v>37.5726479</v>
      </c>
      <c r="M193" s="4">
        <v>253.87251855409392</v>
      </c>
      <c r="N193" s="4">
        <v>-6.1064507414902991E-3</v>
      </c>
      <c r="O193" s="1" t="str">
        <f>HYPERLINK(".\sm_car_250503_1632\sm_car_250503_1632_192_Ca139TrT_MaDLC_ode23t_1.png","figure")</f>
        <v>figure</v>
      </c>
      <c r="P193" t="s">
        <v>15</v>
      </c>
    </row>
    <row r="194" spans="1:16" x14ac:dyDescent="0.25">
      <c r="A194">
        <v>193</v>
      </c>
      <c r="B194">
        <v>139</v>
      </c>
      <c r="C194" t="s">
        <v>45</v>
      </c>
      <c r="D194" t="s">
        <v>17</v>
      </c>
      <c r="E194" t="s">
        <v>18</v>
      </c>
      <c r="F194" t="s">
        <v>19</v>
      </c>
      <c r="G194" t="s">
        <v>26</v>
      </c>
      <c r="H194" t="s">
        <v>65</v>
      </c>
      <c r="I194" t="s">
        <v>53</v>
      </c>
      <c r="J194" t="s">
        <v>23</v>
      </c>
      <c r="K194">
        <v>783</v>
      </c>
      <c r="L194" s="4">
        <v>19.925781600000001</v>
      </c>
      <c r="M194" s="4">
        <v>253.36256716041282</v>
      </c>
      <c r="N194" s="4">
        <v>1.2585179777318878E-2</v>
      </c>
      <c r="O194" s="1" t="str">
        <f>HYPERLINK(".\sm_car_250503_1632\sm_car_250503_1632_193_Ca139TrE_MaDLC_ode23t_1.png","figure")</f>
        <v>figure</v>
      </c>
      <c r="P194" t="s">
        <v>15</v>
      </c>
    </row>
    <row r="195" spans="1:16" x14ac:dyDescent="0.25">
      <c r="A195">
        <v>194</v>
      </c>
      <c r="B195">
        <v>2</v>
      </c>
      <c r="C195" t="s">
        <v>16</v>
      </c>
      <c r="D195" t="s">
        <v>17</v>
      </c>
      <c r="E195" t="s">
        <v>18</v>
      </c>
      <c r="F195" t="s">
        <v>19</v>
      </c>
      <c r="G195" t="s">
        <v>26</v>
      </c>
      <c r="H195" t="s">
        <v>21</v>
      </c>
      <c r="I195" t="s">
        <v>53</v>
      </c>
      <c r="J195" t="s">
        <v>23</v>
      </c>
      <c r="K195">
        <v>632</v>
      </c>
      <c r="L195" s="4">
        <v>10.3093843</v>
      </c>
      <c r="M195" s="4">
        <v>253.71729067951367</v>
      </c>
      <c r="N195" s="4">
        <v>3.442277392071702E-3</v>
      </c>
      <c r="O195" s="1" t="str">
        <f>HYPERLINK(".\sm_car_250503_1632\sm_car_250503_1632_194_Ca002TrN_MaDLC_ode23t_1.png","figure")</f>
        <v>figure</v>
      </c>
      <c r="P195" t="s">
        <v>15</v>
      </c>
    </row>
    <row r="196" spans="1:16" x14ac:dyDescent="0.25">
      <c r="A196">
        <v>195</v>
      </c>
      <c r="B196">
        <v>2</v>
      </c>
      <c r="C196" t="s">
        <v>16</v>
      </c>
      <c r="D196" t="s">
        <v>17</v>
      </c>
      <c r="E196" t="s">
        <v>18</v>
      </c>
      <c r="F196" t="s">
        <v>19</v>
      </c>
      <c r="G196" t="s">
        <v>26</v>
      </c>
      <c r="H196" t="s">
        <v>65</v>
      </c>
      <c r="I196" t="s">
        <v>53</v>
      </c>
      <c r="J196" t="s">
        <v>23</v>
      </c>
      <c r="K196">
        <v>784</v>
      </c>
      <c r="L196" s="4">
        <v>22.2151268</v>
      </c>
      <c r="M196" s="4">
        <v>253.84041972274912</v>
      </c>
      <c r="N196" s="4">
        <v>3.3840270257701199E-3</v>
      </c>
      <c r="O196" s="1" t="str">
        <f>HYPERLINK(".\sm_car_250503_1632\sm_car_250503_1632_195_Ca002TrE_MaDLC_ode23t_1.png","figure")</f>
        <v>figure</v>
      </c>
      <c r="P196" t="s">
        <v>15</v>
      </c>
    </row>
    <row r="197" spans="1:16" x14ac:dyDescent="0.25">
      <c r="A197">
        <v>196</v>
      </c>
      <c r="B197">
        <v>2</v>
      </c>
      <c r="C197" t="s">
        <v>16</v>
      </c>
      <c r="D197" t="s">
        <v>17</v>
      </c>
      <c r="E197" t="s">
        <v>18</v>
      </c>
      <c r="F197" t="s">
        <v>19</v>
      </c>
      <c r="G197" t="s">
        <v>26</v>
      </c>
      <c r="H197" t="s">
        <v>66</v>
      </c>
      <c r="I197" t="s">
        <v>53</v>
      </c>
      <c r="J197" t="s">
        <v>23</v>
      </c>
      <c r="K197">
        <v>914</v>
      </c>
      <c r="L197" s="4">
        <v>26.606216199999999</v>
      </c>
      <c r="M197" s="4">
        <v>253.58214036348772</v>
      </c>
      <c r="N197" s="4">
        <v>3.5252503430567295E-3</v>
      </c>
      <c r="O197" s="1" t="str">
        <f>HYPERLINK(".\sm_car_250503_1632\sm_car_250503_1632_196_Ca002TrT_MaDLC_ode23t_1.png","figure")</f>
        <v>figure</v>
      </c>
      <c r="P197" t="s">
        <v>15</v>
      </c>
    </row>
    <row r="198" spans="1:16" x14ac:dyDescent="0.25">
      <c r="A198">
        <v>197</v>
      </c>
      <c r="B198">
        <v>2</v>
      </c>
      <c r="C198" t="s">
        <v>16</v>
      </c>
      <c r="D198" t="s">
        <v>17</v>
      </c>
      <c r="E198" t="s">
        <v>18</v>
      </c>
      <c r="F198" t="s">
        <v>19</v>
      </c>
      <c r="G198" t="s">
        <v>26</v>
      </c>
      <c r="H198" t="s">
        <v>65</v>
      </c>
      <c r="I198" t="s">
        <v>53</v>
      </c>
      <c r="J198" t="s">
        <v>23</v>
      </c>
      <c r="K198">
        <v>783</v>
      </c>
      <c r="L198" s="4">
        <v>17.135653600000001</v>
      </c>
      <c r="M198" s="4">
        <v>253.84031863946359</v>
      </c>
      <c r="N198" s="4">
        <v>3.383555763885493E-3</v>
      </c>
      <c r="O198" s="1" t="str">
        <f>HYPERLINK(".\sm_car_250503_1632\sm_car_250503_1632_197_Ca002TrE_MaDLC_ode23t_1.png","figure")</f>
        <v>figure</v>
      </c>
      <c r="P198" t="s">
        <v>15</v>
      </c>
    </row>
    <row r="199" spans="1:16" x14ac:dyDescent="0.25">
      <c r="A199">
        <v>198</v>
      </c>
      <c r="B199">
        <v>145</v>
      </c>
      <c r="C199" t="s">
        <v>46</v>
      </c>
      <c r="D199" t="s">
        <v>17</v>
      </c>
      <c r="E199" t="s">
        <v>50</v>
      </c>
      <c r="F199" t="s">
        <v>19</v>
      </c>
      <c r="G199" t="s">
        <v>26</v>
      </c>
      <c r="H199" t="s">
        <v>21</v>
      </c>
      <c r="I199" t="s">
        <v>53</v>
      </c>
      <c r="J199" t="s">
        <v>23</v>
      </c>
      <c r="K199">
        <v>485</v>
      </c>
      <c r="L199" s="4">
        <v>19.5152991</v>
      </c>
      <c r="M199" s="4">
        <v>255.34580149843714</v>
      </c>
      <c r="N199" s="4">
        <v>4.1384061767122837E-2</v>
      </c>
      <c r="O199" s="1" t="str">
        <f>HYPERLINK(".\sm_car_250503_1632\sm_car_250503_1632_198_Ca145TrN_MaDLC_ode23t_1.png","figure")</f>
        <v>figure</v>
      </c>
      <c r="P199" t="s">
        <v>15</v>
      </c>
    </row>
    <row r="200" spans="1:16" x14ac:dyDescent="0.25">
      <c r="A200">
        <v>199</v>
      </c>
      <c r="B200">
        <v>145</v>
      </c>
      <c r="C200" t="s">
        <v>46</v>
      </c>
      <c r="D200" t="s">
        <v>17</v>
      </c>
      <c r="E200" t="s">
        <v>50</v>
      </c>
      <c r="F200" t="s">
        <v>19</v>
      </c>
      <c r="G200" t="s">
        <v>26</v>
      </c>
      <c r="H200" t="s">
        <v>65</v>
      </c>
      <c r="I200" t="s">
        <v>53</v>
      </c>
      <c r="J200" t="s">
        <v>23</v>
      </c>
      <c r="K200">
        <v>563</v>
      </c>
      <c r="L200" s="4">
        <v>33.540675700000001</v>
      </c>
      <c r="M200" s="4">
        <v>254.12703597315448</v>
      </c>
      <c r="N200" s="4">
        <v>4.6272722504407948E-2</v>
      </c>
      <c r="O200" s="1" t="str">
        <f>HYPERLINK(".\sm_car_250503_1632\sm_car_250503_1632_199_Ca145TrE_MaDLC_ode23t_1.png","figure")</f>
        <v>figure</v>
      </c>
      <c r="P200" t="s">
        <v>15</v>
      </c>
    </row>
    <row r="201" spans="1:16" x14ac:dyDescent="0.25">
      <c r="A201">
        <v>200</v>
      </c>
      <c r="B201">
        <v>145</v>
      </c>
      <c r="C201" t="s">
        <v>46</v>
      </c>
      <c r="D201" t="s">
        <v>17</v>
      </c>
      <c r="E201" t="s">
        <v>50</v>
      </c>
      <c r="F201" t="s">
        <v>19</v>
      </c>
      <c r="G201" t="s">
        <v>26</v>
      </c>
      <c r="H201" t="s">
        <v>66</v>
      </c>
      <c r="I201" t="s">
        <v>53</v>
      </c>
      <c r="J201" t="s">
        <v>23</v>
      </c>
      <c r="K201">
        <v>604</v>
      </c>
      <c r="L201" s="4">
        <v>36.573677099999998</v>
      </c>
      <c r="M201" s="4">
        <v>254.98796640849798</v>
      </c>
      <c r="N201" s="4">
        <v>4.2889571353248446E-2</v>
      </c>
      <c r="O201" s="1" t="str">
        <f>HYPERLINK(".\sm_car_250503_1632\sm_car_250503_1632_200_Ca145TrT_MaDLC_ode23t_1.png","figure")</f>
        <v>figure</v>
      </c>
      <c r="P201" t="s">
        <v>15</v>
      </c>
    </row>
    <row r="202" spans="1:16" x14ac:dyDescent="0.25">
      <c r="A202">
        <v>201</v>
      </c>
      <c r="B202">
        <v>145</v>
      </c>
      <c r="C202" t="s">
        <v>46</v>
      </c>
      <c r="D202" t="s">
        <v>17</v>
      </c>
      <c r="E202" t="s">
        <v>50</v>
      </c>
      <c r="F202" t="s">
        <v>19</v>
      </c>
      <c r="G202" t="s">
        <v>26</v>
      </c>
      <c r="H202" t="s">
        <v>65</v>
      </c>
      <c r="I202" t="s">
        <v>53</v>
      </c>
      <c r="J202" t="s">
        <v>23</v>
      </c>
      <c r="K202">
        <v>562</v>
      </c>
      <c r="L202" s="4">
        <v>29.578114299999999</v>
      </c>
      <c r="M202" s="4">
        <v>254.12578505024311</v>
      </c>
      <c r="N202" s="4">
        <v>4.6261413377829186E-2</v>
      </c>
      <c r="O202" s="1" t="str">
        <f>HYPERLINK(".\sm_car_250503_1632\sm_car_250503_1632_201_Ca145TrE_MaDLC_ode23t_1.png","figure")</f>
        <v>figure</v>
      </c>
      <c r="P202" t="s">
        <v>15</v>
      </c>
    </row>
    <row r="203" spans="1:16" x14ac:dyDescent="0.25">
      <c r="A203">
        <v>202</v>
      </c>
      <c r="B203">
        <v>199</v>
      </c>
      <c r="C203" t="s">
        <v>46</v>
      </c>
      <c r="D203" t="s">
        <v>17</v>
      </c>
      <c r="E203" t="s">
        <v>109</v>
      </c>
      <c r="F203" t="s">
        <v>19</v>
      </c>
      <c r="G203" t="s">
        <v>26</v>
      </c>
      <c r="H203" t="s">
        <v>21</v>
      </c>
      <c r="I203" t="s">
        <v>53</v>
      </c>
      <c r="J203" t="s">
        <v>23</v>
      </c>
      <c r="K203">
        <v>486</v>
      </c>
      <c r="L203" s="4">
        <v>7.6668722999999996</v>
      </c>
      <c r="M203" s="4">
        <v>255.34491822099562</v>
      </c>
      <c r="N203" s="4">
        <v>4.1056178581714065E-2</v>
      </c>
      <c r="O203" s="1" t="str">
        <f>HYPERLINK(".\sm_car_250503_1632\sm_car_250503_1632_202_Ca199TrN_MaDLC_ode23t_1.png","figure")</f>
        <v>figure</v>
      </c>
      <c r="P203" t="s">
        <v>15</v>
      </c>
    </row>
    <row r="204" spans="1:16" x14ac:dyDescent="0.25">
      <c r="A204">
        <v>203</v>
      </c>
      <c r="B204">
        <v>199</v>
      </c>
      <c r="C204" t="s">
        <v>46</v>
      </c>
      <c r="D204" t="s">
        <v>17</v>
      </c>
      <c r="E204" t="s">
        <v>109</v>
      </c>
      <c r="F204" t="s">
        <v>19</v>
      </c>
      <c r="G204" t="s">
        <v>26</v>
      </c>
      <c r="H204" t="s">
        <v>65</v>
      </c>
      <c r="I204" t="s">
        <v>53</v>
      </c>
      <c r="J204" t="s">
        <v>23</v>
      </c>
      <c r="K204">
        <v>554</v>
      </c>
      <c r="L204" s="4">
        <v>18.093707299999998</v>
      </c>
      <c r="M204" s="4">
        <v>254.12588030058737</v>
      </c>
      <c r="N204" s="4">
        <v>4.6201284390898767E-2</v>
      </c>
      <c r="O204" s="1" t="str">
        <f>HYPERLINK(".\sm_car_250503_1632\sm_car_250503_1632_203_Ca199TrE_MaDLC_ode23t_1.png","figure")</f>
        <v>figure</v>
      </c>
      <c r="P204" t="s">
        <v>15</v>
      </c>
    </row>
    <row r="205" spans="1:16" x14ac:dyDescent="0.25">
      <c r="A205">
        <v>204</v>
      </c>
      <c r="B205">
        <v>199</v>
      </c>
      <c r="C205" t="s">
        <v>46</v>
      </c>
      <c r="D205" t="s">
        <v>17</v>
      </c>
      <c r="E205" t="s">
        <v>109</v>
      </c>
      <c r="F205" t="s">
        <v>19</v>
      </c>
      <c r="G205" t="s">
        <v>26</v>
      </c>
      <c r="H205" t="s">
        <v>66</v>
      </c>
      <c r="I205" t="s">
        <v>53</v>
      </c>
      <c r="J205" t="s">
        <v>23</v>
      </c>
      <c r="K205">
        <v>658</v>
      </c>
      <c r="L205" s="4">
        <v>18.889379099999999</v>
      </c>
      <c r="M205" s="4">
        <v>254.98779000045994</v>
      </c>
      <c r="N205" s="4">
        <v>4.2645162839249462E-2</v>
      </c>
      <c r="O205" s="1" t="str">
        <f>HYPERLINK(".\sm_car_250503_1632\sm_car_250503_1632_204_Ca199TrT_MaDLC_ode23t_1.png","figure")</f>
        <v>figure</v>
      </c>
      <c r="P205" t="s">
        <v>15</v>
      </c>
    </row>
    <row r="206" spans="1:16" x14ac:dyDescent="0.25">
      <c r="A206">
        <v>205</v>
      </c>
      <c r="B206">
        <v>199</v>
      </c>
      <c r="C206" t="s">
        <v>46</v>
      </c>
      <c r="D206" t="s">
        <v>17</v>
      </c>
      <c r="E206" t="s">
        <v>109</v>
      </c>
      <c r="F206" t="s">
        <v>19</v>
      </c>
      <c r="G206" t="s">
        <v>26</v>
      </c>
      <c r="H206" t="s">
        <v>65</v>
      </c>
      <c r="I206" t="s">
        <v>53</v>
      </c>
      <c r="J206" t="s">
        <v>23</v>
      </c>
      <c r="K206">
        <v>560</v>
      </c>
      <c r="L206" s="4">
        <v>12.583411399999999</v>
      </c>
      <c r="M206" s="4">
        <v>253.66442656697438</v>
      </c>
      <c r="N206" s="4">
        <v>4.798325830122252E-2</v>
      </c>
      <c r="O206" s="1" t="str">
        <f>HYPERLINK(".\sm_car_250503_1632\sm_car_250503_1632_205_Ca199TrE_MaDLC_ode23t_1.png","figure")</f>
        <v>figure</v>
      </c>
      <c r="P206" t="s">
        <v>15</v>
      </c>
    </row>
    <row r="207" spans="1:16" x14ac:dyDescent="0.25">
      <c r="A207">
        <v>206</v>
      </c>
      <c r="B207">
        <v>189</v>
      </c>
      <c r="C207" t="s">
        <v>45</v>
      </c>
      <c r="D207" t="s">
        <v>17</v>
      </c>
      <c r="E207" t="s">
        <v>107</v>
      </c>
      <c r="F207" t="s">
        <v>19</v>
      </c>
      <c r="G207" t="s">
        <v>26</v>
      </c>
      <c r="H207" t="s">
        <v>65</v>
      </c>
      <c r="I207" t="s">
        <v>67</v>
      </c>
      <c r="J207" t="s">
        <v>23</v>
      </c>
      <c r="K207">
        <v>452</v>
      </c>
      <c r="L207" s="4">
        <v>10.624673599999999</v>
      </c>
      <c r="M207" s="4">
        <v>261.53460797617561</v>
      </c>
      <c r="N207" s="4">
        <v>1.426324926297351E-3</v>
      </c>
      <c r="O207" s="1" t="str">
        <f>HYPERLINK(".\sm_car_250503_1632\sm_car_250503_1632_206_Ca189TrE_MaTRD_ode23t_1.png","figure")</f>
        <v>figure</v>
      </c>
      <c r="P207" t="s">
        <v>15</v>
      </c>
    </row>
    <row r="208" spans="1:16" x14ac:dyDescent="0.25">
      <c r="A208">
        <v>207</v>
      </c>
      <c r="B208">
        <v>189</v>
      </c>
      <c r="C208" t="s">
        <v>45</v>
      </c>
      <c r="D208" t="s">
        <v>17</v>
      </c>
      <c r="E208" t="s">
        <v>107</v>
      </c>
      <c r="F208" t="s">
        <v>19</v>
      </c>
      <c r="G208" t="s">
        <v>26</v>
      </c>
      <c r="H208" t="s">
        <v>65</v>
      </c>
      <c r="I208" t="s">
        <v>67</v>
      </c>
      <c r="J208" t="s">
        <v>23</v>
      </c>
      <c r="K208">
        <v>632</v>
      </c>
      <c r="L208" s="4">
        <v>13.568712400000001</v>
      </c>
      <c r="M208" s="4">
        <v>261.42753672168897</v>
      </c>
      <c r="N208" s="4">
        <v>-9.6954146220537663E-2</v>
      </c>
      <c r="O208" s="1" t="str">
        <f>HYPERLINK(".\sm_car_250503_1632\sm_car_250503_1632_207_Ca189TrU_MaTRD_ode23t_1.png","figure")</f>
        <v>figure</v>
      </c>
      <c r="P208" t="s">
        <v>15</v>
      </c>
    </row>
    <row r="209" spans="1:16" x14ac:dyDescent="0.25">
      <c r="A209">
        <v>208</v>
      </c>
      <c r="B209">
        <v>149</v>
      </c>
      <c r="C209" t="s">
        <v>46</v>
      </c>
      <c r="D209" t="s">
        <v>17</v>
      </c>
      <c r="E209" t="s">
        <v>68</v>
      </c>
      <c r="F209" t="s">
        <v>19</v>
      </c>
      <c r="G209" t="s">
        <v>26</v>
      </c>
      <c r="H209" t="s">
        <v>21</v>
      </c>
      <c r="I209" t="s">
        <v>69</v>
      </c>
      <c r="J209" t="s">
        <v>23</v>
      </c>
      <c r="K209">
        <v>669</v>
      </c>
      <c r="L209" s="4">
        <v>10.0504569</v>
      </c>
      <c r="M209" s="4">
        <v>-5.8747693058971429E-3</v>
      </c>
      <c r="N209" s="4">
        <v>-3.5942483481082865E-4</v>
      </c>
      <c r="O209" s="1" t="str">
        <f>HYPERLINK(".\sm_car_250503_1632\sm_car_250503_1632_208_Ca149TrN_MaPST_ode23t_1.png","figure")</f>
        <v>figure</v>
      </c>
      <c r="P209" t="s">
        <v>15</v>
      </c>
    </row>
    <row r="210" spans="1:16" x14ac:dyDescent="0.25">
      <c r="A210">
        <v>209</v>
      </c>
      <c r="B210">
        <v>139</v>
      </c>
      <c r="C210" t="s">
        <v>45</v>
      </c>
      <c r="D210" t="s">
        <v>17</v>
      </c>
      <c r="E210" t="s">
        <v>18</v>
      </c>
      <c r="F210" t="s">
        <v>19</v>
      </c>
      <c r="G210" t="s">
        <v>26</v>
      </c>
      <c r="H210" t="s">
        <v>21</v>
      </c>
      <c r="I210" t="s">
        <v>70</v>
      </c>
      <c r="J210" t="s">
        <v>23</v>
      </c>
      <c r="K210">
        <v>1601</v>
      </c>
      <c r="L210" s="4">
        <v>39.4092457</v>
      </c>
      <c r="M210" s="4">
        <v>36.57025564193907</v>
      </c>
      <c r="N210" s="4">
        <v>0.34341714950660535</v>
      </c>
      <c r="O210" s="1" t="str">
        <f>HYPERLINK(".\sm_car_250503_1632\sm_car_250503_1632_209_Ca139TrN_MaSKD_ode23t_1.png","figure")</f>
        <v>figure</v>
      </c>
      <c r="P210" t="s">
        <v>15</v>
      </c>
    </row>
    <row r="211" spans="1:16" x14ac:dyDescent="0.25">
      <c r="A211">
        <v>210</v>
      </c>
      <c r="B211">
        <v>139</v>
      </c>
      <c r="C211" t="s">
        <v>45</v>
      </c>
      <c r="D211" t="s">
        <v>17</v>
      </c>
      <c r="E211" t="s">
        <v>18</v>
      </c>
      <c r="F211" t="s">
        <v>19</v>
      </c>
      <c r="G211" t="s">
        <v>26</v>
      </c>
      <c r="H211" t="s">
        <v>21</v>
      </c>
      <c r="I211" t="s">
        <v>71</v>
      </c>
      <c r="J211" t="s">
        <v>23</v>
      </c>
      <c r="K211">
        <v>1079</v>
      </c>
      <c r="L211" s="4">
        <v>31.318877799999999</v>
      </c>
      <c r="M211" s="4">
        <v>3.4904442225702503</v>
      </c>
      <c r="N211" s="4">
        <v>27.082694876936021</v>
      </c>
      <c r="O211" s="1" t="str">
        <f>HYPERLINK(".\sm_car_250503_1632\sm_car_250503_1632_210_Ca139TrN_MaRAD_ode23t_1.png","figure")</f>
        <v>figure</v>
      </c>
      <c r="P211" t="s">
        <v>15</v>
      </c>
    </row>
    <row r="212" spans="1:16" x14ac:dyDescent="0.25">
      <c r="A212">
        <v>211</v>
      </c>
      <c r="B212">
        <v>184</v>
      </c>
      <c r="C212" t="s">
        <v>105</v>
      </c>
      <c r="D212" t="s">
        <v>120</v>
      </c>
      <c r="E212" t="s">
        <v>49</v>
      </c>
      <c r="F212" t="s">
        <v>19</v>
      </c>
      <c r="G212" t="s">
        <v>20</v>
      </c>
      <c r="H212" t="s">
        <v>21</v>
      </c>
      <c r="I212" t="s">
        <v>70</v>
      </c>
      <c r="J212" t="s">
        <v>23</v>
      </c>
      <c r="K212">
        <v>1332</v>
      </c>
      <c r="L212" s="4">
        <v>50.8964906</v>
      </c>
      <c r="M212" s="4">
        <v>36.391780298168435</v>
      </c>
      <c r="N212" s="4">
        <v>0.24997603447338734</v>
      </c>
      <c r="O212" s="1" t="str">
        <f>HYPERLINK(".\sm_car_250503_1632\sm_car_250503_1632_211_Ca184TrN_MaSKD_ode23t_1.png","figure")</f>
        <v>figure</v>
      </c>
      <c r="P212" t="s">
        <v>15</v>
      </c>
    </row>
    <row r="213" spans="1:16" x14ac:dyDescent="0.25">
      <c r="A213">
        <v>212</v>
      </c>
      <c r="B213">
        <v>184</v>
      </c>
      <c r="C213" t="s">
        <v>105</v>
      </c>
      <c r="D213" t="s">
        <v>120</v>
      </c>
      <c r="E213" t="s">
        <v>49</v>
      </c>
      <c r="F213" t="s">
        <v>19</v>
      </c>
      <c r="G213" t="s">
        <v>20</v>
      </c>
      <c r="H213" t="s">
        <v>21</v>
      </c>
      <c r="I213" t="s">
        <v>71</v>
      </c>
      <c r="J213" t="s">
        <v>23</v>
      </c>
      <c r="K213">
        <v>624</v>
      </c>
      <c r="L213" s="4">
        <v>23.191399100000002</v>
      </c>
      <c r="M213" s="4">
        <v>13.885022118108798</v>
      </c>
      <c r="N213" s="4">
        <v>23.763789220475395</v>
      </c>
      <c r="O213" s="1" t="str">
        <f>HYPERLINK(".\sm_car_250503_1632\sm_car_250503_1632_212_Ca184TrN_MaRAD_ode23t_1.png","figure")</f>
        <v>figure</v>
      </c>
      <c r="P213" t="s">
        <v>15</v>
      </c>
    </row>
    <row r="214" spans="1:16" x14ac:dyDescent="0.25">
      <c r="A214">
        <v>213</v>
      </c>
      <c r="B214">
        <v>198</v>
      </c>
      <c r="C214" t="s">
        <v>105</v>
      </c>
      <c r="D214" t="s">
        <v>120</v>
      </c>
      <c r="E214" t="s">
        <v>107</v>
      </c>
      <c r="F214" t="s">
        <v>19</v>
      </c>
      <c r="G214" t="s">
        <v>20</v>
      </c>
      <c r="H214" t="s">
        <v>21</v>
      </c>
      <c r="I214" t="s">
        <v>70</v>
      </c>
      <c r="J214" t="s">
        <v>23</v>
      </c>
      <c r="K214">
        <v>1407</v>
      </c>
      <c r="L214" s="4">
        <v>30.8502261</v>
      </c>
      <c r="M214" s="4">
        <v>36.382982853984949</v>
      </c>
      <c r="N214" s="4">
        <v>0.25043340474825027</v>
      </c>
      <c r="O214" s="1" t="str">
        <f>HYPERLINK(".\sm_car_250503_1632\sm_car_250503_1632_213_Ca198TrN_MaSKD_ode23t_1.png","figure")</f>
        <v>figure</v>
      </c>
      <c r="P214" t="s">
        <v>15</v>
      </c>
    </row>
    <row r="215" spans="1:16" x14ac:dyDescent="0.25">
      <c r="A215">
        <v>214</v>
      </c>
      <c r="B215">
        <v>198</v>
      </c>
      <c r="C215" t="s">
        <v>105</v>
      </c>
      <c r="D215" t="s">
        <v>120</v>
      </c>
      <c r="E215" t="s">
        <v>107</v>
      </c>
      <c r="F215" t="s">
        <v>19</v>
      </c>
      <c r="G215" t="s">
        <v>20</v>
      </c>
      <c r="H215" t="s">
        <v>21</v>
      </c>
      <c r="I215" t="s">
        <v>71</v>
      </c>
      <c r="J215" t="s">
        <v>23</v>
      </c>
      <c r="K215">
        <v>666</v>
      </c>
      <c r="L215" s="4">
        <v>14.3395063</v>
      </c>
      <c r="M215" s="4">
        <v>13.858444027024266</v>
      </c>
      <c r="N215" s="4">
        <v>23.71310075366155</v>
      </c>
      <c r="O215" s="1" t="str">
        <f>HYPERLINK(".\sm_car_250503_1632\sm_car_250503_1632_214_Ca198TrN_MaRAD_ode23t_1.png","figure")</f>
        <v>figure</v>
      </c>
      <c r="P215" t="s">
        <v>15</v>
      </c>
    </row>
    <row r="216" spans="1:16" x14ac:dyDescent="0.25">
      <c r="A216">
        <v>215</v>
      </c>
      <c r="B216">
        <v>189</v>
      </c>
      <c r="C216" t="s">
        <v>45</v>
      </c>
      <c r="D216" t="s">
        <v>17</v>
      </c>
      <c r="E216" t="s">
        <v>107</v>
      </c>
      <c r="F216" t="s">
        <v>19</v>
      </c>
      <c r="G216" t="s">
        <v>26</v>
      </c>
      <c r="H216" t="s">
        <v>21</v>
      </c>
      <c r="I216" t="s">
        <v>132</v>
      </c>
      <c r="J216" t="s">
        <v>23</v>
      </c>
      <c r="K216">
        <v>744</v>
      </c>
      <c r="L216" s="4">
        <v>11.5566257</v>
      </c>
      <c r="M216" s="4">
        <v>120.118099475885</v>
      </c>
      <c r="N216" s="4">
        <v>-15.842777201453524</v>
      </c>
      <c r="O216" s="1" t="str">
        <f>HYPERLINK(".\sm_car_250503_1632\sm_car_250503_1632_215_Ca189TrN_MaFSH_ode23t_1.png","figure")</f>
        <v>figure</v>
      </c>
      <c r="P216" t="s">
        <v>15</v>
      </c>
    </row>
    <row r="217" spans="1:16" x14ac:dyDescent="0.25">
      <c r="A217">
        <v>216</v>
      </c>
      <c r="B217">
        <v>189</v>
      </c>
      <c r="C217" t="s">
        <v>45</v>
      </c>
      <c r="D217" t="s">
        <v>17</v>
      </c>
      <c r="E217" t="s">
        <v>107</v>
      </c>
      <c r="F217" t="s">
        <v>19</v>
      </c>
      <c r="G217" t="s">
        <v>26</v>
      </c>
      <c r="H217" t="s">
        <v>21</v>
      </c>
      <c r="I217" t="s">
        <v>133</v>
      </c>
      <c r="J217" t="s">
        <v>23</v>
      </c>
      <c r="K217">
        <v>523</v>
      </c>
      <c r="L217" s="4">
        <v>7.5143722999999998</v>
      </c>
      <c r="M217" s="4">
        <v>117.00125527200171</v>
      </c>
      <c r="N217" s="4">
        <v>-9.438669343830199</v>
      </c>
      <c r="O217" s="1" t="str">
        <f>HYPERLINK(".\sm_car_250503_1632\sm_car_250503_1632_216_Ca189TrN_MaSWD_ode23t_1.png","figure")</f>
        <v>figure</v>
      </c>
      <c r="P217" t="s">
        <v>15</v>
      </c>
    </row>
    <row r="218" spans="1:16" x14ac:dyDescent="0.25">
      <c r="A218">
        <v>217</v>
      </c>
      <c r="B218">
        <v>189</v>
      </c>
      <c r="C218" t="s">
        <v>45</v>
      </c>
      <c r="D218" t="s">
        <v>17</v>
      </c>
      <c r="E218" t="s">
        <v>107</v>
      </c>
      <c r="F218" t="s">
        <v>19</v>
      </c>
      <c r="G218" t="s">
        <v>26</v>
      </c>
      <c r="H218" t="s">
        <v>21</v>
      </c>
      <c r="I218" t="s">
        <v>134</v>
      </c>
      <c r="J218" t="s">
        <v>23</v>
      </c>
      <c r="K218">
        <v>533</v>
      </c>
      <c r="L218" s="4">
        <v>8.7544807999999996</v>
      </c>
      <c r="M218" s="4">
        <v>100.62299252191474</v>
      </c>
      <c r="N218" s="4">
        <v>18.075876621534761</v>
      </c>
      <c r="O218" s="1" t="str">
        <f>HYPERLINK(".\sm_car_250503_1632\sm_car_250503_1632_217_Ca189TrN_MaRST_ode23t_1.png","figure")</f>
        <v>figure</v>
      </c>
      <c r="P218" t="s">
        <v>15</v>
      </c>
    </row>
    <row r="219" spans="1:16" x14ac:dyDescent="0.25">
      <c r="A219">
        <v>218</v>
      </c>
      <c r="B219">
        <v>189</v>
      </c>
      <c r="C219" t="s">
        <v>45</v>
      </c>
      <c r="D219" t="s">
        <v>17</v>
      </c>
      <c r="E219" t="s">
        <v>107</v>
      </c>
      <c r="F219" t="s">
        <v>19</v>
      </c>
      <c r="G219" t="s">
        <v>26</v>
      </c>
      <c r="H219" t="s">
        <v>21</v>
      </c>
      <c r="I219" t="s">
        <v>135</v>
      </c>
      <c r="J219" t="s">
        <v>23</v>
      </c>
      <c r="K219">
        <v>613</v>
      </c>
      <c r="L219" s="4">
        <v>17.404365800000001</v>
      </c>
      <c r="M219" s="4">
        <v>230.87665807797896</v>
      </c>
      <c r="N219" s="4">
        <v>6.3368374894767959E-2</v>
      </c>
      <c r="O219" s="1" t="str">
        <f>HYPERLINK(".\sm_car_250503_1632\sm_car_250503_1632_218_Ca189TrN_MaSLA_ode23t_1.png","figure")</f>
        <v>figure</v>
      </c>
      <c r="P219" t="s">
        <v>15</v>
      </c>
    </row>
    <row r="220" spans="1:16" x14ac:dyDescent="0.25">
      <c r="A220">
        <v>219</v>
      </c>
      <c r="B220">
        <v>218</v>
      </c>
      <c r="C220" t="s">
        <v>16</v>
      </c>
      <c r="D220" t="s">
        <v>128</v>
      </c>
      <c r="E220" t="s">
        <v>107</v>
      </c>
      <c r="F220" t="s">
        <v>19</v>
      </c>
      <c r="G220" t="s">
        <v>26</v>
      </c>
      <c r="H220" t="s">
        <v>21</v>
      </c>
      <c r="I220" t="s">
        <v>132</v>
      </c>
      <c r="J220" t="s">
        <v>23</v>
      </c>
      <c r="K220">
        <v>690</v>
      </c>
      <c r="L220" s="4">
        <v>6.8178193</v>
      </c>
      <c r="M220" s="4">
        <v>90.641830934891075</v>
      </c>
      <c r="N220" s="4">
        <v>-21.971635867497127</v>
      </c>
      <c r="O220" s="1" t="str">
        <f>HYPERLINK(".\sm_car_250503_1632\sm_car_250503_1632_219_Ca218TrN_MaFSH_ode23t_1.png","figure")</f>
        <v>figure</v>
      </c>
      <c r="P220" t="s">
        <v>15</v>
      </c>
    </row>
    <row r="221" spans="1:16" x14ac:dyDescent="0.25">
      <c r="A221">
        <v>220</v>
      </c>
      <c r="B221">
        <v>218</v>
      </c>
      <c r="C221" t="s">
        <v>16</v>
      </c>
      <c r="D221" t="s">
        <v>128</v>
      </c>
      <c r="E221" t="s">
        <v>107</v>
      </c>
      <c r="F221" t="s">
        <v>19</v>
      </c>
      <c r="G221" t="s">
        <v>26</v>
      </c>
      <c r="H221" t="s">
        <v>21</v>
      </c>
      <c r="I221" t="s">
        <v>133</v>
      </c>
      <c r="J221" t="s">
        <v>23</v>
      </c>
      <c r="K221">
        <v>544</v>
      </c>
      <c r="L221" s="4">
        <v>5.4422297999999998</v>
      </c>
      <c r="M221" s="4">
        <v>125.30837008357278</v>
      </c>
      <c r="N221" s="4">
        <v>-8.5978092921486002</v>
      </c>
      <c r="O221" s="1" t="str">
        <f>HYPERLINK(".\sm_car_250503_1632\sm_car_250503_1632_220_Ca218TrN_MaSWD_ode23t_1.png","figure")</f>
        <v>figure</v>
      </c>
      <c r="P221" t="s">
        <v>15</v>
      </c>
    </row>
    <row r="222" spans="1:16" x14ac:dyDescent="0.25">
      <c r="A222">
        <v>221</v>
      </c>
      <c r="B222">
        <v>218</v>
      </c>
      <c r="C222" t="s">
        <v>16</v>
      </c>
      <c r="D222" t="s">
        <v>128</v>
      </c>
      <c r="E222" t="s">
        <v>107</v>
      </c>
      <c r="F222" t="s">
        <v>19</v>
      </c>
      <c r="G222" t="s">
        <v>26</v>
      </c>
      <c r="H222" t="s">
        <v>21</v>
      </c>
      <c r="I222" t="s">
        <v>134</v>
      </c>
      <c r="J222" t="s">
        <v>23</v>
      </c>
      <c r="K222">
        <v>475</v>
      </c>
      <c r="L222" s="4">
        <v>5.4166523</v>
      </c>
      <c r="M222" s="4">
        <v>90.663316867287875</v>
      </c>
      <c r="N222" s="4">
        <v>28.881692901821264</v>
      </c>
      <c r="O222" s="1" t="str">
        <f>HYPERLINK(".\sm_car_250503_1632\sm_car_250503_1632_221_Ca218TrN_MaRST_ode23t_1.png","figure")</f>
        <v>figure</v>
      </c>
      <c r="P222" t="s">
        <v>15</v>
      </c>
    </row>
    <row r="223" spans="1:16" x14ac:dyDescent="0.25">
      <c r="A223">
        <v>222</v>
      </c>
      <c r="B223">
        <v>218</v>
      </c>
      <c r="C223" t="s">
        <v>16</v>
      </c>
      <c r="D223" t="s">
        <v>128</v>
      </c>
      <c r="E223" t="s">
        <v>107</v>
      </c>
      <c r="F223" t="s">
        <v>19</v>
      </c>
      <c r="G223" t="s">
        <v>26</v>
      </c>
      <c r="H223" t="s">
        <v>21</v>
      </c>
      <c r="I223" t="s">
        <v>135</v>
      </c>
      <c r="J223" t="s">
        <v>23</v>
      </c>
      <c r="K223">
        <v>559</v>
      </c>
      <c r="L223" s="4">
        <v>9.9650616000000003</v>
      </c>
      <c r="M223" s="4">
        <v>230.18332552124383</v>
      </c>
      <c r="N223" s="4">
        <v>6.675205596558971E-2</v>
      </c>
      <c r="O223" s="1" t="str">
        <f>HYPERLINK(".\sm_car_250503_1632\sm_car_250503_1632_222_Ca218TrN_MaSLA_ode23t_1.png","figure")</f>
        <v>figure</v>
      </c>
      <c r="P223" t="s">
        <v>15</v>
      </c>
    </row>
    <row r="224" spans="1:16" x14ac:dyDescent="0.25">
      <c r="A224">
        <v>223</v>
      </c>
      <c r="B224">
        <v>156</v>
      </c>
      <c r="C224" t="s">
        <v>45</v>
      </c>
      <c r="D224" t="s">
        <v>17</v>
      </c>
      <c r="E224" t="s">
        <v>18</v>
      </c>
      <c r="F224" t="s">
        <v>19</v>
      </c>
      <c r="G224" t="s">
        <v>38</v>
      </c>
      <c r="H224" t="s">
        <v>21</v>
      </c>
      <c r="I224" t="s">
        <v>54</v>
      </c>
      <c r="J224" t="s">
        <v>23</v>
      </c>
      <c r="K224">
        <v>26357</v>
      </c>
      <c r="L224" s="4">
        <v>385.36266019999999</v>
      </c>
      <c r="M224" s="4">
        <v>19.356646389482961</v>
      </c>
      <c r="N224" s="4">
        <v>2.6669953109578293</v>
      </c>
      <c r="O224" s="1" t="str">
        <f>HYPERLINK(".\sm_car_250503_1632\sm_car_250503_1632_223_Ca156TrN_MaIPA_ode23t.png","figure")</f>
        <v>figure</v>
      </c>
      <c r="P224" t="s">
        <v>15</v>
      </c>
    </row>
    <row r="225" spans="1:16" x14ac:dyDescent="0.25">
      <c r="A225">
        <v>224</v>
      </c>
      <c r="B225">
        <v>130</v>
      </c>
      <c r="C225" t="s">
        <v>16</v>
      </c>
      <c r="D225" t="s">
        <v>17</v>
      </c>
      <c r="E225" t="s">
        <v>18</v>
      </c>
      <c r="F225" t="s">
        <v>19</v>
      </c>
      <c r="G225" t="s">
        <v>38</v>
      </c>
      <c r="H225" t="s">
        <v>21</v>
      </c>
      <c r="I225" t="s">
        <v>54</v>
      </c>
      <c r="J225" t="s">
        <v>23</v>
      </c>
      <c r="K225">
        <v>18395</v>
      </c>
      <c r="L225" s="4">
        <v>302.87326719999999</v>
      </c>
      <c r="M225" s="4">
        <v>16.390773565350329</v>
      </c>
      <c r="N225" s="4">
        <v>0.56725873382710035</v>
      </c>
      <c r="O225" s="1" t="str">
        <f>HYPERLINK(".\sm_car_250503_1632\sm_car_250503_1632_224_Ca130TrN_MaIPA_ode23t.png","figure")</f>
        <v>figure</v>
      </c>
      <c r="P225" t="s">
        <v>15</v>
      </c>
    </row>
    <row r="226" spans="1:16" x14ac:dyDescent="0.25">
      <c r="A226">
        <v>225</v>
      </c>
      <c r="B226">
        <v>171</v>
      </c>
      <c r="C226" t="s">
        <v>45</v>
      </c>
      <c r="D226" t="s">
        <v>17</v>
      </c>
      <c r="E226" t="s">
        <v>72</v>
      </c>
      <c r="F226" t="s">
        <v>19</v>
      </c>
      <c r="G226" t="s">
        <v>26</v>
      </c>
      <c r="H226" t="s">
        <v>21</v>
      </c>
      <c r="I226" t="s">
        <v>73</v>
      </c>
      <c r="J226" t="s">
        <v>23</v>
      </c>
      <c r="K226">
        <v>1387</v>
      </c>
      <c r="L226" s="4">
        <v>26.225354899999999</v>
      </c>
      <c r="M226" s="4">
        <v>338.81545524911326</v>
      </c>
      <c r="N226" s="4">
        <v>0.68105656685784255</v>
      </c>
      <c r="O226" s="1" t="str">
        <f>HYPERLINK(".\sm_car_250503_1632\sm_car_250503_1632_225_Ca171TrN_MaRDP_ode23t_1.png","figure")</f>
        <v>figure</v>
      </c>
      <c r="P226" t="s">
        <v>15</v>
      </c>
    </row>
    <row r="227" spans="1:16" x14ac:dyDescent="0.25">
      <c r="A227">
        <v>226</v>
      </c>
      <c r="B227">
        <v>172</v>
      </c>
      <c r="C227" t="s">
        <v>46</v>
      </c>
      <c r="D227" t="s">
        <v>17</v>
      </c>
      <c r="E227" t="s">
        <v>72</v>
      </c>
      <c r="F227" t="s">
        <v>19</v>
      </c>
      <c r="G227" t="s">
        <v>26</v>
      </c>
      <c r="H227" t="s">
        <v>21</v>
      </c>
      <c r="I227" t="s">
        <v>73</v>
      </c>
      <c r="J227" t="s">
        <v>23</v>
      </c>
      <c r="K227">
        <v>1239</v>
      </c>
      <c r="L227" s="4">
        <v>14.1527209</v>
      </c>
      <c r="M227" s="4">
        <v>137.31324907911886</v>
      </c>
      <c r="N227" s="4">
        <v>3.6867395266246723E-2</v>
      </c>
      <c r="O227" s="1" t="str">
        <f>HYPERLINK(".\sm_car_250503_1632\sm_car_250503_1632_226_Ca172TrN_MaRDP_ode23t_1.png","figure")</f>
        <v>figure</v>
      </c>
      <c r="P227" t="s">
        <v>15</v>
      </c>
    </row>
    <row r="228" spans="1:16" x14ac:dyDescent="0.25">
      <c r="A228">
        <v>227</v>
      </c>
      <c r="B228">
        <v>139</v>
      </c>
      <c r="C228" t="s">
        <v>45</v>
      </c>
      <c r="D228" t="s">
        <v>17</v>
      </c>
      <c r="E228" t="s">
        <v>18</v>
      </c>
      <c r="F228" t="s">
        <v>19</v>
      </c>
      <c r="G228" t="s">
        <v>26</v>
      </c>
      <c r="H228" t="s">
        <v>21</v>
      </c>
      <c r="I228" t="s">
        <v>74</v>
      </c>
      <c r="J228" t="s">
        <v>23</v>
      </c>
      <c r="K228">
        <v>1475</v>
      </c>
      <c r="L228" s="4">
        <v>22.5788206</v>
      </c>
      <c r="M228" s="4">
        <v>364.22650479231856</v>
      </c>
      <c r="N228" s="4">
        <v>0.78410016515575798</v>
      </c>
      <c r="O228" s="1" t="str">
        <f>HYPERLINK(".\sm_car_250503_1632\sm_car_250503_1632_227_Ca139TrN_MaZPL_ode23t_1.png","figure")</f>
        <v>figure</v>
      </c>
      <c r="P228" t="s">
        <v>15</v>
      </c>
    </row>
    <row r="229" spans="1:16" x14ac:dyDescent="0.25">
      <c r="A229">
        <v>228</v>
      </c>
      <c r="B229">
        <v>165</v>
      </c>
      <c r="C229" t="s">
        <v>45</v>
      </c>
      <c r="D229" t="s">
        <v>35</v>
      </c>
      <c r="E229" t="s">
        <v>49</v>
      </c>
      <c r="F229" t="s">
        <v>19</v>
      </c>
      <c r="G229" t="s">
        <v>26</v>
      </c>
      <c r="H229" t="s">
        <v>21</v>
      </c>
      <c r="I229" t="s">
        <v>74</v>
      </c>
      <c r="J229" t="s">
        <v>23</v>
      </c>
      <c r="K229">
        <v>2106</v>
      </c>
      <c r="L229" s="4">
        <v>12.0267684</v>
      </c>
      <c r="M229" s="4">
        <v>397.64771682496013</v>
      </c>
      <c r="N229" s="4">
        <v>0.3400216962204774</v>
      </c>
      <c r="O229" s="1" t="str">
        <f>HYPERLINK(".\sm_car_250503_1632\sm_car_250503_1632_228_Ca165TrN_MaZPL_ode23t_1.png","figure")</f>
        <v>figure</v>
      </c>
      <c r="P229" t="s">
        <v>15</v>
      </c>
    </row>
    <row r="230" spans="1:16" x14ac:dyDescent="0.25">
      <c r="A230">
        <v>229</v>
      </c>
      <c r="B230">
        <v>171</v>
      </c>
      <c r="C230" t="s">
        <v>45</v>
      </c>
      <c r="D230" t="s">
        <v>17</v>
      </c>
      <c r="E230" t="s">
        <v>72</v>
      </c>
      <c r="F230" t="s">
        <v>19</v>
      </c>
      <c r="G230" t="s">
        <v>26</v>
      </c>
      <c r="H230" t="s">
        <v>21</v>
      </c>
      <c r="I230" t="s">
        <v>74</v>
      </c>
      <c r="J230" t="s">
        <v>23</v>
      </c>
      <c r="K230">
        <v>1476</v>
      </c>
      <c r="L230" s="4">
        <v>29.357360100000001</v>
      </c>
      <c r="M230" s="4">
        <v>364.35906942954853</v>
      </c>
      <c r="N230" s="4">
        <v>0.75753925913757014</v>
      </c>
      <c r="O230" s="1" t="str">
        <f>HYPERLINK(".\sm_car_250503_1632\sm_car_250503_1632_229_Ca171TrN_MaZPL_ode23t_1.png","figure")</f>
        <v>figure</v>
      </c>
      <c r="P230" t="s">
        <v>15</v>
      </c>
    </row>
    <row r="231" spans="1:16" x14ac:dyDescent="0.25">
      <c r="A231">
        <v>230</v>
      </c>
      <c r="B231">
        <v>165</v>
      </c>
      <c r="C231" t="s">
        <v>45</v>
      </c>
      <c r="D231" t="s">
        <v>35</v>
      </c>
      <c r="E231" t="s">
        <v>49</v>
      </c>
      <c r="F231" t="s">
        <v>19</v>
      </c>
      <c r="G231" t="s">
        <v>26</v>
      </c>
      <c r="H231" t="s">
        <v>21</v>
      </c>
      <c r="I231" t="s">
        <v>75</v>
      </c>
      <c r="J231" t="s">
        <v>23</v>
      </c>
      <c r="K231">
        <v>509</v>
      </c>
      <c r="L231" s="4">
        <v>6.5232302999999998</v>
      </c>
      <c r="M231" s="4">
        <v>378.20433592285201</v>
      </c>
      <c r="N231" s="4">
        <v>0.32692316399776777</v>
      </c>
      <c r="O231" s="1" t="str">
        <f>HYPERLINK(".\sm_car_250503_1632\sm_car_250503_1632_230_Ca165TrN_MaCPL_ode23t_1.png","figure")</f>
        <v>figure</v>
      </c>
      <c r="P231" t="s">
        <v>15</v>
      </c>
    </row>
    <row r="232" spans="1:16" x14ac:dyDescent="0.25">
      <c r="A232">
        <v>231</v>
      </c>
      <c r="B232">
        <v>170</v>
      </c>
      <c r="C232" t="s">
        <v>45</v>
      </c>
      <c r="D232" t="s">
        <v>35</v>
      </c>
      <c r="E232" t="s">
        <v>49</v>
      </c>
      <c r="F232" t="s">
        <v>19</v>
      </c>
      <c r="G232" t="s">
        <v>20</v>
      </c>
      <c r="H232" t="s">
        <v>21</v>
      </c>
      <c r="I232" t="s">
        <v>75</v>
      </c>
      <c r="J232" t="s">
        <v>23</v>
      </c>
      <c r="K232">
        <v>474</v>
      </c>
      <c r="L232" s="4">
        <v>4.1050459000000004</v>
      </c>
      <c r="M232" s="4">
        <v>381.1987173623549</v>
      </c>
      <c r="N232" s="4">
        <v>0.33351454292889898</v>
      </c>
      <c r="O232" s="1" t="str">
        <f>HYPERLINK(".\sm_car_250503_1632\sm_car_250503_1632_231_Ca170TrN_MaCPL_ode23t_1.png","figure")</f>
        <v>figure</v>
      </c>
      <c r="P232" t="s">
        <v>15</v>
      </c>
    </row>
    <row r="233" spans="1:16" x14ac:dyDescent="0.25">
      <c r="A233">
        <v>232</v>
      </c>
      <c r="B233">
        <v>171</v>
      </c>
      <c r="C233" t="s">
        <v>45</v>
      </c>
      <c r="D233" t="s">
        <v>17</v>
      </c>
      <c r="E233" t="s">
        <v>72</v>
      </c>
      <c r="F233" t="s">
        <v>19</v>
      </c>
      <c r="G233" t="s">
        <v>26</v>
      </c>
      <c r="H233" t="s">
        <v>21</v>
      </c>
      <c r="I233" t="s">
        <v>76</v>
      </c>
      <c r="J233" t="s">
        <v>23</v>
      </c>
      <c r="K233">
        <v>2475</v>
      </c>
      <c r="L233" s="4">
        <v>46.410498099999998</v>
      </c>
      <c r="M233" s="4">
        <v>152.36982736516714</v>
      </c>
      <c r="N233" s="4">
        <v>1.9234925243554822E-3</v>
      </c>
      <c r="O233" s="1" t="str">
        <f>HYPERLINK(".\sm_car_250503_1632\sm_car_250503_1632_232_Ca171TrN_MaRDR_ode23t_1.png","figure")</f>
        <v>figure</v>
      </c>
      <c r="P233" t="s">
        <v>15</v>
      </c>
    </row>
    <row r="234" spans="1:16" x14ac:dyDescent="0.25">
      <c r="A234">
        <v>233</v>
      </c>
      <c r="B234">
        <v>172</v>
      </c>
      <c r="C234" t="s">
        <v>46</v>
      </c>
      <c r="D234" t="s">
        <v>17</v>
      </c>
      <c r="E234" t="s">
        <v>72</v>
      </c>
      <c r="F234" t="s">
        <v>19</v>
      </c>
      <c r="G234" t="s">
        <v>26</v>
      </c>
      <c r="H234" t="s">
        <v>21</v>
      </c>
      <c r="I234" t="s">
        <v>76</v>
      </c>
      <c r="J234" t="s">
        <v>23</v>
      </c>
      <c r="K234">
        <v>2936</v>
      </c>
      <c r="L234" s="4">
        <v>30.201101000000001</v>
      </c>
      <c r="M234" s="4">
        <v>146.50410155745448</v>
      </c>
      <c r="N234" s="4">
        <v>-4.8567005301448788E-3</v>
      </c>
      <c r="O234" s="1" t="str">
        <f>HYPERLINK(".\sm_car_250503_1632\sm_car_250503_1632_233_Ca172TrN_MaRDR_ode23t_1.png","figure")</f>
        <v>figure</v>
      </c>
      <c r="P234" t="s">
        <v>15</v>
      </c>
    </row>
    <row r="235" spans="1:16" x14ac:dyDescent="0.25">
      <c r="A235">
        <v>234</v>
      </c>
      <c r="B235">
        <v>139</v>
      </c>
      <c r="C235" t="s">
        <v>45</v>
      </c>
      <c r="D235" t="s">
        <v>17</v>
      </c>
      <c r="E235" t="s">
        <v>18</v>
      </c>
      <c r="F235" t="s">
        <v>19</v>
      </c>
      <c r="G235" t="s">
        <v>26</v>
      </c>
      <c r="H235" t="s">
        <v>21</v>
      </c>
      <c r="I235" t="s">
        <v>77</v>
      </c>
      <c r="J235" t="s">
        <v>23</v>
      </c>
      <c r="K235">
        <v>2984</v>
      </c>
      <c r="L235" s="4">
        <v>37.211572199999999</v>
      </c>
      <c r="M235" s="4">
        <v>176.47237516986993</v>
      </c>
      <c r="N235" s="4">
        <v>8.6090734138522993E-4</v>
      </c>
      <c r="O235" s="1" t="str">
        <f>HYPERLINK(".\sm_car_250503_1632\sm_car_250503_1632_234_Ca139TrN_MaZRR_ode23t_1.png","figure")</f>
        <v>figure</v>
      </c>
      <c r="P235" t="s">
        <v>15</v>
      </c>
    </row>
    <row r="236" spans="1:16" x14ac:dyDescent="0.25">
      <c r="A236">
        <v>235</v>
      </c>
      <c r="B236">
        <v>165</v>
      </c>
      <c r="C236" t="s">
        <v>45</v>
      </c>
      <c r="D236" t="s">
        <v>35</v>
      </c>
      <c r="E236" t="s">
        <v>49</v>
      </c>
      <c r="F236" t="s">
        <v>19</v>
      </c>
      <c r="G236" t="s">
        <v>26</v>
      </c>
      <c r="H236" t="s">
        <v>21</v>
      </c>
      <c r="I236" t="s">
        <v>77</v>
      </c>
      <c r="J236" t="s">
        <v>23</v>
      </c>
      <c r="K236">
        <v>3570</v>
      </c>
      <c r="L236" s="4">
        <v>22.860734399999998</v>
      </c>
      <c r="M236" s="4">
        <v>176.80606708439575</v>
      </c>
      <c r="N236" s="4">
        <v>8.3123283711187285E-5</v>
      </c>
      <c r="O236" s="1" t="str">
        <f>HYPERLINK(".\sm_car_250503_1632\sm_car_250503_1632_235_Ca165TrN_MaZRR_ode23t_1.png","figure")</f>
        <v>figure</v>
      </c>
      <c r="P236" t="s">
        <v>15</v>
      </c>
    </row>
    <row r="237" spans="1:16" x14ac:dyDescent="0.25">
      <c r="A237">
        <v>236</v>
      </c>
      <c r="B237">
        <v>171</v>
      </c>
      <c r="C237" t="s">
        <v>45</v>
      </c>
      <c r="D237" t="s">
        <v>17</v>
      </c>
      <c r="E237" t="s">
        <v>72</v>
      </c>
      <c r="F237" t="s">
        <v>19</v>
      </c>
      <c r="G237" t="s">
        <v>26</v>
      </c>
      <c r="H237" t="s">
        <v>21</v>
      </c>
      <c r="I237" t="s">
        <v>77</v>
      </c>
      <c r="J237" t="s">
        <v>23</v>
      </c>
      <c r="K237">
        <v>3006</v>
      </c>
      <c r="L237" s="4">
        <v>60.011985199999998</v>
      </c>
      <c r="M237" s="4">
        <v>176.48611211957277</v>
      </c>
      <c r="N237" s="4">
        <v>8.6256038801127931E-4</v>
      </c>
      <c r="O237" s="1" t="str">
        <f>HYPERLINK(".\sm_car_250503_1632\sm_car_250503_1632_236_Ca171TrN_MaZRR_ode23t_1.png","figure")</f>
        <v>figure</v>
      </c>
      <c r="P237" t="s">
        <v>15</v>
      </c>
    </row>
    <row r="238" spans="1:16" x14ac:dyDescent="0.25">
      <c r="A238">
        <v>237</v>
      </c>
      <c r="B238">
        <v>170</v>
      </c>
      <c r="C238" t="s">
        <v>45</v>
      </c>
      <c r="D238" t="s">
        <v>35</v>
      </c>
      <c r="E238" t="s">
        <v>49</v>
      </c>
      <c r="F238" t="s">
        <v>19</v>
      </c>
      <c r="G238" t="s">
        <v>20</v>
      </c>
      <c r="H238" t="s">
        <v>21</v>
      </c>
      <c r="I238" t="s">
        <v>78</v>
      </c>
      <c r="J238" t="s">
        <v>23</v>
      </c>
      <c r="K238">
        <v>5219</v>
      </c>
      <c r="L238" s="4">
        <v>20.444588799999998</v>
      </c>
      <c r="M238" s="4">
        <v>-5.9990071295990282</v>
      </c>
      <c r="N238" s="4">
        <v>2.9375716146129581E-3</v>
      </c>
      <c r="O238" s="1" t="str">
        <f>HYPERLINK(".\sm_car_250503_1632\sm_car_250503_1632_237_Ca170TrN_MaCMP_ode23t_1.png","figure")</f>
        <v>figure</v>
      </c>
      <c r="P238" t="s">
        <v>15</v>
      </c>
    </row>
    <row r="239" spans="1:16" x14ac:dyDescent="0.25">
      <c r="A239">
        <v>238</v>
      </c>
      <c r="B239">
        <v>170</v>
      </c>
      <c r="C239" t="s">
        <v>45</v>
      </c>
      <c r="D239" t="s">
        <v>35</v>
      </c>
      <c r="E239" t="s">
        <v>49</v>
      </c>
      <c r="F239" t="s">
        <v>19</v>
      </c>
      <c r="G239" t="s">
        <v>20</v>
      </c>
      <c r="H239" t="s">
        <v>21</v>
      </c>
      <c r="I239" t="s">
        <v>79</v>
      </c>
      <c r="J239" t="s">
        <v>23</v>
      </c>
      <c r="K239">
        <v>1809</v>
      </c>
      <c r="L239" s="4">
        <v>15.149236</v>
      </c>
      <c r="M239" s="4">
        <v>-5.9781130536856351</v>
      </c>
      <c r="N239" s="4">
        <v>2.8189214150916788E-3</v>
      </c>
      <c r="O239" s="1" t="str">
        <f>HYPERLINK(".\sm_car_250503_1632\sm_car_250503_1632_238_Ca170TrN_MaCMF_ode23t_1.png","figure")</f>
        <v>figure</v>
      </c>
      <c r="P239" t="s">
        <v>15</v>
      </c>
    </row>
    <row r="240" spans="1:16" x14ac:dyDescent="0.25">
      <c r="A240">
        <v>239</v>
      </c>
      <c r="B240">
        <v>170</v>
      </c>
      <c r="C240" t="s">
        <v>45</v>
      </c>
      <c r="D240" t="s">
        <v>35</v>
      </c>
      <c r="E240" t="s">
        <v>49</v>
      </c>
      <c r="F240" t="s">
        <v>19</v>
      </c>
      <c r="G240" t="s">
        <v>20</v>
      </c>
      <c r="H240" t="s">
        <v>21</v>
      </c>
      <c r="I240" t="s">
        <v>80</v>
      </c>
      <c r="J240" t="s">
        <v>23</v>
      </c>
      <c r="K240">
        <v>4606</v>
      </c>
      <c r="L240" s="4">
        <v>41.679673399999999</v>
      </c>
      <c r="M240" s="4">
        <v>-329.50679124413062</v>
      </c>
      <c r="N240" s="4">
        <v>6.055654003593979</v>
      </c>
      <c r="O240" s="1" t="str">
        <f>HYPERLINK(".\sm_car_250503_1632\sm_car_250503_1632_239_Ca170TrN_MaMPO_ode23t_1.png","figure")</f>
        <v>figure</v>
      </c>
      <c r="P240" t="s">
        <v>15</v>
      </c>
    </row>
    <row r="241" spans="1:16" x14ac:dyDescent="0.25">
      <c r="A241">
        <v>240</v>
      </c>
      <c r="B241">
        <v>170</v>
      </c>
      <c r="C241" t="s">
        <v>45</v>
      </c>
      <c r="D241" t="s">
        <v>35</v>
      </c>
      <c r="E241" t="s">
        <v>49</v>
      </c>
      <c r="F241" t="s">
        <v>19</v>
      </c>
      <c r="G241" t="s">
        <v>20</v>
      </c>
      <c r="H241" t="s">
        <v>21</v>
      </c>
      <c r="I241" t="s">
        <v>81</v>
      </c>
      <c r="J241" t="s">
        <v>23</v>
      </c>
      <c r="K241">
        <v>1211</v>
      </c>
      <c r="L241" s="4">
        <v>11.8948172</v>
      </c>
      <c r="M241" s="4">
        <v>-13.899086805952443</v>
      </c>
      <c r="N241" s="4">
        <v>0.20667815209390028</v>
      </c>
      <c r="O241" s="1" t="str">
        <f>HYPERLINK(".\sm_car_250503_1632\sm_car_250503_1632_240_Ca170TrN_MaMCI_ode23t_1.png","figure")</f>
        <v>figure</v>
      </c>
      <c r="P241" t="s">
        <v>15</v>
      </c>
    </row>
    <row r="242" spans="1:16" x14ac:dyDescent="0.25">
      <c r="A242">
        <v>241</v>
      </c>
      <c r="B242">
        <v>170</v>
      </c>
      <c r="C242" t="s">
        <v>45</v>
      </c>
      <c r="D242" t="s">
        <v>35</v>
      </c>
      <c r="E242" t="s">
        <v>49</v>
      </c>
      <c r="F242" t="s">
        <v>19</v>
      </c>
      <c r="G242" t="s">
        <v>20</v>
      </c>
      <c r="H242" t="s">
        <v>21</v>
      </c>
      <c r="I242" t="s">
        <v>110</v>
      </c>
      <c r="J242" t="s">
        <v>23</v>
      </c>
      <c r="K242">
        <v>5701</v>
      </c>
      <c r="L242" s="4">
        <v>19.855062799999999</v>
      </c>
      <c r="M242" s="4">
        <v>-5.999111969048335</v>
      </c>
      <c r="N242" s="4">
        <v>-4.4639256602342888E-3</v>
      </c>
      <c r="O242" s="1" t="str">
        <f>HYPERLINK(".\sm_car_250503_1632\sm_car_250503_1632_241_Ca170TrN_MaCHO_ode23t_1.png","figure")</f>
        <v>figure</v>
      </c>
      <c r="P242" t="s">
        <v>15</v>
      </c>
    </row>
    <row r="243" spans="1:16" x14ac:dyDescent="0.25">
      <c r="A243">
        <v>242</v>
      </c>
      <c r="B243">
        <v>170</v>
      </c>
      <c r="C243" t="s">
        <v>45</v>
      </c>
      <c r="D243" t="s">
        <v>35</v>
      </c>
      <c r="E243" t="s">
        <v>49</v>
      </c>
      <c r="F243" t="s">
        <v>19</v>
      </c>
      <c r="G243" t="s">
        <v>20</v>
      </c>
      <c r="H243" t="s">
        <v>21</v>
      </c>
      <c r="I243" t="s">
        <v>111</v>
      </c>
      <c r="J243" t="s">
        <v>23</v>
      </c>
      <c r="K243">
        <v>3423</v>
      </c>
      <c r="L243" s="4">
        <v>18.5413964</v>
      </c>
      <c r="M243" s="4">
        <v>-5.9999635831155063</v>
      </c>
      <c r="N243" s="4">
        <v>-4.5025169673811203E-3</v>
      </c>
      <c r="O243" s="1" t="str">
        <f>HYPERLINK(".\sm_car_250503_1632\sm_car_250503_1632_242_Ca170TrN_MaCHF_ode23t_1.png","figure")</f>
        <v>figure</v>
      </c>
      <c r="P243" t="s">
        <v>15</v>
      </c>
    </row>
    <row r="244" spans="1:16" x14ac:dyDescent="0.25">
      <c r="A244">
        <v>243</v>
      </c>
      <c r="B244">
        <v>170</v>
      </c>
      <c r="C244" t="s">
        <v>45</v>
      </c>
      <c r="D244" t="s">
        <v>35</v>
      </c>
      <c r="E244" t="s">
        <v>49</v>
      </c>
      <c r="F244" t="s">
        <v>19</v>
      </c>
      <c r="G244" t="s">
        <v>20</v>
      </c>
      <c r="H244" t="s">
        <v>21</v>
      </c>
      <c r="I244" t="s">
        <v>82</v>
      </c>
      <c r="J244" t="s">
        <v>23</v>
      </c>
      <c r="K244">
        <v>7069</v>
      </c>
      <c r="L244" s="4">
        <v>31.553951999999999</v>
      </c>
      <c r="M244" s="4">
        <v>-751.82078154720921</v>
      </c>
      <c r="N244" s="4">
        <v>628.25502445353288</v>
      </c>
      <c r="O244" s="1" t="str">
        <f>HYPERLINK(".\sm_car_250503_1632\sm_car_250503_1632_243_Ca170TrN_MaCKY_ode23t_1.png","figure")</f>
        <v>figure</v>
      </c>
      <c r="P244" t="s">
        <v>15</v>
      </c>
    </row>
    <row r="245" spans="1:16" x14ac:dyDescent="0.25">
      <c r="A245">
        <v>244</v>
      </c>
      <c r="B245">
        <v>170</v>
      </c>
      <c r="C245" t="s">
        <v>45</v>
      </c>
      <c r="D245" t="s">
        <v>35</v>
      </c>
      <c r="E245" t="s">
        <v>49</v>
      </c>
      <c r="F245" t="s">
        <v>19</v>
      </c>
      <c r="G245" t="s">
        <v>20</v>
      </c>
      <c r="H245" t="s">
        <v>21</v>
      </c>
      <c r="I245" t="s">
        <v>83</v>
      </c>
      <c r="J245" t="s">
        <v>23</v>
      </c>
      <c r="K245">
        <v>2148</v>
      </c>
      <c r="L245" s="4">
        <v>15.8815516</v>
      </c>
      <c r="M245" s="4">
        <v>-758.45316485911314</v>
      </c>
      <c r="N245" s="4">
        <v>632.56240370019452</v>
      </c>
      <c r="O245" s="1" t="str">
        <f>HYPERLINK(".\sm_car_250503_1632\sm_car_250503_1632_244_Ca170TrN_MaCKF_ode23t_1.png","figure")</f>
        <v>figure</v>
      </c>
      <c r="P245" t="s">
        <v>15</v>
      </c>
    </row>
    <row r="246" spans="1:16" x14ac:dyDescent="0.25">
      <c r="A246">
        <v>245</v>
      </c>
      <c r="B246">
        <v>170</v>
      </c>
      <c r="C246" t="s">
        <v>45</v>
      </c>
      <c r="D246" t="s">
        <v>35</v>
      </c>
      <c r="E246" t="s">
        <v>49</v>
      </c>
      <c r="F246" t="s">
        <v>19</v>
      </c>
      <c r="G246" t="s">
        <v>20</v>
      </c>
      <c r="H246" t="s">
        <v>21</v>
      </c>
      <c r="I246" t="s">
        <v>84</v>
      </c>
      <c r="J246" t="s">
        <v>23</v>
      </c>
      <c r="K246">
        <v>2679</v>
      </c>
      <c r="L246" s="4">
        <v>17.259984800000002</v>
      </c>
      <c r="M246" s="4">
        <v>177.30500764524388</v>
      </c>
      <c r="N246" s="4">
        <v>288.17136373027853</v>
      </c>
      <c r="O246" s="1" t="str">
        <f>HYPERLINK(".\sm_car_250503_1632\sm_car_250503_1632_245_Ca170TrN_MaCNN_ode23t_1.png","figure")</f>
        <v>figure</v>
      </c>
      <c r="P246" t="s">
        <v>15</v>
      </c>
    </row>
    <row r="247" spans="1:16" x14ac:dyDescent="0.25">
      <c r="A247">
        <v>246</v>
      </c>
      <c r="B247">
        <v>170</v>
      </c>
      <c r="C247" t="s">
        <v>45</v>
      </c>
      <c r="D247" t="s">
        <v>35</v>
      </c>
      <c r="E247" t="s">
        <v>49</v>
      </c>
      <c r="F247" t="s">
        <v>19</v>
      </c>
      <c r="G247" t="s">
        <v>20</v>
      </c>
      <c r="H247" t="s">
        <v>21</v>
      </c>
      <c r="I247" t="s">
        <v>85</v>
      </c>
      <c r="J247" t="s">
        <v>23</v>
      </c>
      <c r="K247">
        <v>4330</v>
      </c>
      <c r="L247" s="4">
        <v>73.75564</v>
      </c>
      <c r="M247" s="4">
        <v>2995.8586260721818</v>
      </c>
      <c r="N247" s="4">
        <v>-3063.9210186679838</v>
      </c>
      <c r="O247" s="1" t="str">
        <f>HYPERLINK(".\sm_car_250503_1632\sm_car_250503_1632_246_Ca170TrN_MaCNF_ode23t_1.png","figure")</f>
        <v>figure</v>
      </c>
      <c r="P247" t="s">
        <v>15</v>
      </c>
    </row>
    <row r="248" spans="1:16" x14ac:dyDescent="0.25">
      <c r="A248">
        <v>247</v>
      </c>
      <c r="B248">
        <v>170</v>
      </c>
      <c r="C248" t="s">
        <v>45</v>
      </c>
      <c r="D248" t="s">
        <v>35</v>
      </c>
      <c r="E248" t="s">
        <v>49</v>
      </c>
      <c r="F248" t="s">
        <v>19</v>
      </c>
      <c r="G248" t="s">
        <v>20</v>
      </c>
      <c r="H248" t="s">
        <v>21</v>
      </c>
      <c r="I248" t="s">
        <v>86</v>
      </c>
      <c r="J248" t="s">
        <v>23</v>
      </c>
      <c r="K248">
        <v>2953</v>
      </c>
      <c r="L248" s="4">
        <v>16.362997700000001</v>
      </c>
      <c r="M248" s="4">
        <v>522.30631863696431</v>
      </c>
      <c r="N248" s="4">
        <v>-164.27228938380458</v>
      </c>
      <c r="O248" s="1" t="str">
        <f>HYPERLINK(".\sm_car_250503_1632\sm_car_250503_1632_247_Ca170TrN_MaCSZ_ode23t_1.png","figure")</f>
        <v>figure</v>
      </c>
      <c r="P248" t="s">
        <v>15</v>
      </c>
    </row>
    <row r="249" spans="1:16" x14ac:dyDescent="0.25">
      <c r="A249">
        <v>248</v>
      </c>
      <c r="B249">
        <v>170</v>
      </c>
      <c r="C249" t="s">
        <v>45</v>
      </c>
      <c r="D249" t="s">
        <v>35</v>
      </c>
      <c r="E249" t="s">
        <v>49</v>
      </c>
      <c r="F249" t="s">
        <v>19</v>
      </c>
      <c r="G249" t="s">
        <v>20</v>
      </c>
      <c r="H249" t="s">
        <v>21</v>
      </c>
      <c r="I249" t="s">
        <v>87</v>
      </c>
      <c r="J249" t="s">
        <v>23</v>
      </c>
      <c r="K249">
        <v>5688</v>
      </c>
      <c r="L249" s="4">
        <v>85.064056399999998</v>
      </c>
      <c r="M249" s="4">
        <v>-8.8841791717704375</v>
      </c>
      <c r="N249" s="4">
        <v>9.2190327082660364E-3</v>
      </c>
      <c r="O249" s="1" t="str">
        <f>HYPERLINK(".\sm_car_250503_1632\sm_car_250503_1632_248_Ca170TrN_MaCSF_ode23t_1.png","figure")</f>
        <v>figure</v>
      </c>
      <c r="P249" t="s">
        <v>15</v>
      </c>
    </row>
    <row r="250" spans="1:16" x14ac:dyDescent="0.25">
      <c r="A250">
        <v>249</v>
      </c>
      <c r="B250">
        <v>170</v>
      </c>
      <c r="C250" t="s">
        <v>45</v>
      </c>
      <c r="D250" t="s">
        <v>35</v>
      </c>
      <c r="E250" t="s">
        <v>49</v>
      </c>
      <c r="F250" t="s">
        <v>19</v>
      </c>
      <c r="G250" t="s">
        <v>20</v>
      </c>
      <c r="H250" t="s">
        <v>21</v>
      </c>
      <c r="I250" t="s">
        <v>88</v>
      </c>
      <c r="J250" t="s">
        <v>23</v>
      </c>
      <c r="K250">
        <v>2214</v>
      </c>
      <c r="L250" s="4">
        <v>17.881036900000002</v>
      </c>
      <c r="M250" s="4">
        <v>208.95251340334531</v>
      </c>
      <c r="N250" s="4">
        <v>379.2073318483782</v>
      </c>
      <c r="O250" s="1" t="str">
        <f>HYPERLINK(".\sm_car_250503_1632\sm_car_250503_1632_249_Ca170TrN_MaCPU_ode23t_1.png","figure")</f>
        <v>figure</v>
      </c>
      <c r="P250" t="s">
        <v>15</v>
      </c>
    </row>
    <row r="251" spans="1:16" x14ac:dyDescent="0.25">
      <c r="A251">
        <v>250</v>
      </c>
      <c r="B251">
        <v>170</v>
      </c>
      <c r="C251" t="s">
        <v>45</v>
      </c>
      <c r="D251" t="s">
        <v>35</v>
      </c>
      <c r="E251" t="s">
        <v>49</v>
      </c>
      <c r="F251" t="s">
        <v>19</v>
      </c>
      <c r="G251" t="s">
        <v>20</v>
      </c>
      <c r="H251" t="s">
        <v>21</v>
      </c>
      <c r="I251" t="s">
        <v>89</v>
      </c>
      <c r="J251" t="s">
        <v>23</v>
      </c>
      <c r="K251">
        <v>2599</v>
      </c>
      <c r="L251" s="4">
        <v>19.3007995</v>
      </c>
      <c r="M251" s="4">
        <v>183.04709359854655</v>
      </c>
      <c r="N251" s="4">
        <v>-170.2199841672882</v>
      </c>
      <c r="O251" s="1" t="str">
        <f>HYPERLINK(".\sm_car_250503_1632\sm_car_250503_1632_250_Ca170TrN_MaCPD_ode23t_1.png","figure")</f>
        <v>figure</v>
      </c>
      <c r="P251" t="s">
        <v>15</v>
      </c>
    </row>
    <row r="252" spans="1:16" x14ac:dyDescent="0.25">
      <c r="A252">
        <v>251</v>
      </c>
      <c r="B252">
        <v>202</v>
      </c>
      <c r="C252" t="s">
        <v>45</v>
      </c>
      <c r="D252" t="s">
        <v>35</v>
      </c>
      <c r="E252" t="s">
        <v>107</v>
      </c>
      <c r="F252" t="s">
        <v>19</v>
      </c>
      <c r="G252" t="s">
        <v>20</v>
      </c>
      <c r="H252" t="s">
        <v>21</v>
      </c>
      <c r="I252" t="s">
        <v>79</v>
      </c>
      <c r="J252" t="s">
        <v>23</v>
      </c>
      <c r="K252">
        <v>1849</v>
      </c>
      <c r="L252" s="4">
        <v>4.8300834999999998</v>
      </c>
      <c r="M252" s="4">
        <v>-5.9999654772811111</v>
      </c>
      <c r="N252" s="4">
        <v>2.9823547152813879E-3</v>
      </c>
      <c r="O252" s="1" t="str">
        <f>HYPERLINK(".\sm_car_250503_1632\sm_car_250503_1632_251_Ca202TrN_MaCMF_ode23t_1.png","figure")</f>
        <v>figure</v>
      </c>
      <c r="P252" t="s">
        <v>15</v>
      </c>
    </row>
    <row r="253" spans="1:16" x14ac:dyDescent="0.25">
      <c r="A253">
        <v>252</v>
      </c>
      <c r="B253">
        <v>202</v>
      </c>
      <c r="C253" t="s">
        <v>45</v>
      </c>
      <c r="D253" t="s">
        <v>35</v>
      </c>
      <c r="E253" t="s">
        <v>107</v>
      </c>
      <c r="F253" t="s">
        <v>19</v>
      </c>
      <c r="G253" t="s">
        <v>20</v>
      </c>
      <c r="H253" t="s">
        <v>21</v>
      </c>
      <c r="I253" t="s">
        <v>80</v>
      </c>
      <c r="J253" t="s">
        <v>23</v>
      </c>
      <c r="K253">
        <v>4513</v>
      </c>
      <c r="L253" s="4">
        <v>24.721373499999999</v>
      </c>
      <c r="M253" s="4">
        <v>-329.50855313672577</v>
      </c>
      <c r="N253" s="4">
        <v>6.059689247832293</v>
      </c>
      <c r="O253" s="1" t="str">
        <f>HYPERLINK(".\sm_car_250503_1632\sm_car_250503_1632_252_Ca202TrN_MaMPO_ode23t_1.png","figure")</f>
        <v>figure</v>
      </c>
      <c r="P253" t="s">
        <v>15</v>
      </c>
    </row>
    <row r="254" spans="1:16" x14ac:dyDescent="0.25">
      <c r="A254">
        <v>253</v>
      </c>
      <c r="B254">
        <v>202</v>
      </c>
      <c r="C254" t="s">
        <v>45</v>
      </c>
      <c r="D254" t="s">
        <v>35</v>
      </c>
      <c r="E254" t="s">
        <v>107</v>
      </c>
      <c r="F254" t="s">
        <v>19</v>
      </c>
      <c r="G254" t="s">
        <v>20</v>
      </c>
      <c r="H254" t="s">
        <v>21</v>
      </c>
      <c r="I254" t="s">
        <v>81</v>
      </c>
      <c r="J254" t="s">
        <v>23</v>
      </c>
      <c r="K254">
        <v>1184</v>
      </c>
      <c r="L254" s="4">
        <v>6.4187243</v>
      </c>
      <c r="M254" s="4">
        <v>-13.902034868065151</v>
      </c>
      <c r="N254" s="4">
        <v>0.20507061527806059</v>
      </c>
      <c r="O254" s="1" t="str">
        <f>HYPERLINK(".\sm_car_250503_1632\sm_car_250503_1632_253_Ca202TrN_MaMCI_ode23t_1.png","figure")</f>
        <v>figure</v>
      </c>
      <c r="P254" t="s">
        <v>15</v>
      </c>
    </row>
    <row r="255" spans="1:16" x14ac:dyDescent="0.25">
      <c r="A255">
        <v>254</v>
      </c>
      <c r="B255">
        <v>202</v>
      </c>
      <c r="C255" t="s">
        <v>45</v>
      </c>
      <c r="D255" t="s">
        <v>35</v>
      </c>
      <c r="E255" t="s">
        <v>107</v>
      </c>
      <c r="F255" t="s">
        <v>19</v>
      </c>
      <c r="G255" t="s">
        <v>20</v>
      </c>
      <c r="H255" t="s">
        <v>21</v>
      </c>
      <c r="I255" t="s">
        <v>83</v>
      </c>
      <c r="J255" t="s">
        <v>23</v>
      </c>
      <c r="K255">
        <v>3608</v>
      </c>
      <c r="L255" s="4">
        <v>10.601220100000001</v>
      </c>
      <c r="M255" s="4">
        <v>-5.9987488131149744</v>
      </c>
      <c r="N255" s="4">
        <v>-7.1989356419722324E-3</v>
      </c>
      <c r="O255" s="1" t="str">
        <f>HYPERLINK(".\sm_car_250503_1632\sm_car_250503_1632_254_Ca202TrN_MaCKF_ode23t_1.png","figure")</f>
        <v>figure</v>
      </c>
      <c r="P255" t="s">
        <v>15</v>
      </c>
    </row>
    <row r="256" spans="1:16" x14ac:dyDescent="0.25">
      <c r="A256">
        <v>255</v>
      </c>
      <c r="B256">
        <v>202</v>
      </c>
      <c r="C256" t="s">
        <v>45</v>
      </c>
      <c r="D256" t="s">
        <v>35</v>
      </c>
      <c r="E256" t="s">
        <v>107</v>
      </c>
      <c r="F256" t="s">
        <v>19</v>
      </c>
      <c r="G256" t="s">
        <v>20</v>
      </c>
      <c r="H256" t="s">
        <v>21</v>
      </c>
      <c r="I256" t="s">
        <v>85</v>
      </c>
      <c r="J256" t="s">
        <v>23</v>
      </c>
      <c r="K256">
        <v>10283</v>
      </c>
      <c r="L256" s="4">
        <v>116.72818409999999</v>
      </c>
      <c r="M256" s="4">
        <v>-8.9991478344909162</v>
      </c>
      <c r="N256" s="4">
        <v>4.733066928084359E-2</v>
      </c>
      <c r="O256" s="1" t="str">
        <f>HYPERLINK(".\sm_car_250503_1632\sm_car_250503_1632_255_Ca202TrN_MaCNF_ode23t_1.png","figure")</f>
        <v>figure</v>
      </c>
      <c r="P256" t="s">
        <v>15</v>
      </c>
    </row>
    <row r="257" spans="1:16" x14ac:dyDescent="0.25">
      <c r="A257">
        <v>256</v>
      </c>
      <c r="B257">
        <v>202</v>
      </c>
      <c r="C257" t="s">
        <v>45</v>
      </c>
      <c r="D257" t="s">
        <v>35</v>
      </c>
      <c r="E257" t="s">
        <v>107</v>
      </c>
      <c r="F257" t="s">
        <v>19</v>
      </c>
      <c r="G257" t="s">
        <v>20</v>
      </c>
      <c r="H257" t="s">
        <v>21</v>
      </c>
      <c r="I257" t="s">
        <v>87</v>
      </c>
      <c r="J257" t="s">
        <v>23</v>
      </c>
      <c r="K257">
        <v>5767</v>
      </c>
      <c r="L257" s="4">
        <v>47.172676799999998</v>
      </c>
      <c r="M257" s="4">
        <v>-8.9052489576889329</v>
      </c>
      <c r="N257" s="4">
        <v>9.609351013565727E-3</v>
      </c>
      <c r="O257" s="1" t="str">
        <f>HYPERLINK(".\sm_car_250503_1632\sm_car_250503_1632_256_Ca202TrN_MaCSF_ode23t_1.png","figure")</f>
        <v>figure</v>
      </c>
      <c r="P257" t="s">
        <v>15</v>
      </c>
    </row>
    <row r="258" spans="1:16" x14ac:dyDescent="0.25">
      <c r="A258">
        <v>257</v>
      </c>
      <c r="B258">
        <v>202</v>
      </c>
      <c r="C258" t="s">
        <v>45</v>
      </c>
      <c r="D258" t="s">
        <v>35</v>
      </c>
      <c r="E258" t="s">
        <v>107</v>
      </c>
      <c r="F258" t="s">
        <v>19</v>
      </c>
      <c r="G258" t="s">
        <v>20</v>
      </c>
      <c r="H258" t="s">
        <v>21</v>
      </c>
      <c r="I258" t="s">
        <v>78</v>
      </c>
      <c r="J258" t="s">
        <v>23</v>
      </c>
      <c r="K258">
        <v>5326</v>
      </c>
      <c r="L258" s="4">
        <v>19.5718383</v>
      </c>
      <c r="M258" s="4">
        <v>-5.9996065913102186</v>
      </c>
      <c r="N258" s="4">
        <v>2.8907903182965994E-3</v>
      </c>
      <c r="O258" s="1" t="str">
        <f>HYPERLINK(".\sm_car_250503_1632\sm_car_250503_1632_257_Ca202TrN_MaCMP_ode23t_1.png","figure")</f>
        <v>figure</v>
      </c>
      <c r="P258" t="s">
        <v>15</v>
      </c>
    </row>
    <row r="259" spans="1:16" x14ac:dyDescent="0.25">
      <c r="A259">
        <v>258</v>
      </c>
      <c r="B259">
        <v>202</v>
      </c>
      <c r="C259" t="s">
        <v>45</v>
      </c>
      <c r="D259" t="s">
        <v>35</v>
      </c>
      <c r="E259" t="s">
        <v>107</v>
      </c>
      <c r="F259" t="s">
        <v>19</v>
      </c>
      <c r="G259" t="s">
        <v>20</v>
      </c>
      <c r="H259" t="s">
        <v>21</v>
      </c>
      <c r="I259" t="s">
        <v>82</v>
      </c>
      <c r="J259" t="s">
        <v>23</v>
      </c>
      <c r="K259">
        <v>14963</v>
      </c>
      <c r="L259" s="4">
        <v>59.583906499999998</v>
      </c>
      <c r="M259" s="4">
        <v>-5.9967305687710546</v>
      </c>
      <c r="N259" s="4">
        <v>-8.8954118196430208E-3</v>
      </c>
      <c r="O259" s="1" t="str">
        <f>HYPERLINK(".\sm_car_250503_1632\sm_car_250503_1632_258_Ca202TrN_MaCKY_ode23t_1.png","figure")</f>
        <v>figure</v>
      </c>
      <c r="P259" t="s">
        <v>15</v>
      </c>
    </row>
    <row r="260" spans="1:16" x14ac:dyDescent="0.25">
      <c r="A260">
        <v>259</v>
      </c>
      <c r="B260">
        <v>202</v>
      </c>
      <c r="C260" t="s">
        <v>45</v>
      </c>
      <c r="D260" t="s">
        <v>35</v>
      </c>
      <c r="E260" t="s">
        <v>107</v>
      </c>
      <c r="F260" t="s">
        <v>19</v>
      </c>
      <c r="G260" t="s">
        <v>20</v>
      </c>
      <c r="H260" t="s">
        <v>21</v>
      </c>
      <c r="I260" t="s">
        <v>75</v>
      </c>
      <c r="J260" t="s">
        <v>23</v>
      </c>
      <c r="K260">
        <v>456</v>
      </c>
      <c r="L260" s="4">
        <v>2.6206163</v>
      </c>
      <c r="M260" s="4">
        <v>381.43683873674604</v>
      </c>
      <c r="N260" s="4">
        <v>0.33375163792976725</v>
      </c>
      <c r="O260" s="1" t="str">
        <f>HYPERLINK(".\sm_car_250503_1632\sm_car_250503_1632_259_Ca202TrN_MaCPL_ode23t_1.png","figure")</f>
        <v>figure</v>
      </c>
      <c r="P260" t="s">
        <v>15</v>
      </c>
    </row>
    <row r="261" spans="1:16" x14ac:dyDescent="0.25">
      <c r="A261">
        <v>260</v>
      </c>
      <c r="B261">
        <v>140</v>
      </c>
      <c r="C261" t="s">
        <v>45</v>
      </c>
      <c r="D261" t="s">
        <v>17</v>
      </c>
      <c r="E261" t="s">
        <v>49</v>
      </c>
      <c r="F261" t="s">
        <v>19</v>
      </c>
      <c r="G261" t="s">
        <v>26</v>
      </c>
      <c r="H261" t="s">
        <v>21</v>
      </c>
      <c r="I261" t="s">
        <v>112</v>
      </c>
      <c r="J261" t="s">
        <v>23</v>
      </c>
      <c r="K261">
        <v>2745</v>
      </c>
      <c r="L261" s="4">
        <v>49.0793769</v>
      </c>
      <c r="M261" s="4">
        <v>176.27892715758315</v>
      </c>
      <c r="N261" s="4">
        <v>7.5317091039268881E-4</v>
      </c>
      <c r="O261" s="1" t="str">
        <f>HYPERLINK(".\sm_car_250503_1632\sm_car_250503_1632_260_Ca140TrN_MaCRR_ode23t_1.png","figure")</f>
        <v>figure</v>
      </c>
      <c r="P261" t="s">
        <v>15</v>
      </c>
    </row>
    <row r="262" spans="1:16" x14ac:dyDescent="0.25">
      <c r="A262">
        <v>261</v>
      </c>
      <c r="B262">
        <v>189</v>
      </c>
      <c r="C262" t="s">
        <v>45</v>
      </c>
      <c r="D262" t="s">
        <v>17</v>
      </c>
      <c r="E262" t="s">
        <v>107</v>
      </c>
      <c r="F262" t="s">
        <v>19</v>
      </c>
      <c r="G262" t="s">
        <v>26</v>
      </c>
      <c r="H262" t="s">
        <v>21</v>
      </c>
      <c r="I262" t="s">
        <v>112</v>
      </c>
      <c r="J262" t="s">
        <v>23</v>
      </c>
      <c r="K262">
        <v>3287</v>
      </c>
      <c r="L262" s="4">
        <v>41.214552099999999</v>
      </c>
      <c r="M262" s="4">
        <v>176.34400833875554</v>
      </c>
      <c r="N262" s="4">
        <v>7.8068251831386046E-4</v>
      </c>
      <c r="O262" s="1" t="str">
        <f>HYPERLINK(".\sm_car_250503_1632\sm_car_250503_1632_261_Ca189TrN_MaCRR_ode23t_1.png","figure")</f>
        <v>figure</v>
      </c>
      <c r="P262" t="s">
        <v>15</v>
      </c>
    </row>
    <row r="263" spans="1:16" x14ac:dyDescent="0.25">
      <c r="A263">
        <v>262</v>
      </c>
      <c r="B263">
        <v>173</v>
      </c>
      <c r="C263" t="s">
        <v>45</v>
      </c>
      <c r="D263" t="s">
        <v>35</v>
      </c>
      <c r="E263" t="s">
        <v>49</v>
      </c>
      <c r="F263" t="s">
        <v>19</v>
      </c>
      <c r="G263" t="s">
        <v>90</v>
      </c>
      <c r="H263" t="s">
        <v>21</v>
      </c>
      <c r="I263" t="s">
        <v>91</v>
      </c>
      <c r="J263" t="s">
        <v>92</v>
      </c>
      <c r="K263">
        <v>1472</v>
      </c>
      <c r="L263" s="4">
        <v>52.858612899999997</v>
      </c>
      <c r="M263" s="4">
        <v>51.299369381321469</v>
      </c>
      <c r="N263" s="4">
        <v>9.1527492137067588E-3</v>
      </c>
      <c r="O263" s="1" t="str">
        <f>HYPERLINK(".\sm_car_250503_1632\sm_car_250503_1632_262_Ca173TrN_MaDCA_daessc_1.png","figure")</f>
        <v>figure</v>
      </c>
      <c r="P263" t="s">
        <v>15</v>
      </c>
    </row>
    <row r="264" spans="1:16" x14ac:dyDescent="0.25">
      <c r="A264">
        <v>263</v>
      </c>
      <c r="B264">
        <v>173</v>
      </c>
      <c r="C264" t="s">
        <v>45</v>
      </c>
      <c r="D264" t="s">
        <v>35</v>
      </c>
      <c r="E264" t="s">
        <v>49</v>
      </c>
      <c r="F264" t="s">
        <v>19</v>
      </c>
      <c r="G264" t="s">
        <v>90</v>
      </c>
      <c r="H264" t="s">
        <v>21</v>
      </c>
      <c r="I264" t="s">
        <v>93</v>
      </c>
      <c r="J264" t="s">
        <v>92</v>
      </c>
      <c r="K264">
        <v>3997</v>
      </c>
      <c r="L264" s="4">
        <v>96.598814500000003</v>
      </c>
      <c r="M264" s="4">
        <v>980.46537570659609</v>
      </c>
      <c r="N264" s="4">
        <v>0.7337293830658872</v>
      </c>
      <c r="O264" s="1" t="str">
        <f>HYPERLINK(".\sm_car_250503_1632\sm_car_250503_1632_263_Ca173TrN_MaDC1_daessc_1.png","figure")</f>
        <v>figure</v>
      </c>
      <c r="P264" t="s">
        <v>15</v>
      </c>
    </row>
    <row r="265" spans="1:16" x14ac:dyDescent="0.25">
      <c r="A265">
        <v>264</v>
      </c>
      <c r="B265">
        <v>165</v>
      </c>
      <c r="C265" t="s">
        <v>45</v>
      </c>
      <c r="D265" t="s">
        <v>35</v>
      </c>
      <c r="E265" t="s">
        <v>49</v>
      </c>
      <c r="F265" t="s">
        <v>19</v>
      </c>
      <c r="G265" t="s">
        <v>26</v>
      </c>
      <c r="H265" t="s">
        <v>21</v>
      </c>
      <c r="I265" t="s">
        <v>91</v>
      </c>
      <c r="J265" t="s">
        <v>23</v>
      </c>
      <c r="K265">
        <v>335</v>
      </c>
      <c r="L265" s="4">
        <v>4.4160648</v>
      </c>
      <c r="M265" s="4">
        <v>53.509349591364533</v>
      </c>
      <c r="N265" s="4">
        <v>1.003401341114297E-2</v>
      </c>
      <c r="O265" s="1" t="str">
        <f>HYPERLINK(".\sm_car_250503_1632\sm_car_250503_1632_264_Ca165TrN_MaDCA_ode23t_1.png","figure")</f>
        <v>figure</v>
      </c>
      <c r="P265" t="s">
        <v>15</v>
      </c>
    </row>
    <row r="266" spans="1:16" x14ac:dyDescent="0.25">
      <c r="A266">
        <v>265</v>
      </c>
      <c r="B266">
        <v>165</v>
      </c>
      <c r="C266" t="s">
        <v>45</v>
      </c>
      <c r="D266" t="s">
        <v>35</v>
      </c>
      <c r="E266" t="s">
        <v>49</v>
      </c>
      <c r="F266" t="s">
        <v>19</v>
      </c>
      <c r="G266" t="s">
        <v>26</v>
      </c>
      <c r="H266" t="s">
        <v>21</v>
      </c>
      <c r="I266" t="s">
        <v>93</v>
      </c>
      <c r="J266" t="s">
        <v>23</v>
      </c>
      <c r="K266">
        <v>1203</v>
      </c>
      <c r="L266" s="4">
        <v>9.0540573999999996</v>
      </c>
      <c r="M266" s="4">
        <v>992.65458968959001</v>
      </c>
      <c r="N266" s="4">
        <v>0.79645558458472399</v>
      </c>
      <c r="O266" s="1" t="str">
        <f>HYPERLINK(".\sm_car_250503_1632\sm_car_250503_1632_265_Ca165TrN_MaDC1_ode23t_1.png","figure")</f>
        <v>figure</v>
      </c>
      <c r="P266" t="s">
        <v>15</v>
      </c>
    </row>
    <row r="267" spans="1:16" x14ac:dyDescent="0.25">
      <c r="A267">
        <v>266</v>
      </c>
      <c r="B267">
        <v>196</v>
      </c>
      <c r="C267" t="s">
        <v>45</v>
      </c>
      <c r="D267" t="s">
        <v>35</v>
      </c>
      <c r="E267" t="s">
        <v>107</v>
      </c>
      <c r="F267" t="s">
        <v>19</v>
      </c>
      <c r="G267" t="s">
        <v>90</v>
      </c>
      <c r="H267" t="s">
        <v>21</v>
      </c>
      <c r="I267" t="s">
        <v>93</v>
      </c>
      <c r="J267" t="s">
        <v>92</v>
      </c>
      <c r="K267">
        <v>4012</v>
      </c>
      <c r="L267" s="4">
        <v>53.312482000000003</v>
      </c>
      <c r="M267" s="4">
        <v>980.46445605978158</v>
      </c>
      <c r="N267" s="4">
        <v>0.73414564740832289</v>
      </c>
      <c r="O267" s="1" t="str">
        <f>HYPERLINK(".\sm_car_250503_1632\sm_car_250503_1632_266_Ca196TrN_MaDC1_daessc_1.png","figure")</f>
        <v>figure</v>
      </c>
      <c r="P267" t="s">
        <v>15</v>
      </c>
    </row>
    <row r="268" spans="1:16" x14ac:dyDescent="0.25">
      <c r="A268">
        <v>267</v>
      </c>
      <c r="B268">
        <v>179</v>
      </c>
      <c r="C268" t="s">
        <v>45</v>
      </c>
      <c r="D268" t="s">
        <v>57</v>
      </c>
      <c r="E268" t="s">
        <v>18</v>
      </c>
      <c r="F268" t="s">
        <v>19</v>
      </c>
      <c r="G268" t="s">
        <v>26</v>
      </c>
      <c r="H268" t="s">
        <v>21</v>
      </c>
      <c r="I268" t="s">
        <v>22</v>
      </c>
      <c r="J268" t="s">
        <v>23</v>
      </c>
      <c r="K268">
        <v>481</v>
      </c>
      <c r="L268" s="4">
        <v>5.6051117000000001</v>
      </c>
      <c r="M268" s="4">
        <v>147.83910188789528</v>
      </c>
      <c r="N268" s="4">
        <v>9.6289742998129743E-2</v>
      </c>
      <c r="O268" s="1" t="str">
        <f>HYPERLINK(".\sm_car_250503_1632\sm_car_250503_1632_267_Ca179TrN_MaWOT_ode23t_1.png","figure")</f>
        <v>figure</v>
      </c>
      <c r="P268" t="s">
        <v>15</v>
      </c>
    </row>
    <row r="269" spans="1:16" x14ac:dyDescent="0.25">
      <c r="A269">
        <v>268</v>
      </c>
      <c r="B269">
        <v>180</v>
      </c>
      <c r="C269" t="s">
        <v>45</v>
      </c>
      <c r="D269" t="s">
        <v>57</v>
      </c>
      <c r="E269" t="s">
        <v>49</v>
      </c>
      <c r="F269" t="s">
        <v>19</v>
      </c>
      <c r="G269" t="s">
        <v>26</v>
      </c>
      <c r="H269" t="s">
        <v>21</v>
      </c>
      <c r="I269" t="s">
        <v>22</v>
      </c>
      <c r="J269" t="s">
        <v>23</v>
      </c>
      <c r="K269">
        <v>509</v>
      </c>
      <c r="L269" s="4">
        <v>8.1584038999999997</v>
      </c>
      <c r="M269" s="4">
        <v>147.82947497409793</v>
      </c>
      <c r="N269" s="4">
        <v>9.5877519237759792E-2</v>
      </c>
      <c r="O269" s="1" t="str">
        <f>HYPERLINK(".\sm_car_250503_1632\sm_car_250503_1632_268_Ca180TrN_MaWOT_ode23t_1.png","figure")</f>
        <v>figure</v>
      </c>
      <c r="P269" t="s">
        <v>15</v>
      </c>
    </row>
    <row r="270" spans="1:16" x14ac:dyDescent="0.25">
      <c r="A270">
        <v>269</v>
      </c>
      <c r="B270">
        <v>197</v>
      </c>
      <c r="C270" t="s">
        <v>45</v>
      </c>
      <c r="D270" t="s">
        <v>57</v>
      </c>
      <c r="E270" t="s">
        <v>107</v>
      </c>
      <c r="F270" t="s">
        <v>19</v>
      </c>
      <c r="G270" t="s">
        <v>26</v>
      </c>
      <c r="H270" t="s">
        <v>21</v>
      </c>
      <c r="I270" t="s">
        <v>22</v>
      </c>
      <c r="J270" t="s">
        <v>23</v>
      </c>
      <c r="K270">
        <v>441</v>
      </c>
      <c r="L270" s="4">
        <v>2.9652758000000001</v>
      </c>
      <c r="M270" s="4">
        <v>147.81832829517109</v>
      </c>
      <c r="N270" s="4">
        <v>9.589267074181082E-2</v>
      </c>
      <c r="O270" s="1" t="str">
        <f>HYPERLINK(".\sm_car_250503_1632\sm_car_250503_1632_269_Ca197TrN_MaWOT_ode23t_1.png","figure")</f>
        <v>figure</v>
      </c>
      <c r="P270" t="s">
        <v>15</v>
      </c>
    </row>
    <row r="271" spans="1:16" x14ac:dyDescent="0.25">
      <c r="A271">
        <v>270</v>
      </c>
      <c r="B271">
        <v>182</v>
      </c>
      <c r="C271" t="s">
        <v>45</v>
      </c>
      <c r="D271" t="s">
        <v>17</v>
      </c>
      <c r="E271" t="s">
        <v>49</v>
      </c>
      <c r="F271" t="s">
        <v>19</v>
      </c>
      <c r="G271" t="s">
        <v>26</v>
      </c>
      <c r="H271" t="s">
        <v>21</v>
      </c>
      <c r="I271" t="s">
        <v>64</v>
      </c>
      <c r="J271" t="s">
        <v>23</v>
      </c>
      <c r="K271">
        <v>429</v>
      </c>
      <c r="L271" s="4">
        <v>14.8774271</v>
      </c>
      <c r="M271" s="4">
        <v>62.251258602388077</v>
      </c>
      <c r="N271" s="4">
        <v>-24.544934496007087</v>
      </c>
      <c r="O271" s="1" t="str">
        <f>HYPERLINK(".\sm_car_250503_1632\sm_car_250503_1632_270_Ca182TrN_MaTUR_ode23t_1.png","figure")</f>
        <v>figure</v>
      </c>
      <c r="P271" t="s">
        <v>15</v>
      </c>
    </row>
    <row r="272" spans="1:16" x14ac:dyDescent="0.25">
      <c r="A272">
        <v>271</v>
      </c>
      <c r="B272">
        <v>203</v>
      </c>
      <c r="C272" t="s">
        <v>45</v>
      </c>
      <c r="D272" t="s">
        <v>17</v>
      </c>
      <c r="E272" t="s">
        <v>107</v>
      </c>
      <c r="F272" t="s">
        <v>19</v>
      </c>
      <c r="G272" t="s">
        <v>26</v>
      </c>
      <c r="H272" t="s">
        <v>21</v>
      </c>
      <c r="I272" t="s">
        <v>64</v>
      </c>
      <c r="J272" t="s">
        <v>23</v>
      </c>
      <c r="K272">
        <v>366</v>
      </c>
      <c r="L272" s="4">
        <v>5.5351689000000004</v>
      </c>
      <c r="M272" s="4">
        <v>62.259818321146639</v>
      </c>
      <c r="N272" s="4">
        <v>-24.56081536138835</v>
      </c>
      <c r="O272" s="1" t="str">
        <f>HYPERLINK(".\sm_car_250503_1632\sm_car_250503_1632_271_Ca203TrN_MaTUR_ode23t_1.png","figure")</f>
        <v>figure</v>
      </c>
      <c r="P272" t="s">
        <v>15</v>
      </c>
    </row>
    <row r="273" spans="1:16" x14ac:dyDescent="0.25">
      <c r="A273">
        <v>272</v>
      </c>
      <c r="B273">
        <v>185</v>
      </c>
      <c r="C273" t="s">
        <v>45</v>
      </c>
      <c r="D273" t="s">
        <v>17</v>
      </c>
      <c r="E273" t="s">
        <v>18</v>
      </c>
      <c r="F273" t="s">
        <v>19</v>
      </c>
      <c r="G273" t="s">
        <v>26</v>
      </c>
      <c r="H273" t="s">
        <v>21</v>
      </c>
      <c r="I273" t="s">
        <v>64</v>
      </c>
      <c r="J273" t="s">
        <v>23</v>
      </c>
      <c r="K273">
        <v>539</v>
      </c>
      <c r="L273" s="4">
        <v>23.676792800000001</v>
      </c>
      <c r="M273" s="4">
        <v>112.71123475928309</v>
      </c>
      <c r="N273" s="4">
        <v>-79.239066880534537</v>
      </c>
      <c r="O273" s="1" t="str">
        <f>HYPERLINK(".\sm_car_250503_1632\sm_car_250503_1632_272_Ca185TrN_MaTUR_ode23t_1.png","figure")</f>
        <v>figure</v>
      </c>
      <c r="P273" t="s">
        <v>15</v>
      </c>
    </row>
    <row r="274" spans="1:16" x14ac:dyDescent="0.25">
      <c r="A274">
        <v>273</v>
      </c>
      <c r="B274">
        <v>188</v>
      </c>
      <c r="C274" t="s">
        <v>45</v>
      </c>
      <c r="D274" t="s">
        <v>113</v>
      </c>
      <c r="E274" t="s">
        <v>49</v>
      </c>
      <c r="F274" t="s">
        <v>19</v>
      </c>
      <c r="G274" t="s">
        <v>26</v>
      </c>
      <c r="H274" t="s">
        <v>21</v>
      </c>
      <c r="I274" t="s">
        <v>64</v>
      </c>
      <c r="J274" t="s">
        <v>23</v>
      </c>
      <c r="K274">
        <v>543</v>
      </c>
      <c r="L274" s="4">
        <v>8.2145057999999995</v>
      </c>
      <c r="M274" s="4">
        <v>140.61985858380615</v>
      </c>
      <c r="N274" s="4">
        <v>-71.744698400950313</v>
      </c>
      <c r="O274" s="1" t="str">
        <f>HYPERLINK(".\sm_car_250503_1632\sm_car_250503_1632_273_Ca188TrN_MaTUR_ode23t_1.png","figure")</f>
        <v>figure</v>
      </c>
      <c r="P274" t="s">
        <v>15</v>
      </c>
    </row>
    <row r="275" spans="1:16" x14ac:dyDescent="0.25">
      <c r="A275">
        <v>274</v>
      </c>
      <c r="B275" t="s">
        <v>94</v>
      </c>
      <c r="C275" t="s">
        <v>95</v>
      </c>
      <c r="D275" t="s">
        <v>35</v>
      </c>
      <c r="E275" t="s">
        <v>18</v>
      </c>
      <c r="F275" t="s">
        <v>19</v>
      </c>
      <c r="G275" t="s">
        <v>96</v>
      </c>
      <c r="H275" t="s">
        <v>21</v>
      </c>
      <c r="I275" t="s">
        <v>22</v>
      </c>
      <c r="J275" t="s">
        <v>23</v>
      </c>
      <c r="K275">
        <v>436</v>
      </c>
      <c r="L275" s="4">
        <v>12.8752201</v>
      </c>
      <c r="M275" s="4">
        <v>79.219818829831254</v>
      </c>
      <c r="N275" s="4">
        <v>-0.33364484011650863</v>
      </c>
      <c r="O275" s="1" t="str">
        <f>HYPERLINK(".\sm_car_250503_1632\sm_car_Axle3_250503_1632_274_CaAxle3_000TrN_MaWOT_ode23t_1.png","figure")</f>
        <v>figure</v>
      </c>
      <c r="P275" t="s">
        <v>15</v>
      </c>
    </row>
    <row r="276" spans="1:16" x14ac:dyDescent="0.25">
      <c r="A276">
        <v>275</v>
      </c>
      <c r="B276" t="s">
        <v>99</v>
      </c>
      <c r="C276" t="s">
        <v>100</v>
      </c>
      <c r="D276" t="s">
        <v>35</v>
      </c>
      <c r="E276" t="s">
        <v>18</v>
      </c>
      <c r="F276" t="s">
        <v>19</v>
      </c>
      <c r="G276" t="s">
        <v>96</v>
      </c>
      <c r="H276" t="s">
        <v>21</v>
      </c>
      <c r="I276" t="s">
        <v>22</v>
      </c>
      <c r="J276" t="s">
        <v>23</v>
      </c>
      <c r="K276">
        <v>476</v>
      </c>
      <c r="L276" s="4">
        <v>12.319367</v>
      </c>
      <c r="M276" s="4">
        <v>68.926561662831958</v>
      </c>
      <c r="N276" s="4">
        <v>8.3279586275803619E-2</v>
      </c>
      <c r="O276" s="1" t="str">
        <f>HYPERLINK(".\sm_car_250503_1632\sm_car_Axle3_250503_1632_275_CaAxle3_008TrN_MaWOT_ode23t_1.png","figure")</f>
        <v>figure</v>
      </c>
      <c r="P276" t="s">
        <v>15</v>
      </c>
    </row>
    <row r="277" spans="1:16" x14ac:dyDescent="0.25">
      <c r="A277">
        <v>276</v>
      </c>
      <c r="B277" t="s">
        <v>97</v>
      </c>
      <c r="C277" t="s">
        <v>95</v>
      </c>
      <c r="D277" t="s">
        <v>35</v>
      </c>
      <c r="E277" t="s">
        <v>49</v>
      </c>
      <c r="F277" t="s">
        <v>19</v>
      </c>
      <c r="G277" t="s">
        <v>98</v>
      </c>
      <c r="H277" t="s">
        <v>21</v>
      </c>
      <c r="I277" t="s">
        <v>22</v>
      </c>
      <c r="J277" t="s">
        <v>23</v>
      </c>
      <c r="K277">
        <v>426</v>
      </c>
      <c r="L277" s="4">
        <v>14.114035899999999</v>
      </c>
      <c r="M277" s="4">
        <v>79.265706861750871</v>
      </c>
      <c r="N277" s="4">
        <v>-0.31323883463624247</v>
      </c>
      <c r="O277" s="1" t="str">
        <f>HYPERLINK(".\sm_car_250503_1632\sm_car_Axle3_250503_1632_276_CaAxle3_003TrN_MaWOT_ode23t_1.png","figure")</f>
        <v>figure</v>
      </c>
      <c r="P277" t="s">
        <v>15</v>
      </c>
    </row>
    <row r="278" spans="1:16" x14ac:dyDescent="0.25">
      <c r="A278">
        <v>277</v>
      </c>
      <c r="B278" t="s">
        <v>114</v>
      </c>
      <c r="C278" t="s">
        <v>95</v>
      </c>
      <c r="D278" t="s">
        <v>35</v>
      </c>
      <c r="E278" t="s">
        <v>107</v>
      </c>
      <c r="F278" t="s">
        <v>19</v>
      </c>
      <c r="G278" t="s">
        <v>98</v>
      </c>
      <c r="H278" t="s">
        <v>21</v>
      </c>
      <c r="I278" t="s">
        <v>22</v>
      </c>
      <c r="J278" t="s">
        <v>23</v>
      </c>
      <c r="K278">
        <v>427</v>
      </c>
      <c r="L278" s="4">
        <v>2.1373627000000002</v>
      </c>
      <c r="M278" s="4">
        <v>80.145520056216895</v>
      </c>
      <c r="N278" s="4">
        <v>-0.31945069771391377</v>
      </c>
      <c r="O278" s="1" t="str">
        <f>HYPERLINK(".\sm_car_250503_1632\sm_car_Axle3_250503_1632_277_CaAxle3_017TrN_MaWOT_ode23t_1.png","figure")</f>
        <v>figure</v>
      </c>
      <c r="P278" t="s">
        <v>15</v>
      </c>
    </row>
    <row r="279" spans="1:16" x14ac:dyDescent="0.25">
      <c r="A279">
        <v>278</v>
      </c>
      <c r="B279" t="s">
        <v>101</v>
      </c>
      <c r="C279" t="s">
        <v>100</v>
      </c>
      <c r="D279" t="s">
        <v>35</v>
      </c>
      <c r="E279" t="s">
        <v>49</v>
      </c>
      <c r="F279" t="s">
        <v>19</v>
      </c>
      <c r="G279" t="s">
        <v>96</v>
      </c>
      <c r="H279" t="s">
        <v>102</v>
      </c>
      <c r="I279" t="s">
        <v>22</v>
      </c>
      <c r="J279" t="s">
        <v>23</v>
      </c>
      <c r="K279">
        <v>389</v>
      </c>
      <c r="L279" s="4">
        <v>34.509037599999999</v>
      </c>
      <c r="M279" s="4">
        <v>23.441197642076311</v>
      </c>
      <c r="N279" s="4">
        <v>2.5338231217298043E-3</v>
      </c>
      <c r="O279" s="1" t="str">
        <f>HYPERLINK(".\sm_car_250503_1632\sm_car_Axle3_250503_1632_278_CaAxle3_010TrK_MaWOT_ode23t_1.png","figure")</f>
        <v>figure</v>
      </c>
      <c r="P279" t="s">
        <v>15</v>
      </c>
    </row>
    <row r="280" spans="1:16" x14ac:dyDescent="0.25">
      <c r="A280">
        <v>279</v>
      </c>
      <c r="B280" t="s">
        <v>101</v>
      </c>
      <c r="C280" t="s">
        <v>100</v>
      </c>
      <c r="D280" t="s">
        <v>35</v>
      </c>
      <c r="E280" t="s">
        <v>49</v>
      </c>
      <c r="F280" t="s">
        <v>19</v>
      </c>
      <c r="G280" t="s">
        <v>96</v>
      </c>
      <c r="H280" t="s">
        <v>102</v>
      </c>
      <c r="I280" t="s">
        <v>22</v>
      </c>
      <c r="J280" t="s">
        <v>23</v>
      </c>
      <c r="K280">
        <v>408</v>
      </c>
      <c r="L280" s="4">
        <v>39.332344300000003</v>
      </c>
      <c r="M280" s="4">
        <v>23.429999926382738</v>
      </c>
      <c r="N280" s="4">
        <v>2.5300522592802965E-3</v>
      </c>
      <c r="O280" s="1" t="str">
        <f>HYPERLINK(".\sm_car_250503_1632\sm_car_Axle3_250503_1632_279_CaAxle3_010TrK_MaWOT_ode23t_1.png","figure")</f>
        <v>figure</v>
      </c>
      <c r="P280" t="s">
        <v>15</v>
      </c>
    </row>
    <row r="281" spans="1:16" x14ac:dyDescent="0.25">
      <c r="A281">
        <v>280</v>
      </c>
      <c r="B281" t="s">
        <v>115</v>
      </c>
      <c r="C281" t="s">
        <v>100</v>
      </c>
      <c r="D281" t="s">
        <v>35</v>
      </c>
      <c r="E281" t="s">
        <v>107</v>
      </c>
      <c r="F281" t="s">
        <v>19</v>
      </c>
      <c r="G281" t="s">
        <v>96</v>
      </c>
      <c r="H281" t="s">
        <v>102</v>
      </c>
      <c r="I281" t="s">
        <v>22</v>
      </c>
      <c r="J281" t="s">
        <v>23</v>
      </c>
      <c r="K281">
        <v>398</v>
      </c>
      <c r="L281" s="4">
        <v>2.9564249999999999</v>
      </c>
      <c r="M281" s="4">
        <v>26.938643279552089</v>
      </c>
      <c r="N281" s="4">
        <v>3.6338408759568099E-3</v>
      </c>
      <c r="O281" s="1" t="str">
        <f>HYPERLINK(".\sm_car_250503_1632\sm_car_Axle3_250503_1632_280_CaAxle3_019TrK_MaWOT_ode23t_1.png","figure")</f>
        <v>figure</v>
      </c>
      <c r="P281" t="s">
        <v>15</v>
      </c>
    </row>
    <row r="282" spans="1:16" x14ac:dyDescent="0.25">
      <c r="A282">
        <v>281</v>
      </c>
      <c r="B282" t="s">
        <v>115</v>
      </c>
      <c r="C282" t="s">
        <v>100</v>
      </c>
      <c r="D282" t="s">
        <v>35</v>
      </c>
      <c r="E282" t="s">
        <v>107</v>
      </c>
      <c r="F282" t="s">
        <v>19</v>
      </c>
      <c r="G282" t="s">
        <v>96</v>
      </c>
      <c r="H282" t="s">
        <v>102</v>
      </c>
      <c r="I282" t="s">
        <v>22</v>
      </c>
      <c r="J282" t="s">
        <v>23</v>
      </c>
      <c r="K282">
        <v>407</v>
      </c>
      <c r="L282" s="4">
        <v>2.6508938</v>
      </c>
      <c r="M282" s="4">
        <v>26.922858662192844</v>
      </c>
      <c r="N282" s="4">
        <v>3.6250774264289382E-3</v>
      </c>
      <c r="O282" s="1" t="str">
        <f>HYPERLINK(".\sm_car_250503_1632\sm_car_Axle3_250503_1632_281_CaAxle3_019TrK_MaWOT_ode23t_1.png","figure")</f>
        <v>figure</v>
      </c>
      <c r="P282" t="s">
        <v>15</v>
      </c>
    </row>
    <row r="283" spans="1:16" x14ac:dyDescent="0.25">
      <c r="A283">
        <v>282</v>
      </c>
      <c r="B283" t="s">
        <v>115</v>
      </c>
      <c r="C283" t="s">
        <v>100</v>
      </c>
      <c r="D283" t="s">
        <v>35</v>
      </c>
      <c r="E283" t="s">
        <v>107</v>
      </c>
      <c r="F283" t="s">
        <v>19</v>
      </c>
      <c r="G283" t="s">
        <v>96</v>
      </c>
      <c r="H283" t="s">
        <v>102</v>
      </c>
      <c r="I283" t="s">
        <v>53</v>
      </c>
      <c r="J283" t="s">
        <v>23</v>
      </c>
      <c r="K283">
        <v>699</v>
      </c>
      <c r="L283" s="4">
        <v>4.2253448999999996</v>
      </c>
      <c r="M283" s="4">
        <v>253.8556991047754</v>
      </c>
      <c r="N283" s="4">
        <v>-0.1003578589398777</v>
      </c>
      <c r="O283" s="1" t="str">
        <f>HYPERLINK(".\sm_car_250503_1632\sm_car_Axle3_250503_1632_282_CaAxle3_019TrK_MaDLC_ode23t_1.png","figure")</f>
        <v>figure</v>
      </c>
      <c r="P283" t="s">
        <v>15</v>
      </c>
    </row>
    <row r="284" spans="1:16" x14ac:dyDescent="0.25">
      <c r="A284">
        <v>283</v>
      </c>
      <c r="B284" t="s">
        <v>115</v>
      </c>
      <c r="C284" t="s">
        <v>100</v>
      </c>
      <c r="D284" t="s">
        <v>35</v>
      </c>
      <c r="E284" t="s">
        <v>107</v>
      </c>
      <c r="F284" t="s">
        <v>19</v>
      </c>
      <c r="G284" t="s">
        <v>96</v>
      </c>
      <c r="H284" t="s">
        <v>102</v>
      </c>
      <c r="I284" t="s">
        <v>53</v>
      </c>
      <c r="J284" t="s">
        <v>23</v>
      </c>
      <c r="K284">
        <v>784</v>
      </c>
      <c r="L284" s="4">
        <v>4.6479644999999996</v>
      </c>
      <c r="M284" s="4">
        <v>253.19935915830922</v>
      </c>
      <c r="N284" s="4">
        <v>-9.7683174959912744E-2</v>
      </c>
      <c r="O284" s="1" t="str">
        <f>HYPERLINK(".\sm_car_250503_1632\sm_car_Axle3_250503_1632_283_CaAxle3_019TrK_MaDLC_ode23t_1.png","figure")</f>
        <v>figure</v>
      </c>
      <c r="P284" t="s">
        <v>15</v>
      </c>
    </row>
    <row r="285" spans="1:16" x14ac:dyDescent="0.25">
      <c r="A285">
        <v>284</v>
      </c>
      <c r="B285" t="s">
        <v>115</v>
      </c>
      <c r="C285" t="s">
        <v>100</v>
      </c>
      <c r="D285" t="s">
        <v>35</v>
      </c>
      <c r="E285" t="s">
        <v>107</v>
      </c>
      <c r="F285" t="s">
        <v>19</v>
      </c>
      <c r="G285" t="s">
        <v>96</v>
      </c>
      <c r="H285" t="s">
        <v>102</v>
      </c>
      <c r="I285" t="s">
        <v>53</v>
      </c>
      <c r="J285" t="s">
        <v>23</v>
      </c>
      <c r="K285">
        <v>685</v>
      </c>
      <c r="L285" s="4">
        <v>4.6136252000000004</v>
      </c>
      <c r="M285" s="4">
        <v>254.05633400541888</v>
      </c>
      <c r="N285" s="4">
        <v>-0.10070949822929842</v>
      </c>
      <c r="O285" s="1" t="str">
        <f>HYPERLINK(".\sm_car_250503_1632\sm_car_Axle3_250503_1632_284_CaAxle3_019TrK_MaDLC_ode23t_1.png","figure")</f>
        <v>figure</v>
      </c>
      <c r="P285" t="s">
        <v>15</v>
      </c>
    </row>
    <row r="286" spans="1:16" x14ac:dyDescent="0.25">
      <c r="A286">
        <v>285</v>
      </c>
      <c r="B286" t="s">
        <v>115</v>
      </c>
      <c r="C286" t="s">
        <v>100</v>
      </c>
      <c r="D286" t="s">
        <v>35</v>
      </c>
      <c r="E286" t="s">
        <v>107</v>
      </c>
      <c r="F286" t="s">
        <v>19</v>
      </c>
      <c r="G286" t="s">
        <v>96</v>
      </c>
      <c r="H286" t="s">
        <v>102</v>
      </c>
      <c r="I286" t="s">
        <v>53</v>
      </c>
      <c r="J286" t="s">
        <v>23</v>
      </c>
      <c r="K286">
        <v>922</v>
      </c>
      <c r="L286" s="4">
        <v>5.2175200000000004</v>
      </c>
      <c r="M286" s="4">
        <v>253.66745974644425</v>
      </c>
      <c r="N286" s="4">
        <v>-9.3488631418418677E-2</v>
      </c>
      <c r="O286" s="1" t="str">
        <f>HYPERLINK(".\sm_car_250503_1632\sm_car_Axle3_250503_1632_285_CaAxle3_019TrK_MaDLC_ode23t_1.png","figure")</f>
        <v>figure</v>
      </c>
      <c r="P286" t="s">
        <v>15</v>
      </c>
    </row>
    <row r="287" spans="1:16" x14ac:dyDescent="0.25">
      <c r="A287">
        <v>286</v>
      </c>
      <c r="B287" t="s">
        <v>138</v>
      </c>
      <c r="C287" t="s">
        <v>139</v>
      </c>
      <c r="D287" t="s">
        <v>35</v>
      </c>
      <c r="E287" t="s">
        <v>49</v>
      </c>
      <c r="F287" t="s">
        <v>19</v>
      </c>
      <c r="G287" t="s">
        <v>96</v>
      </c>
      <c r="H287" t="s">
        <v>102</v>
      </c>
      <c r="I287" t="s">
        <v>22</v>
      </c>
      <c r="J287" t="s">
        <v>23</v>
      </c>
      <c r="K287">
        <v>346</v>
      </c>
      <c r="L287" s="4">
        <v>2.8217761000000001</v>
      </c>
      <c r="M287" s="4">
        <v>85.306904634675533</v>
      </c>
      <c r="N287" s="4">
        <v>7.0142610387136706E-2</v>
      </c>
      <c r="O287" s="1" t="str">
        <f>HYPERLINK(".\sm_car_250503_1632\sm_car_Axle3_250503_1632_286_CaAxle3_023TrK_MaWOT_ode23t_1.png","figure")</f>
        <v>figure</v>
      </c>
      <c r="P287" t="s">
        <v>15</v>
      </c>
    </row>
  </sheetData>
  <autoFilter ref="A1:P287" xr:uid="{5DC0B11D-BA3E-4072-892B-09D24D2BA2B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FB939-C323-4272-8F10-AB3E35DAEC58}">
  <dimension ref="A1:R287"/>
  <sheetViews>
    <sheetView topLeftCell="A133" workbookViewId="0">
      <selection activeCell="O151" sqref="O151"/>
    </sheetView>
  </sheetViews>
  <sheetFormatPr defaultRowHeight="15" x14ac:dyDescent="0.25"/>
  <cols>
    <col min="1" max="1" width="4.42578125" bestFit="1" customWidth="1"/>
    <col min="2" max="2" width="10" bestFit="1" customWidth="1"/>
    <col min="3" max="3" width="14" bestFit="1" customWidth="1"/>
    <col min="4" max="4" width="12.42578125" bestFit="1" customWidth="1"/>
    <col min="5" max="5" width="11.85546875" bestFit="1" customWidth="1"/>
    <col min="6" max="6" width="11.42578125" bestFit="1" customWidth="1"/>
    <col min="7" max="7" width="16.85546875" bestFit="1" customWidth="1"/>
    <col min="8" max="8" width="8.5703125" bestFit="1" customWidth="1"/>
    <col min="9" max="9" width="27.140625" bestFit="1" customWidth="1"/>
    <col min="10" max="10" width="7.140625" bestFit="1" customWidth="1"/>
    <col min="11" max="11" width="7.28515625" bestFit="1" customWidth="1"/>
    <col min="12" max="12" width="7.5703125" bestFit="1" customWidth="1"/>
    <col min="13" max="13" width="8.5703125" bestFit="1" customWidth="1"/>
    <col min="14" max="14" width="9.28515625" bestFit="1" customWidth="1"/>
    <col min="15" max="15" width="6.5703125" bestFit="1" customWidth="1"/>
    <col min="16" max="16" width="4.85546875" bestFit="1" customWidth="1"/>
    <col min="18" max="18" width="30.7109375" bestFit="1" customWidth="1"/>
  </cols>
  <sheetData>
    <row r="1" spans="1: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R1" s="2" t="s">
        <v>144</v>
      </c>
    </row>
    <row r="2" spans="1:18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423</v>
      </c>
      <c r="L2" s="4">
        <v>6.7056863</v>
      </c>
      <c r="M2" s="4">
        <v>231.2177424405688</v>
      </c>
      <c r="N2" s="4">
        <v>-4.8384781673831328E-3</v>
      </c>
      <c r="O2" s="1" t="str">
        <f>HYPERLINK(".\sm_car_250601_0524\sm_car_250601_0524_001_Ca000TrN_MaWOT_ode23t.png","figure")</f>
        <v>figure</v>
      </c>
      <c r="P2" t="s">
        <v>15</v>
      </c>
      <c r="R2" s="2" t="s">
        <v>116</v>
      </c>
    </row>
    <row r="3" spans="1:18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24</v>
      </c>
      <c r="J3" t="s">
        <v>23</v>
      </c>
      <c r="K3">
        <v>533</v>
      </c>
      <c r="L3" s="4">
        <v>7.2577319999999999</v>
      </c>
      <c r="M3" s="4">
        <v>71.236125327442352</v>
      </c>
      <c r="N3" s="4">
        <v>-0.53981194400981525</v>
      </c>
      <c r="O3" s="1" t="str">
        <f>HYPERLINK(".\sm_car_250601_0524\sm_car_250601_0524_002_Ca000TrN_MaLSS_ode23t.png","figure")</f>
        <v>figure</v>
      </c>
      <c r="P3" t="s">
        <v>15</v>
      </c>
      <c r="R3" s="2" t="s">
        <v>117</v>
      </c>
    </row>
    <row r="4" spans="1:18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21</v>
      </c>
      <c r="I4" t="s">
        <v>22</v>
      </c>
      <c r="J4" t="s">
        <v>23</v>
      </c>
      <c r="K4">
        <v>421</v>
      </c>
      <c r="L4" s="4">
        <v>7.1738933999999999</v>
      </c>
      <c r="M4" s="4">
        <v>230.31073710127711</v>
      </c>
      <c r="N4" s="4">
        <v>-1.2513166869400516E-2</v>
      </c>
      <c r="O4" s="1" t="str">
        <f>HYPERLINK(".\sm_car_250601_0524\sm_car_250601_0524_003_Ca001TrN_MaWOT_ode23t.png","figure")</f>
        <v>figure</v>
      </c>
      <c r="P4" t="s">
        <v>15</v>
      </c>
      <c r="R4" s="2" t="s">
        <v>118</v>
      </c>
    </row>
    <row r="5" spans="1:18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25</v>
      </c>
      <c r="H5" t="s">
        <v>21</v>
      </c>
      <c r="I5" t="s">
        <v>24</v>
      </c>
      <c r="J5" t="s">
        <v>23</v>
      </c>
      <c r="K5">
        <v>522</v>
      </c>
      <c r="L5" s="4">
        <v>7.9549981000000001</v>
      </c>
      <c r="M5" s="4">
        <v>70.961988299975928</v>
      </c>
      <c r="N5" s="4">
        <v>-0.53536836924365883</v>
      </c>
      <c r="O5" s="1" t="str">
        <f>HYPERLINK(".\sm_car_250601_0524\sm_car_250601_0524_004_Ca001TrN_MaLSS_ode23t.png","figure")</f>
        <v>figure</v>
      </c>
      <c r="P5" t="s">
        <v>15</v>
      </c>
      <c r="R5" t="s">
        <v>145</v>
      </c>
    </row>
    <row r="6" spans="1:18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26</v>
      </c>
      <c r="H6" t="s">
        <v>21</v>
      </c>
      <c r="I6" t="s">
        <v>22</v>
      </c>
      <c r="J6" t="s">
        <v>23</v>
      </c>
      <c r="K6">
        <v>431</v>
      </c>
      <c r="L6" s="4">
        <v>10.2479122</v>
      </c>
      <c r="M6" s="4">
        <v>230.39353132088564</v>
      </c>
      <c r="N6" s="4">
        <v>5.3633281204426446E-2</v>
      </c>
      <c r="O6" s="1" t="str">
        <f>HYPERLINK(".\sm_car_250601_0524\sm_car_250601_0524_005_Ca002TrN_MaWOT_ode23t.png","figure")</f>
        <v>figure</v>
      </c>
      <c r="P6" t="s">
        <v>15</v>
      </c>
    </row>
    <row r="7" spans="1:18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26</v>
      </c>
      <c r="H7" t="s">
        <v>21</v>
      </c>
      <c r="I7" t="s">
        <v>24</v>
      </c>
      <c r="J7" t="s">
        <v>23</v>
      </c>
      <c r="K7">
        <v>526</v>
      </c>
      <c r="L7" s="4">
        <v>10.965132499999999</v>
      </c>
      <c r="M7" s="4">
        <v>70.960569189103424</v>
      </c>
      <c r="N7" s="4">
        <v>-0.52803158816223184</v>
      </c>
      <c r="O7" s="1" t="str">
        <f>HYPERLINK(".\sm_car_250601_0524\sm_car_250601_0524_006_Ca002TrN_MaLSS_ode23t.png","figure")</f>
        <v>figure</v>
      </c>
      <c r="P7" t="s">
        <v>15</v>
      </c>
    </row>
    <row r="8" spans="1:18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27</v>
      </c>
      <c r="H8" t="s">
        <v>21</v>
      </c>
      <c r="I8" t="s">
        <v>22</v>
      </c>
      <c r="J8" t="s">
        <v>23</v>
      </c>
      <c r="K8">
        <v>495</v>
      </c>
      <c r="L8" s="4">
        <v>11.795094799999999</v>
      </c>
      <c r="M8" s="4">
        <v>229.89357544752883</v>
      </c>
      <c r="N8" s="4">
        <v>6.2849007069600255E-2</v>
      </c>
      <c r="O8" s="1" t="str">
        <f>HYPERLINK(".\sm_car_250601_0524\sm_car_250601_0524_007_Ca003TrN_MaWOT_ode23t.png","figure")</f>
        <v>figure</v>
      </c>
      <c r="P8" t="s">
        <v>15</v>
      </c>
    </row>
    <row r="9" spans="1:18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27</v>
      </c>
      <c r="H9" t="s">
        <v>21</v>
      </c>
      <c r="I9" t="s">
        <v>24</v>
      </c>
      <c r="J9" t="s">
        <v>23</v>
      </c>
      <c r="K9">
        <v>547</v>
      </c>
      <c r="L9" s="4">
        <v>11.598129699999999</v>
      </c>
      <c r="M9" s="4">
        <v>70.819478815268269</v>
      </c>
      <c r="N9" s="4">
        <v>-0.52802651899205089</v>
      </c>
      <c r="O9" s="1" t="str">
        <f>HYPERLINK(".\sm_car_250601_0524\sm_car_250601_0524_008_Ca003TrN_MaLSS_ode23t.png","figure")</f>
        <v>figure</v>
      </c>
      <c r="P9" t="s">
        <v>15</v>
      </c>
    </row>
    <row r="10" spans="1:18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20</v>
      </c>
      <c r="H10" t="s">
        <v>21</v>
      </c>
      <c r="I10" t="s">
        <v>22</v>
      </c>
      <c r="J10" t="s">
        <v>23</v>
      </c>
      <c r="K10">
        <v>1085</v>
      </c>
      <c r="L10" s="4">
        <v>10.6815245</v>
      </c>
      <c r="M10" s="4">
        <v>231.35048401278598</v>
      </c>
      <c r="N10" s="4">
        <v>-4.0514741091662787E-3</v>
      </c>
      <c r="O10" s="1" t="str">
        <f>HYPERLINK(".\sm_car_250601_0524\sm_car_250601_0524_009_Ca004TrN_MaWOT_ode23t.png","figure")</f>
        <v>figure</v>
      </c>
      <c r="P10" t="s">
        <v>15</v>
      </c>
    </row>
    <row r="11" spans="1:18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20</v>
      </c>
      <c r="H11" t="s">
        <v>21</v>
      </c>
      <c r="I11" t="s">
        <v>24</v>
      </c>
      <c r="J11" t="s">
        <v>23</v>
      </c>
      <c r="K11">
        <v>1206</v>
      </c>
      <c r="L11" s="4">
        <v>12.249029500000001</v>
      </c>
      <c r="M11" s="4">
        <v>71.24565934260167</v>
      </c>
      <c r="N11" s="4">
        <v>-0.54254908395302193</v>
      </c>
      <c r="O11" s="1" t="str">
        <f>HYPERLINK(".\sm_car_250601_0524\sm_car_250601_0524_010_Ca004TrN_MaLSS_ode23t.png","figure")</f>
        <v>figure</v>
      </c>
      <c r="P11" t="s">
        <v>15</v>
      </c>
    </row>
    <row r="12" spans="1:18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25</v>
      </c>
      <c r="H12" t="s">
        <v>21</v>
      </c>
      <c r="I12" t="s">
        <v>22</v>
      </c>
      <c r="J12" t="s">
        <v>23</v>
      </c>
      <c r="K12">
        <v>1124</v>
      </c>
      <c r="L12" s="4">
        <v>12.782398000000001</v>
      </c>
      <c r="M12" s="4">
        <v>230.28632888358879</v>
      </c>
      <c r="N12" s="4">
        <v>-1.3535337425784914E-2</v>
      </c>
      <c r="O12" s="1" t="str">
        <f>HYPERLINK(".\sm_car_250601_0524\sm_car_250601_0524_011_Ca005TrN_MaWOT_ode23t.png","figure")</f>
        <v>figure</v>
      </c>
      <c r="P12" t="s">
        <v>15</v>
      </c>
    </row>
    <row r="13" spans="1:18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25</v>
      </c>
      <c r="H13" t="s">
        <v>21</v>
      </c>
      <c r="I13" t="s">
        <v>24</v>
      </c>
      <c r="J13" t="s">
        <v>23</v>
      </c>
      <c r="K13">
        <v>1240</v>
      </c>
      <c r="L13" s="4">
        <v>14.1925694</v>
      </c>
      <c r="M13" s="4">
        <v>70.963484438638275</v>
      </c>
      <c r="N13" s="4">
        <v>-0.53562428490382352</v>
      </c>
      <c r="O13" s="1" t="str">
        <f>HYPERLINK(".\sm_car_250601_0524\sm_car_250601_0524_012_Ca005TrN_MaLSS_ode23t.png","figure")</f>
        <v>figure</v>
      </c>
      <c r="P13" t="s">
        <v>15</v>
      </c>
    </row>
    <row r="14" spans="1:18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26</v>
      </c>
      <c r="H14" t="s">
        <v>21</v>
      </c>
      <c r="I14" t="s">
        <v>22</v>
      </c>
      <c r="J14" t="s">
        <v>23</v>
      </c>
      <c r="K14">
        <v>1192</v>
      </c>
      <c r="L14" s="4">
        <v>16.127649699999999</v>
      </c>
      <c r="M14" s="4">
        <v>230.31971790422389</v>
      </c>
      <c r="N14" s="4">
        <v>5.5554848513428533E-2</v>
      </c>
      <c r="O14" s="1" t="str">
        <f>HYPERLINK(".\sm_car_250601_0524\sm_car_250601_0524_013_Ca006TrN_MaWOT_ode23t.png","figure")</f>
        <v>figure</v>
      </c>
      <c r="P14" t="s">
        <v>15</v>
      </c>
    </row>
    <row r="15" spans="1:18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26</v>
      </c>
      <c r="H15" t="s">
        <v>21</v>
      </c>
      <c r="I15" t="s">
        <v>24</v>
      </c>
      <c r="J15" t="s">
        <v>23</v>
      </c>
      <c r="K15">
        <v>1291</v>
      </c>
      <c r="L15" s="4">
        <v>15.003005099999999</v>
      </c>
      <c r="M15" s="4">
        <v>70.956870710847156</v>
      </c>
      <c r="N15" s="4">
        <v>-0.53363311785478917</v>
      </c>
      <c r="O15" s="1" t="str">
        <f>HYPERLINK(".\sm_car_250601_0524\sm_car_250601_0524_014_Ca006TrN_MaLSS_ode23t.png","figure")</f>
        <v>figure</v>
      </c>
      <c r="P15" t="s">
        <v>15</v>
      </c>
    </row>
    <row r="16" spans="1:18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27</v>
      </c>
      <c r="H16" t="s">
        <v>21</v>
      </c>
      <c r="I16" t="s">
        <v>22</v>
      </c>
      <c r="J16" t="s">
        <v>23</v>
      </c>
      <c r="K16">
        <v>1208</v>
      </c>
      <c r="L16" s="4">
        <v>17.090140000000002</v>
      </c>
      <c r="M16" s="4">
        <v>229.90338511131827</v>
      </c>
      <c r="N16" s="4">
        <v>5.2787602454037671E-2</v>
      </c>
      <c r="O16" s="1" t="str">
        <f>HYPERLINK(".\sm_car_250601_0524\sm_car_250601_0524_015_Ca007TrN_MaWOT_ode23t.png","figure")</f>
        <v>figure</v>
      </c>
      <c r="P16" t="s">
        <v>15</v>
      </c>
    </row>
    <row r="17" spans="1:16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27</v>
      </c>
      <c r="H17" t="s">
        <v>21</v>
      </c>
      <c r="I17" t="s">
        <v>24</v>
      </c>
      <c r="J17" t="s">
        <v>23</v>
      </c>
      <c r="K17">
        <v>1285</v>
      </c>
      <c r="L17" s="4">
        <v>16.6302843</v>
      </c>
      <c r="M17" s="4">
        <v>70.837615888645956</v>
      </c>
      <c r="N17" s="4">
        <v>-0.52847431114254728</v>
      </c>
      <c r="O17" s="1" t="str">
        <f>HYPERLINK(".\sm_car_250601_0524\sm_car_250601_0524_016_Ca007TrN_MaLSS_ode23t.png","figure")</f>
        <v>figure</v>
      </c>
      <c r="P17" t="s">
        <v>15</v>
      </c>
    </row>
    <row r="18" spans="1:16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>
        <v>408</v>
      </c>
      <c r="L18" s="4">
        <v>5.7314452999999999</v>
      </c>
      <c r="M18" s="4">
        <v>231.97852932808041</v>
      </c>
      <c r="N18" s="4">
        <v>-7.1781087628563625E-2</v>
      </c>
      <c r="O18" s="1" t="str">
        <f>HYPERLINK(".\sm_car_250601_0524\sm_car_250601_0524_017_Ca016TrN_MaWOT_ode23t.png","figure")</f>
        <v>figure</v>
      </c>
      <c r="P18" t="s">
        <v>15</v>
      </c>
    </row>
    <row r="19" spans="1:16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20</v>
      </c>
      <c r="H19" t="s">
        <v>21</v>
      </c>
      <c r="I19" t="s">
        <v>24</v>
      </c>
      <c r="J19" t="s">
        <v>23</v>
      </c>
      <c r="K19">
        <v>495</v>
      </c>
      <c r="L19" s="4">
        <v>6.0133815000000004</v>
      </c>
      <c r="M19" s="4">
        <v>71.52744135360156</v>
      </c>
      <c r="N19" s="4">
        <v>-2.1637557861086024E-2</v>
      </c>
      <c r="O19" s="1" t="str">
        <f>HYPERLINK(".\sm_car_250601_0524\sm_car_250601_0524_018_Ca016TrN_MaLSS_ode23t.png","figure")</f>
        <v>figure</v>
      </c>
      <c r="P19" t="s">
        <v>15</v>
      </c>
    </row>
    <row r="20" spans="1:16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>
        <v>414</v>
      </c>
      <c r="L20" s="4">
        <v>8.6867610000000006</v>
      </c>
      <c r="M20" s="4">
        <v>231.38140972375047</v>
      </c>
      <c r="N20" s="4">
        <v>7.0624016378307069E-3</v>
      </c>
      <c r="O20" s="1" t="str">
        <f>HYPERLINK(".\sm_car_250601_0524\sm_car_250601_0524_019_Ca032TrN_MaWOT_ode23t.png","figure")</f>
        <v>figure</v>
      </c>
      <c r="P20" t="s">
        <v>15</v>
      </c>
    </row>
    <row r="21" spans="1:16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20</v>
      </c>
      <c r="H21" t="s">
        <v>21</v>
      </c>
      <c r="I21" t="s">
        <v>24</v>
      </c>
      <c r="J21" t="s">
        <v>23</v>
      </c>
      <c r="K21">
        <v>517</v>
      </c>
      <c r="L21" s="4">
        <v>8.4787388999999997</v>
      </c>
      <c r="M21" s="4">
        <v>71.24958534660685</v>
      </c>
      <c r="N21" s="4">
        <v>-0.52146089401407703</v>
      </c>
      <c r="O21" s="1" t="str">
        <f>HYPERLINK(".\sm_car_250601_0524\sm_car_250601_0524_020_Ca032TrN_MaLSS_ode23t.png","figure")</f>
        <v>figure</v>
      </c>
      <c r="P21" t="s">
        <v>15</v>
      </c>
    </row>
    <row r="22" spans="1:16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>
        <v>406</v>
      </c>
      <c r="L22" s="4">
        <v>7.8970969000000002</v>
      </c>
      <c r="M22" s="4">
        <v>231.3220912823418</v>
      </c>
      <c r="N22" s="4">
        <v>-1.7328937509722402E-2</v>
      </c>
      <c r="O22" s="1" t="str">
        <f>HYPERLINK(".\sm_car_250601_0524\sm_car_250601_0524_021_Ca048TrN_MaWOT_ode23t.png","figure")</f>
        <v>figure</v>
      </c>
      <c r="P22" t="s">
        <v>15</v>
      </c>
    </row>
    <row r="23" spans="1:16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20</v>
      </c>
      <c r="H23" t="s">
        <v>21</v>
      </c>
      <c r="I23" t="s">
        <v>24</v>
      </c>
      <c r="J23" t="s">
        <v>23</v>
      </c>
      <c r="K23">
        <v>532</v>
      </c>
      <c r="L23" s="4">
        <v>9.4903048999999999</v>
      </c>
      <c r="M23" s="4">
        <v>71.252885645468695</v>
      </c>
      <c r="N23" s="4">
        <v>-0.52884314345820704</v>
      </c>
      <c r="O23" s="1" t="str">
        <f>HYPERLINK(".\sm_car_250601_0524\sm_car_250601_0524_022_Ca048TrN_MaLSS_ode23t.png","figure")</f>
        <v>figure</v>
      </c>
      <c r="P23" t="s">
        <v>15</v>
      </c>
    </row>
    <row r="24" spans="1:16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 t="s">
        <v>23</v>
      </c>
      <c r="K24">
        <v>411</v>
      </c>
      <c r="L24" s="4">
        <v>8.5242263000000005</v>
      </c>
      <c r="M24" s="4">
        <v>231.29335429993066</v>
      </c>
      <c r="N24" s="4">
        <v>9.3446067893205604E-3</v>
      </c>
      <c r="O24" s="1" t="str">
        <f>HYPERLINK(".\sm_car_250601_0524\sm_car_250601_0524_023_Ca064TrN_MaWOT_ode23t.png","figure")</f>
        <v>figure</v>
      </c>
      <c r="P24" t="s">
        <v>15</v>
      </c>
    </row>
    <row r="25" spans="1:16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20</v>
      </c>
      <c r="H25" t="s">
        <v>21</v>
      </c>
      <c r="I25" t="s">
        <v>24</v>
      </c>
      <c r="J25" t="s">
        <v>23</v>
      </c>
      <c r="K25">
        <v>526</v>
      </c>
      <c r="L25" s="4">
        <v>8.8271602999999992</v>
      </c>
      <c r="M25" s="4">
        <v>71.251970603665541</v>
      </c>
      <c r="N25" s="4">
        <v>-0.51781248972730687</v>
      </c>
      <c r="O25" s="1" t="str">
        <f>HYPERLINK(".\sm_car_250601_0524\sm_car_250601_0524_024_Ca064TrN_MaLSS_ode23t.png","figure")</f>
        <v>figure</v>
      </c>
      <c r="P25" t="s">
        <v>15</v>
      </c>
    </row>
    <row r="26" spans="1:16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23</v>
      </c>
      <c r="K26">
        <v>398</v>
      </c>
      <c r="L26" s="4">
        <v>9.0111881</v>
      </c>
      <c r="M26" s="4">
        <v>231.28238490853892</v>
      </c>
      <c r="N26" s="4">
        <v>-2.0507259671197455E-2</v>
      </c>
      <c r="O26" s="1" t="str">
        <f>HYPERLINK(".\sm_car_250601_0524\sm_car_250601_0524_025_Ca080TrN_MaWOT_ode23t.png","figure")</f>
        <v>figure</v>
      </c>
      <c r="P26" t="s">
        <v>15</v>
      </c>
    </row>
    <row r="27" spans="1:16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20</v>
      </c>
      <c r="H27" t="s">
        <v>21</v>
      </c>
      <c r="I27" t="s">
        <v>24</v>
      </c>
      <c r="J27" t="s">
        <v>23</v>
      </c>
      <c r="K27">
        <v>507</v>
      </c>
      <c r="L27" s="4">
        <v>8.6161303</v>
      </c>
      <c r="M27" s="4">
        <v>71.24692585665106</v>
      </c>
      <c r="N27" s="4">
        <v>-0.52526631553924674</v>
      </c>
      <c r="O27" s="1" t="str">
        <f>HYPERLINK(".\sm_car_250601_0524\sm_car_250601_0524_026_Ca080TrN_MaLSS_ode23t.png","figure")</f>
        <v>figure</v>
      </c>
      <c r="P27" t="s">
        <v>15</v>
      </c>
    </row>
    <row r="28" spans="1:16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23</v>
      </c>
      <c r="K28">
        <v>409</v>
      </c>
      <c r="L28" s="4">
        <v>7.0869328999999999</v>
      </c>
      <c r="M28" s="4">
        <v>233.07854766852083</v>
      </c>
      <c r="N28" s="4">
        <v>2.0066921471783239E-2</v>
      </c>
      <c r="O28" s="1" t="str">
        <f>HYPERLINK(".\sm_car_250601_0524\sm_car_250601_0524_027_Ca096TrN_MaWOT_ode23t.png","figure")</f>
        <v>figure</v>
      </c>
      <c r="P28" t="s">
        <v>15</v>
      </c>
    </row>
    <row r="29" spans="1:16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20</v>
      </c>
      <c r="H29" t="s">
        <v>21</v>
      </c>
      <c r="I29" t="s">
        <v>24</v>
      </c>
      <c r="J29" t="s">
        <v>23</v>
      </c>
      <c r="K29">
        <v>522</v>
      </c>
      <c r="L29" s="4">
        <v>6.9786586000000002</v>
      </c>
      <c r="M29" s="4">
        <v>71.763515381239785</v>
      </c>
      <c r="N29" s="4">
        <v>-0.52889785164942793</v>
      </c>
      <c r="O29" s="1" t="str">
        <f>HYPERLINK(".\sm_car_250601_0524\sm_car_250601_0524_028_Ca096TrN_MaLSS_ode23t.png","figure")</f>
        <v>figure</v>
      </c>
      <c r="P29" t="s">
        <v>15</v>
      </c>
    </row>
    <row r="30" spans="1:16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 t="s">
        <v>23</v>
      </c>
      <c r="K30">
        <v>371</v>
      </c>
      <c r="L30" s="4">
        <v>2.7622735999999999</v>
      </c>
      <c r="M30" s="4">
        <v>242.6385086934819</v>
      </c>
      <c r="N30" s="4">
        <v>0.23540517481115167</v>
      </c>
      <c r="O30" s="1" t="str">
        <f>HYPERLINK(".\sm_car_250601_0524\sm_car_250601_0524_029_Ca112TrN_MaWOT_ode23t.png","figure")</f>
        <v>figure</v>
      </c>
      <c r="P30" t="s">
        <v>15</v>
      </c>
    </row>
    <row r="31" spans="1:16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20</v>
      </c>
      <c r="H31" t="s">
        <v>21</v>
      </c>
      <c r="I31" t="s">
        <v>24</v>
      </c>
      <c r="J31" t="s">
        <v>23</v>
      </c>
      <c r="K31">
        <v>484</v>
      </c>
      <c r="L31" s="4">
        <v>2.8833129</v>
      </c>
      <c r="M31" s="4">
        <v>74.671083334168515</v>
      </c>
      <c r="N31" s="4">
        <v>-0.3369934257717313</v>
      </c>
      <c r="O31" s="1" t="str">
        <f>HYPERLINK(".\sm_car_250601_0524\sm_car_250601_0524_030_Ca112TrN_MaLSS_ode23t.png","figure")</f>
        <v>figure</v>
      </c>
      <c r="P31" t="s">
        <v>15</v>
      </c>
    </row>
    <row r="32" spans="1:16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25</v>
      </c>
      <c r="H32" t="s">
        <v>21</v>
      </c>
      <c r="I32" t="s">
        <v>22</v>
      </c>
      <c r="J32" t="s">
        <v>23</v>
      </c>
      <c r="K32">
        <v>376</v>
      </c>
      <c r="L32" s="4">
        <v>2.972127</v>
      </c>
      <c r="M32" s="4">
        <v>241.62953780953444</v>
      </c>
      <c r="N32" s="4">
        <v>0.23230223293694249</v>
      </c>
      <c r="O32" s="1" t="str">
        <f>HYPERLINK(".\sm_car_250601_0524\sm_car_250601_0524_031_Ca113TrN_MaWOT_ode23t.png","figure")</f>
        <v>figure</v>
      </c>
      <c r="P32" t="s">
        <v>15</v>
      </c>
    </row>
    <row r="33" spans="1:16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25</v>
      </c>
      <c r="H33" t="s">
        <v>21</v>
      </c>
      <c r="I33" t="s">
        <v>24</v>
      </c>
      <c r="J33" t="s">
        <v>23</v>
      </c>
      <c r="K33">
        <v>484</v>
      </c>
      <c r="L33" s="4">
        <v>3.1047829</v>
      </c>
      <c r="M33" s="4">
        <v>74.340098687509567</v>
      </c>
      <c r="N33" s="4">
        <v>-0.33372692734011278</v>
      </c>
      <c r="O33" s="1" t="str">
        <f>HYPERLINK(".\sm_car_250601_0524\sm_car_250601_0524_032_Ca113TrN_MaLSS_ode23t.png","figure")</f>
        <v>figure</v>
      </c>
      <c r="P33" t="s">
        <v>15</v>
      </c>
    </row>
    <row r="34" spans="1:16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26</v>
      </c>
      <c r="H34" t="s">
        <v>21</v>
      </c>
      <c r="I34" t="s">
        <v>22</v>
      </c>
      <c r="J34" t="s">
        <v>23</v>
      </c>
      <c r="K34">
        <v>365</v>
      </c>
      <c r="L34" s="4">
        <v>3.2287927000000001</v>
      </c>
      <c r="M34" s="4">
        <v>241.54135549521669</v>
      </c>
      <c r="N34" s="4">
        <v>0.23257023722638706</v>
      </c>
      <c r="O34" s="1" t="str">
        <f>HYPERLINK(".\sm_car_250601_0524\sm_car_250601_0524_033_Ca114TrN_MaWOT_ode23t.png","figure")</f>
        <v>figure</v>
      </c>
      <c r="P34" t="s">
        <v>15</v>
      </c>
    </row>
    <row r="35" spans="1:16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26</v>
      </c>
      <c r="H35" t="s">
        <v>21</v>
      </c>
      <c r="I35" t="s">
        <v>24</v>
      </c>
      <c r="J35" t="s">
        <v>23</v>
      </c>
      <c r="K35">
        <v>474</v>
      </c>
      <c r="L35" s="4">
        <v>3.5770157999999999</v>
      </c>
      <c r="M35" s="4">
        <v>74.357376080465997</v>
      </c>
      <c r="N35" s="4">
        <v>-0.33401217897315755</v>
      </c>
      <c r="O35" s="1" t="str">
        <f>HYPERLINK(".\sm_car_250601_0524\sm_car_250601_0524_034_Ca114TrN_MaLSS_ode23t.png","figure")</f>
        <v>figure</v>
      </c>
      <c r="P35" t="s">
        <v>15</v>
      </c>
    </row>
    <row r="36" spans="1:16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27</v>
      </c>
      <c r="H36" t="s">
        <v>21</v>
      </c>
      <c r="I36" t="s">
        <v>22</v>
      </c>
      <c r="J36" t="s">
        <v>23</v>
      </c>
      <c r="K36">
        <v>402</v>
      </c>
      <c r="L36" s="4">
        <v>3.4752567000000001</v>
      </c>
      <c r="M36" s="4">
        <v>241.25491004899072</v>
      </c>
      <c r="N36" s="4">
        <v>0.23086755550324103</v>
      </c>
      <c r="O36" s="1" t="str">
        <f>HYPERLINK(".\sm_car_250601_0524\sm_car_250601_0524_035_Ca115TrN_MaWOT_ode23t.png","figure")</f>
        <v>figure</v>
      </c>
      <c r="P36" t="s">
        <v>15</v>
      </c>
    </row>
    <row r="37" spans="1:16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27</v>
      </c>
      <c r="H37" t="s">
        <v>21</v>
      </c>
      <c r="I37" t="s">
        <v>24</v>
      </c>
      <c r="J37" t="s">
        <v>23</v>
      </c>
      <c r="K37">
        <v>505</v>
      </c>
      <c r="L37" s="4">
        <v>3.5067712000000002</v>
      </c>
      <c r="M37" s="4">
        <v>74.216397484708779</v>
      </c>
      <c r="N37" s="4">
        <v>-0.33149412046077237</v>
      </c>
      <c r="O37" s="1" t="str">
        <f>HYPERLINK(".\sm_car_250601_0524\sm_car_250601_0524_036_Ca115TrN_MaLSS_ode23t.png","figure")</f>
        <v>figure</v>
      </c>
      <c r="P37" t="s">
        <v>15</v>
      </c>
    </row>
    <row r="38" spans="1:16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20</v>
      </c>
      <c r="H38" t="s">
        <v>21</v>
      </c>
      <c r="I38" t="s">
        <v>22</v>
      </c>
      <c r="J38" t="s">
        <v>23</v>
      </c>
      <c r="K38">
        <v>917</v>
      </c>
      <c r="L38" s="4">
        <v>4.5502773999999997</v>
      </c>
      <c r="M38" s="4">
        <v>242.55284377109695</v>
      </c>
      <c r="N38" s="4">
        <v>0.23659137482604095</v>
      </c>
      <c r="O38" s="1" t="str">
        <f>HYPERLINK(".\sm_car_250601_0524\sm_car_250601_0524_037_Ca116TrN_MaWOT_ode23t.png","figure")</f>
        <v>figure</v>
      </c>
      <c r="P38" t="s">
        <v>15</v>
      </c>
    </row>
    <row r="39" spans="1:16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20</v>
      </c>
      <c r="H39" t="s">
        <v>21</v>
      </c>
      <c r="I39" t="s">
        <v>24</v>
      </c>
      <c r="J39" t="s">
        <v>23</v>
      </c>
      <c r="K39">
        <v>1057</v>
      </c>
      <c r="L39" s="4">
        <v>5.3000701000000001</v>
      </c>
      <c r="M39" s="4">
        <v>74.662659723869751</v>
      </c>
      <c r="N39" s="4">
        <v>-0.3401055901651473</v>
      </c>
      <c r="O39" s="1" t="str">
        <f>HYPERLINK(".\sm_car_250601_0524\sm_car_250601_0524_038_Ca116TrN_MaLSS_ode23t.png","figure")</f>
        <v>figure</v>
      </c>
      <c r="P39" t="s">
        <v>15</v>
      </c>
    </row>
    <row r="40" spans="1:16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25</v>
      </c>
      <c r="H40" t="s">
        <v>21</v>
      </c>
      <c r="I40" t="s">
        <v>22</v>
      </c>
      <c r="J40" t="s">
        <v>23</v>
      </c>
      <c r="K40">
        <v>963</v>
      </c>
      <c r="L40" s="4">
        <v>5.0647069</v>
      </c>
      <c r="M40" s="4">
        <v>241.50229099389202</v>
      </c>
      <c r="N40" s="4">
        <v>0.23261616238238711</v>
      </c>
      <c r="O40" s="1" t="str">
        <f>HYPERLINK(".\sm_car_250601_0524\sm_car_250601_0524_039_Ca117TrN_MaWOT_ode23t.png","figure")</f>
        <v>figure</v>
      </c>
      <c r="P40" t="s">
        <v>15</v>
      </c>
    </row>
    <row r="41" spans="1:16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25</v>
      </c>
      <c r="H41" t="s">
        <v>21</v>
      </c>
      <c r="I41" t="s">
        <v>24</v>
      </c>
      <c r="J41" t="s">
        <v>23</v>
      </c>
      <c r="K41">
        <v>1063</v>
      </c>
      <c r="L41" s="4">
        <v>5.7001550999999999</v>
      </c>
      <c r="M41" s="4">
        <v>74.339005108528042</v>
      </c>
      <c r="N41" s="4">
        <v>-0.33658754453363837</v>
      </c>
      <c r="O41" s="1" t="str">
        <f>HYPERLINK(".\sm_car_250601_0524\sm_car_250601_0524_040_Ca117TrN_MaLSS_ode23t.png","figure")</f>
        <v>figure</v>
      </c>
      <c r="P41" t="s">
        <v>15</v>
      </c>
    </row>
    <row r="42" spans="1:16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26</v>
      </c>
      <c r="H42" t="s">
        <v>21</v>
      </c>
      <c r="I42" t="s">
        <v>22</v>
      </c>
      <c r="J42" t="s">
        <v>23</v>
      </c>
      <c r="K42">
        <v>947</v>
      </c>
      <c r="L42" s="4">
        <v>5.6638956</v>
      </c>
      <c r="M42" s="4">
        <v>241.23064820859912</v>
      </c>
      <c r="N42" s="4">
        <v>0.23252480072032861</v>
      </c>
      <c r="O42" s="1" t="str">
        <f>HYPERLINK(".\sm_car_250601_0524\sm_car_250601_0524_041_Ca118TrN_MaWOT_ode23t.png","figure")</f>
        <v>figure</v>
      </c>
      <c r="P42" t="s">
        <v>15</v>
      </c>
    </row>
    <row r="43" spans="1:16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26</v>
      </c>
      <c r="H43" t="s">
        <v>21</v>
      </c>
      <c r="I43" t="s">
        <v>24</v>
      </c>
      <c r="J43" t="s">
        <v>23</v>
      </c>
      <c r="K43">
        <v>1083</v>
      </c>
      <c r="L43" s="4">
        <v>6.1869424000000004</v>
      </c>
      <c r="M43" s="4">
        <v>74.337064431350825</v>
      </c>
      <c r="N43" s="4">
        <v>-0.33611418080232897</v>
      </c>
      <c r="O43" s="1" t="str">
        <f>HYPERLINK(".\sm_car_250601_0524\sm_car_250601_0524_042_Ca118TrN_MaLSS_ode23t.png","figure")</f>
        <v>figure</v>
      </c>
      <c r="P43" t="s">
        <v>15</v>
      </c>
    </row>
    <row r="44" spans="1:16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27</v>
      </c>
      <c r="H44" t="s">
        <v>21</v>
      </c>
      <c r="I44" t="s">
        <v>22</v>
      </c>
      <c r="J44" t="s">
        <v>23</v>
      </c>
      <c r="K44">
        <v>996</v>
      </c>
      <c r="L44" s="4">
        <v>6.2031111000000001</v>
      </c>
      <c r="M44" s="4">
        <v>240.99456068308641</v>
      </c>
      <c r="N44" s="4">
        <v>0.23171030835918666</v>
      </c>
      <c r="O44" s="1" t="str">
        <f>HYPERLINK(".\sm_car_250601_0524\sm_car_250601_0524_043_Ca119TrN_MaWOT_ode23t.png","figure")</f>
        <v>figure</v>
      </c>
      <c r="P44" t="s">
        <v>15</v>
      </c>
    </row>
    <row r="45" spans="1:16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27</v>
      </c>
      <c r="H45" t="s">
        <v>21</v>
      </c>
      <c r="I45" t="s">
        <v>24</v>
      </c>
      <c r="J45" t="s">
        <v>23</v>
      </c>
      <c r="K45">
        <v>1100</v>
      </c>
      <c r="L45" s="4">
        <v>6.3542844000000001</v>
      </c>
      <c r="M45" s="4">
        <v>74.191759012097194</v>
      </c>
      <c r="N45" s="4">
        <v>-0.33397949475133454</v>
      </c>
      <c r="O45" s="1" t="str">
        <f>HYPERLINK(".\sm_car_250601_0524\sm_car_250601_0524_044_Ca119TrN_MaLSS_ode23t.png","figure")</f>
        <v>figure</v>
      </c>
      <c r="P45" t="s">
        <v>15</v>
      </c>
    </row>
    <row r="46" spans="1:16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23</v>
      </c>
      <c r="K46">
        <v>324</v>
      </c>
      <c r="L46" s="4">
        <v>5.9900180000000001</v>
      </c>
      <c r="M46" s="4">
        <v>99.814061262987821</v>
      </c>
      <c r="N46" s="4">
        <v>-1.7632181555593908E-2</v>
      </c>
      <c r="O46" s="1" t="str">
        <f>HYPERLINK(".\sm_car_250601_0524\sm_car_250601_0524_045_Ca128TrN_MaWOT_ode23t.png","figure")</f>
        <v>figure</v>
      </c>
      <c r="P46" t="s">
        <v>15</v>
      </c>
    </row>
    <row r="47" spans="1:16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23</v>
      </c>
      <c r="K47">
        <v>445</v>
      </c>
      <c r="L47" s="4">
        <v>7.9387910000000002</v>
      </c>
      <c r="M47" s="4">
        <v>36.975822320565428</v>
      </c>
      <c r="N47" s="4">
        <v>-0.13066798550488262</v>
      </c>
      <c r="O47" s="1" t="str">
        <f>HYPERLINK(".\sm_car_250601_0524\sm_car_250601_0524_046_Ca128TrN_MaLSS_ode23t.png","figure")</f>
        <v>figure</v>
      </c>
      <c r="P47" t="s">
        <v>15</v>
      </c>
    </row>
    <row r="48" spans="1:16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23</v>
      </c>
      <c r="K48">
        <v>340</v>
      </c>
      <c r="L48" s="4">
        <v>7.5539445000000001</v>
      </c>
      <c r="M48" s="4">
        <v>229.36392419082537</v>
      </c>
      <c r="N48" s="4">
        <v>5.5396184986990567E-2</v>
      </c>
      <c r="O48" s="1" t="str">
        <f>HYPERLINK(".\sm_car_250601_0524\sm_car_250601_0524_047_Ca129TrN_MaWOT_ode23t.png","figure")</f>
        <v>figure</v>
      </c>
      <c r="P48" t="s">
        <v>15</v>
      </c>
    </row>
    <row r="49" spans="1:16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23</v>
      </c>
      <c r="K49">
        <v>480</v>
      </c>
      <c r="L49" s="4">
        <v>8.6804682</v>
      </c>
      <c r="M49" s="4">
        <v>70.691904787487161</v>
      </c>
      <c r="N49" s="4">
        <v>-0.52715893519725132</v>
      </c>
      <c r="O49" s="1" t="str">
        <f>HYPERLINK(".\sm_car_250601_0524\sm_car_250601_0524_048_Ca129TrN_MaLSS_ode23t.png","figure")</f>
        <v>figure</v>
      </c>
      <c r="P49" t="s">
        <v>15</v>
      </c>
    </row>
    <row r="50" spans="1:16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23</v>
      </c>
      <c r="K50">
        <v>800</v>
      </c>
      <c r="L50" s="4">
        <v>23.191436400000001</v>
      </c>
      <c r="M50" s="4">
        <v>217.28170793130232</v>
      </c>
      <c r="N50" s="4">
        <v>-1.5362249648371662</v>
      </c>
      <c r="O50" s="1" t="str">
        <f>HYPERLINK(".\sm_car_250601_0524\sm_car_250601_0524_049_Ca130TrN_MaWOT_ode23t.png","figure")</f>
        <v>figure</v>
      </c>
      <c r="P50" t="s">
        <v>15</v>
      </c>
    </row>
    <row r="51" spans="1:16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23</v>
      </c>
      <c r="K51">
        <v>779</v>
      </c>
      <c r="L51" s="4">
        <v>21.271350999999999</v>
      </c>
      <c r="M51" s="4">
        <v>68.779505776194313</v>
      </c>
      <c r="N51" s="4">
        <v>-0.5440557391299784</v>
      </c>
      <c r="O51" s="1" t="str">
        <f>HYPERLINK(".\sm_car_250601_0524\sm_car_250601_0524_050_Ca130TrN_MaLSS_ode23t.png","figure")</f>
        <v>figure</v>
      </c>
      <c r="P51" t="s">
        <v>15</v>
      </c>
    </row>
    <row r="52" spans="1:16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23</v>
      </c>
      <c r="K52">
        <v>363</v>
      </c>
      <c r="L52" s="4">
        <v>5.2025188</v>
      </c>
      <c r="M52" s="4">
        <v>230.10132280490575</v>
      </c>
      <c r="N52" s="4">
        <v>-4.1828478662908848E-2</v>
      </c>
      <c r="O52" s="1" t="str">
        <f>HYPERLINK(".\sm_car_250601_0524\sm_car_250601_0524_051_Ca131TrN_MaWOT_ode23t.png","figure")</f>
        <v>figure</v>
      </c>
      <c r="P52" t="s">
        <v>15</v>
      </c>
    </row>
    <row r="53" spans="1:16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23</v>
      </c>
      <c r="K53">
        <v>497</v>
      </c>
      <c r="L53" s="4">
        <v>5.5780726999999999</v>
      </c>
      <c r="M53" s="4">
        <v>70.962308130153446</v>
      </c>
      <c r="N53" s="4">
        <v>-0.54092331374709235</v>
      </c>
      <c r="O53" s="1" t="str">
        <f>HYPERLINK(".\sm_car_250601_0524\sm_car_250601_0524_052_Ca131TrN_MaLSS_ode23t.png","figure")</f>
        <v>figure</v>
      </c>
      <c r="P53" t="s">
        <v>15</v>
      </c>
    </row>
    <row r="54" spans="1:16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23</v>
      </c>
      <c r="K54">
        <v>367</v>
      </c>
      <c r="L54" s="4">
        <v>5.0752876000000002</v>
      </c>
      <c r="M54" s="4">
        <v>230.40589816124253</v>
      </c>
      <c r="N54" s="4">
        <v>-9.096984734319408E-3</v>
      </c>
      <c r="O54" s="1" t="str">
        <f>HYPERLINK(".\sm_car_250601_0524\sm_car_250601_0524_053_Ca132TrN_MaWOT_ode23t.png","figure")</f>
        <v>figure</v>
      </c>
      <c r="P54" t="s">
        <v>15</v>
      </c>
    </row>
    <row r="55" spans="1:16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23</v>
      </c>
      <c r="K55">
        <v>493</v>
      </c>
      <c r="L55" s="4">
        <v>5.7033506999999997</v>
      </c>
      <c r="M55" s="4">
        <v>70.960602131367693</v>
      </c>
      <c r="N55" s="4">
        <v>-0.53634738852393293</v>
      </c>
      <c r="O55" s="1" t="str">
        <f>HYPERLINK(".\sm_car_250601_0524\sm_car_250601_0524_054_Ca132TrN_MaLSS_ode23t.png","figure")</f>
        <v>figure</v>
      </c>
      <c r="P55" t="s">
        <v>15</v>
      </c>
    </row>
    <row r="56" spans="1:16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23</v>
      </c>
      <c r="K56">
        <v>354</v>
      </c>
      <c r="L56" s="4">
        <v>5.4574600999999996</v>
      </c>
      <c r="M56" s="4">
        <v>230.38890124053427</v>
      </c>
      <c r="N56" s="4">
        <v>-7.5062799287146644E-3</v>
      </c>
      <c r="O56" s="1" t="str">
        <f>HYPERLINK(".\sm_car_250601_0524\sm_car_250601_0524_055_Ca133TrN_MaWOT_ode23t.png","figure")</f>
        <v>figure</v>
      </c>
      <c r="P56" t="s">
        <v>15</v>
      </c>
    </row>
    <row r="57" spans="1:16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23</v>
      </c>
      <c r="K57">
        <v>497</v>
      </c>
      <c r="L57" s="4">
        <v>5.6310516000000002</v>
      </c>
      <c r="M57" s="4">
        <v>70.970673316838216</v>
      </c>
      <c r="N57" s="4">
        <v>-0.52834200882352278</v>
      </c>
      <c r="O57" s="1" t="str">
        <f>HYPERLINK(".\sm_car_250601_0524\sm_car_250601_0524_056_Ca133TrN_MaLSS_ode23t.png","figure")</f>
        <v>figure</v>
      </c>
      <c r="P57" t="s">
        <v>15</v>
      </c>
    </row>
    <row r="58" spans="1:16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23</v>
      </c>
      <c r="K58">
        <v>358</v>
      </c>
      <c r="L58" s="4">
        <v>5.1141091000000003</v>
      </c>
      <c r="M58" s="4">
        <v>230.38627969123687</v>
      </c>
      <c r="N58" s="4">
        <v>-1.2699869487549548E-2</v>
      </c>
      <c r="O58" s="1" t="str">
        <f>HYPERLINK(".\sm_car_250601_0524\sm_car_250601_0524_057_Ca134TrN_MaWOT_ode23t.png","figure")</f>
        <v>figure</v>
      </c>
      <c r="P58" t="s">
        <v>15</v>
      </c>
    </row>
    <row r="59" spans="1:16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23</v>
      </c>
      <c r="K59">
        <v>502</v>
      </c>
      <c r="L59" s="4">
        <v>5.7581388999999996</v>
      </c>
      <c r="M59" s="4">
        <v>70.976515589972053</v>
      </c>
      <c r="N59" s="4">
        <v>-0.534342537793145</v>
      </c>
      <c r="O59" s="1" t="str">
        <f>HYPERLINK(".\sm_car_250601_0524\sm_car_250601_0524_058_Ca134TrN_MaLSS_ode23t.png","figure")</f>
        <v>figure</v>
      </c>
      <c r="P59" t="s">
        <v>15</v>
      </c>
    </row>
    <row r="60" spans="1:16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23</v>
      </c>
      <c r="K60">
        <v>346</v>
      </c>
      <c r="L60" s="4">
        <v>4.9040745000000001</v>
      </c>
      <c r="M60" s="4">
        <v>230.39182221946751</v>
      </c>
      <c r="N60" s="4">
        <v>-1.1090319417731176E-2</v>
      </c>
      <c r="O60" s="1" t="str">
        <f>HYPERLINK(".\sm_car_250601_0524\sm_car_250601_0524_059_Ca135TrN_MaWOT_ode23t.png","figure")</f>
        <v>figure</v>
      </c>
      <c r="P60" t="s">
        <v>15</v>
      </c>
    </row>
    <row r="61" spans="1:16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23</v>
      </c>
      <c r="K61">
        <v>490</v>
      </c>
      <c r="L61" s="4">
        <v>5.4244251999999999</v>
      </c>
      <c r="M61" s="4">
        <v>70.979964543448673</v>
      </c>
      <c r="N61" s="4">
        <v>-0.52629443401147824</v>
      </c>
      <c r="O61" s="1" t="str">
        <f>HYPERLINK(".\sm_car_250601_0524\sm_car_250601_0524_060_Ca135TrN_MaLSS_ode23t.png","figure")</f>
        <v>figure</v>
      </c>
      <c r="P61" t="s">
        <v>15</v>
      </c>
    </row>
    <row r="62" spans="1:16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23</v>
      </c>
      <c r="K62">
        <v>363</v>
      </c>
      <c r="L62" s="4">
        <v>5.6619723000000004</v>
      </c>
      <c r="M62" s="4">
        <v>230.28749129544778</v>
      </c>
      <c r="N62" s="4">
        <v>5.7437038867938522E-2</v>
      </c>
      <c r="O62" s="1" t="str">
        <f>HYPERLINK(".\sm_car_250601_0524\sm_car_250601_0524_061_Ca136TrN_MaWOT_ode23t.png","figure")</f>
        <v>figure</v>
      </c>
      <c r="P62" t="s">
        <v>15</v>
      </c>
    </row>
    <row r="63" spans="1:16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23</v>
      </c>
      <c r="K63">
        <v>491</v>
      </c>
      <c r="L63" s="4">
        <v>6.5560717000000004</v>
      </c>
      <c r="M63" s="4">
        <v>70.970897178997788</v>
      </c>
      <c r="N63" s="4">
        <v>-0.52998807998681552</v>
      </c>
      <c r="O63" s="1" t="str">
        <f>HYPERLINK(".\sm_car_250601_0524\sm_car_250601_0524_062_Ca136TrN_MaLSS_ode23t.png","figure")</f>
        <v>figure</v>
      </c>
      <c r="P63" t="s">
        <v>15</v>
      </c>
    </row>
    <row r="64" spans="1:16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23</v>
      </c>
      <c r="K64">
        <v>322</v>
      </c>
      <c r="L64" s="4">
        <v>3.9287928999999999</v>
      </c>
      <c r="M64" s="4">
        <v>231.13056882651293</v>
      </c>
      <c r="N64" s="4">
        <v>0.14153927036018177</v>
      </c>
      <c r="O64" s="1" t="str">
        <f>HYPERLINK(".\sm_car_250601_0524\sm_car_250601_0524_063_Ca137TrN_MaWOT_ode23t.png","figure")</f>
        <v>figure</v>
      </c>
      <c r="P64" t="s">
        <v>15</v>
      </c>
    </row>
    <row r="65" spans="1:16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23</v>
      </c>
      <c r="K65">
        <v>480</v>
      </c>
      <c r="L65" s="4">
        <v>4.9159350999999996</v>
      </c>
      <c r="M65" s="4">
        <v>71.239976441046863</v>
      </c>
      <c r="N65" s="4">
        <v>-0.51296852072698151</v>
      </c>
      <c r="O65" s="1" t="str">
        <f>HYPERLINK(".\sm_car_250601_0524\sm_car_250601_0524_064_Ca137TrN_MaLSS_ode23t.png","figure")</f>
        <v>figure</v>
      </c>
      <c r="P65" t="s">
        <v>15</v>
      </c>
    </row>
    <row r="66" spans="1:16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23</v>
      </c>
      <c r="K66">
        <v>330</v>
      </c>
      <c r="L66" s="4">
        <v>7.5584376999999998</v>
      </c>
      <c r="M66" s="4">
        <v>231.04126857060766</v>
      </c>
      <c r="N66" s="4">
        <v>0.14657344627996305</v>
      </c>
      <c r="O66" s="1" t="str">
        <f>HYPERLINK(".\sm_car_250601_0524\sm_car_250601_0524_065_Ca138TrN_MaWOT_ode23t.png","figure")</f>
        <v>figure</v>
      </c>
      <c r="P66" t="s">
        <v>15</v>
      </c>
    </row>
    <row r="67" spans="1:16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23</v>
      </c>
      <c r="K67">
        <v>495</v>
      </c>
      <c r="L67" s="4">
        <v>6.7113063999999998</v>
      </c>
      <c r="M67" s="4">
        <v>71.130252783663053</v>
      </c>
      <c r="N67" s="4">
        <v>-0.82600072700020344</v>
      </c>
      <c r="O67" s="1" t="str">
        <f>HYPERLINK(".\sm_car_250601_0524\sm_car_250601_0524_066_Ca138TrN_MaLSS_ode23t.png","figure")</f>
        <v>figure</v>
      </c>
      <c r="P67" t="s">
        <v>15</v>
      </c>
    </row>
    <row r="68" spans="1:16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23</v>
      </c>
      <c r="K68">
        <v>652</v>
      </c>
      <c r="L68" s="4">
        <v>26.8490167</v>
      </c>
      <c r="M68" s="4">
        <v>405.34282971654443</v>
      </c>
      <c r="N68" s="4">
        <v>1.6363409677673066</v>
      </c>
      <c r="O68" s="1" t="str">
        <f>HYPERLINK(".\sm_car_250601_0524\sm_car_250601_0524_067_Ca139TrN_MaWOT_ode23t.png","figure")</f>
        <v>figure</v>
      </c>
      <c r="P68" t="s">
        <v>15</v>
      </c>
    </row>
    <row r="69" spans="1:16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23</v>
      </c>
      <c r="K69">
        <v>652</v>
      </c>
      <c r="L69" s="4">
        <v>17.371162999999999</v>
      </c>
      <c r="M69" s="4">
        <v>154.37158532024651</v>
      </c>
      <c r="N69" s="4">
        <v>-0.58868509825025073</v>
      </c>
      <c r="O69" s="1" t="str">
        <f>HYPERLINK(".\sm_car_250601_0524\sm_car_250601_0524_068_Ca139TrN_MaLSS_ode23t.png","figure")</f>
        <v>figure</v>
      </c>
      <c r="P69" t="s">
        <v>15</v>
      </c>
    </row>
    <row r="70" spans="1:16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23</v>
      </c>
      <c r="K70">
        <v>2021</v>
      </c>
      <c r="L70" s="4">
        <v>37.432169199999997</v>
      </c>
      <c r="M70" s="4">
        <v>405.28004150776576</v>
      </c>
      <c r="N70" s="4">
        <v>1.6695322531781871</v>
      </c>
      <c r="O70" s="1" t="str">
        <f>HYPERLINK(".\sm_car_250601_0524\sm_car_250601_0524_069_Ca141TrN_MaWOT_ode23t.png","figure")</f>
        <v>figure</v>
      </c>
      <c r="P70" t="s">
        <v>15</v>
      </c>
    </row>
    <row r="71" spans="1:16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23</v>
      </c>
      <c r="K71">
        <v>1895</v>
      </c>
      <c r="L71" s="4">
        <v>26.953742800000001</v>
      </c>
      <c r="M71" s="4">
        <v>154.40028044949671</v>
      </c>
      <c r="N71" s="4">
        <v>-0.57175726874626087</v>
      </c>
      <c r="O71" s="1" t="str">
        <f>HYPERLINK(".\sm_car_250601_0524\sm_car_250601_0524_070_Ca141TrN_MaLSS_ode23t.png","figure")</f>
        <v>figure</v>
      </c>
      <c r="P71" t="s">
        <v>15</v>
      </c>
    </row>
    <row r="72" spans="1:16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23</v>
      </c>
      <c r="K72">
        <v>353</v>
      </c>
      <c r="L72" s="4">
        <v>21.283612300000001</v>
      </c>
      <c r="M72" s="4">
        <v>95.821673801111075</v>
      </c>
      <c r="N72" s="4">
        <v>-3.1658773256693203E-2</v>
      </c>
      <c r="O72" s="1" t="str">
        <f>HYPERLINK(".\sm_car_250601_0524\sm_car_250601_0524_071_Ca143TrN_MaWOT_ode23t.png","figure")</f>
        <v>figure</v>
      </c>
      <c r="P72" t="s">
        <v>15</v>
      </c>
    </row>
    <row r="73" spans="1:16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23</v>
      </c>
      <c r="K73">
        <v>448</v>
      </c>
      <c r="L73" s="4">
        <v>23.088131700000002</v>
      </c>
      <c r="M73" s="4">
        <v>25.014681132040707</v>
      </c>
      <c r="N73" s="4">
        <v>-5.2905397861808416E-2</v>
      </c>
      <c r="O73" s="1" t="str">
        <f>HYPERLINK(".\sm_car_250601_0524\sm_car_250601_0524_072_Ca143TrN_MaLSS_ode23t.png","figure")</f>
        <v>figure</v>
      </c>
      <c r="P73" t="s">
        <v>15</v>
      </c>
    </row>
    <row r="74" spans="1:16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23</v>
      </c>
      <c r="K74">
        <v>354</v>
      </c>
      <c r="L74" s="4">
        <v>16.857762999999998</v>
      </c>
      <c r="M74" s="4">
        <v>114.02109667338847</v>
      </c>
      <c r="N74" s="4">
        <v>0.52989003843524995</v>
      </c>
      <c r="O74" s="1" t="str">
        <f>HYPERLINK(".\sm_car_250601_0524\sm_car_250601_0524_073_Ca144TrN_MaWOT_ode23t.png","figure")</f>
        <v>figure</v>
      </c>
      <c r="P74" t="s">
        <v>15</v>
      </c>
    </row>
    <row r="75" spans="1:16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23</v>
      </c>
      <c r="K75">
        <v>460</v>
      </c>
      <c r="L75" s="4">
        <v>16.3867744</v>
      </c>
      <c r="M75" s="4">
        <v>35.600217061292902</v>
      </c>
      <c r="N75" s="4">
        <v>-3.1094151198819833E-2</v>
      </c>
      <c r="O75" s="1" t="str">
        <f>HYPERLINK(".\sm_car_250601_0524\sm_car_250601_0524_074_Ca144TrN_MaLSS_ode23t.png","figure")</f>
        <v>figure</v>
      </c>
      <c r="P75" t="s">
        <v>15</v>
      </c>
    </row>
    <row r="76" spans="1:16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23</v>
      </c>
      <c r="K76">
        <v>2380</v>
      </c>
      <c r="L76" s="4">
        <v>27.709494100000001</v>
      </c>
      <c r="M76" s="4">
        <v>399.81124753603279</v>
      </c>
      <c r="N76" s="4">
        <v>-16.045456112949136</v>
      </c>
      <c r="O76" s="1" t="str">
        <f>HYPERLINK(".\sm_car_250601_0524\sm_car_250601_0524_075_Ca147TrN_MaWOT_ode23t.png","figure")</f>
        <v>figure</v>
      </c>
      <c r="P76" t="s">
        <v>15</v>
      </c>
    </row>
    <row r="77" spans="1:16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23</v>
      </c>
      <c r="K77">
        <v>1289</v>
      </c>
      <c r="L77" s="4">
        <v>18.3737049</v>
      </c>
      <c r="M77" s="4">
        <v>151.95045176866967</v>
      </c>
      <c r="N77" s="4">
        <v>-2.37086492899404</v>
      </c>
      <c r="O77" s="1" t="str">
        <f>HYPERLINK(".\sm_car_250601_0524\sm_car_250601_0524_076_Ca147TrN_MaLSS_ode23t.png","figure")</f>
        <v>figure</v>
      </c>
      <c r="P77" t="s">
        <v>15</v>
      </c>
    </row>
    <row r="78" spans="1:16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23</v>
      </c>
      <c r="K78">
        <v>312</v>
      </c>
      <c r="L78" s="4">
        <v>8.5104644</v>
      </c>
      <c r="M78" s="4">
        <v>229.67542025612829</v>
      </c>
      <c r="N78" s="4">
        <v>5.5980890335133957E-3</v>
      </c>
      <c r="O78" s="1" t="str">
        <f>HYPERLINK(".\sm_car_250601_0524\sm_car_250601_0524_077_Ca215TrN_MaWOT_ode23t.png","figure")</f>
        <v>figure</v>
      </c>
      <c r="P78" t="s">
        <v>15</v>
      </c>
    </row>
    <row r="79" spans="1:16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23</v>
      </c>
      <c r="K79">
        <v>471</v>
      </c>
      <c r="L79" s="4">
        <v>8.5541400999999997</v>
      </c>
      <c r="M79" s="4">
        <v>81.26828189226714</v>
      </c>
      <c r="N79" s="4">
        <v>-0.22189443475888274</v>
      </c>
      <c r="O79" s="1" t="str">
        <f>HYPERLINK(".\sm_car_250601_0524\sm_car_250601_0524_078_Ca215TrN_MaLSS_ode23t.png","figure")</f>
        <v>figure</v>
      </c>
      <c r="P79" t="s">
        <v>15</v>
      </c>
    </row>
    <row r="80" spans="1:16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26</v>
      </c>
      <c r="H80" t="s">
        <v>21</v>
      </c>
      <c r="I80" t="s">
        <v>22</v>
      </c>
      <c r="J80" t="s">
        <v>23</v>
      </c>
      <c r="K80">
        <v>373</v>
      </c>
      <c r="L80" s="4">
        <v>5.0091542000000002</v>
      </c>
      <c r="M80" s="4">
        <v>230.22411712835432</v>
      </c>
      <c r="N80" s="4">
        <v>0.17085345839859131</v>
      </c>
      <c r="O80" s="1" t="str">
        <f>HYPERLINK(".\sm_car_250601_0524\sm_car_250601_0524_079_Ca218TrN_MaWOT_ode23t.png","figure")</f>
        <v>figure</v>
      </c>
      <c r="P80" t="s">
        <v>15</v>
      </c>
    </row>
    <row r="81" spans="1:16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26</v>
      </c>
      <c r="H81" t="s">
        <v>21</v>
      </c>
      <c r="I81" t="s">
        <v>24</v>
      </c>
      <c r="J81" t="s">
        <v>23</v>
      </c>
      <c r="K81">
        <v>481</v>
      </c>
      <c r="L81" s="4">
        <v>5.9663858000000003</v>
      </c>
      <c r="M81" s="4">
        <v>70.964788723088489</v>
      </c>
      <c r="N81" s="4">
        <v>-0.51904376443984857</v>
      </c>
      <c r="O81" s="1" t="str">
        <f>HYPERLINK(".\sm_car_250601_0524\sm_car_250601_0524_080_Ca218TrN_MaLSS_ode23t.png","figure")</f>
        <v>figure</v>
      </c>
      <c r="P81" t="s">
        <v>15</v>
      </c>
    </row>
    <row r="82" spans="1:16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26</v>
      </c>
      <c r="H82" t="s">
        <v>21</v>
      </c>
      <c r="I82" t="s">
        <v>22</v>
      </c>
      <c r="J82" t="s">
        <v>23</v>
      </c>
      <c r="K82">
        <v>390</v>
      </c>
      <c r="L82" s="4">
        <v>7.0432758</v>
      </c>
      <c r="M82" s="4">
        <v>229.44962048659602</v>
      </c>
      <c r="N82" s="4">
        <v>0.1715956450809871</v>
      </c>
      <c r="O82" s="1" t="str">
        <f>HYPERLINK(".\sm_car_250601_0524\sm_car_250601_0524_081_Ca219TrN_MaWOT_ode23t.png","figure")</f>
        <v>figure</v>
      </c>
      <c r="P82" t="s">
        <v>15</v>
      </c>
    </row>
    <row r="83" spans="1:16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26</v>
      </c>
      <c r="H83" t="s">
        <v>21</v>
      </c>
      <c r="I83" t="s">
        <v>24</v>
      </c>
      <c r="J83" t="s">
        <v>23</v>
      </c>
      <c r="K83">
        <v>496</v>
      </c>
      <c r="L83" s="4">
        <v>8.1327063000000006</v>
      </c>
      <c r="M83" s="4">
        <v>70.786943112679353</v>
      </c>
      <c r="N83" s="4">
        <v>-0.55859333283835977</v>
      </c>
      <c r="O83" s="1" t="str">
        <f>HYPERLINK(".\sm_car_250601_0524\sm_car_250601_0524_082_Ca219TrN_MaLSS_ode23t.png","figure")</f>
        <v>figure</v>
      </c>
      <c r="P83" t="s">
        <v>15</v>
      </c>
    </row>
    <row r="84" spans="1:16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26</v>
      </c>
      <c r="H84" t="s">
        <v>21</v>
      </c>
      <c r="I84" t="s">
        <v>22</v>
      </c>
      <c r="J84" t="s">
        <v>23</v>
      </c>
      <c r="K84">
        <v>932</v>
      </c>
      <c r="L84" s="4">
        <v>31.5977484</v>
      </c>
      <c r="M84" s="4">
        <v>223.94171462069443</v>
      </c>
      <c r="N84" s="4">
        <v>-1.2147688594958139</v>
      </c>
      <c r="O84" s="1" t="str">
        <f>HYPERLINK(".\sm_car_250601_0524\sm_car_250601_0524_083_Ca220TrN_MaWOT_ode23t.png","figure")</f>
        <v>figure</v>
      </c>
      <c r="P84" t="s">
        <v>15</v>
      </c>
    </row>
    <row r="85" spans="1:16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26</v>
      </c>
      <c r="H85" t="s">
        <v>21</v>
      </c>
      <c r="I85" t="s">
        <v>24</v>
      </c>
      <c r="J85" t="s">
        <v>23</v>
      </c>
      <c r="K85">
        <v>1080</v>
      </c>
      <c r="L85" s="4">
        <v>38.379978899999998</v>
      </c>
      <c r="M85" s="4">
        <v>69.476996389491319</v>
      </c>
      <c r="N85" s="4">
        <v>-1.503324317865119</v>
      </c>
      <c r="O85" s="1" t="str">
        <f>HYPERLINK(".\sm_car_250601_0524\sm_car_250601_0524_084_Ca220TrN_MaLSS_ode23t.png","figure")</f>
        <v>figure</v>
      </c>
      <c r="P85" t="s">
        <v>15</v>
      </c>
    </row>
    <row r="86" spans="1:16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23</v>
      </c>
      <c r="K86">
        <v>468</v>
      </c>
      <c r="L86" s="4">
        <v>7.3143776000000003</v>
      </c>
      <c r="M86" s="4">
        <v>293.16432845264791</v>
      </c>
      <c r="N86" s="4">
        <v>5.2423235952798494E-5</v>
      </c>
      <c r="O86" s="1" t="str">
        <f>HYPERLINK(".\sm_car_250601_0524\sm_car_250601_0524_085_Ca223TrN_MaWOT_ode23t.png","figure")</f>
        <v>figure</v>
      </c>
      <c r="P86" t="s">
        <v>15</v>
      </c>
    </row>
    <row r="87" spans="1:16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23</v>
      </c>
      <c r="K87">
        <v>647</v>
      </c>
      <c r="L87" s="4">
        <v>6.9803975999999999</v>
      </c>
      <c r="M87" s="4">
        <v>103.53157620195991</v>
      </c>
      <c r="N87" s="4">
        <v>-0.15335018436426809</v>
      </c>
      <c r="O87" s="1" t="str">
        <f>HYPERLINK(".\sm_car_250601_0524\sm_car_250601_0524_086_Ca223TrN_MaLSS_ode23t.png","figure")</f>
        <v>figure</v>
      </c>
      <c r="P87" t="s">
        <v>15</v>
      </c>
    </row>
    <row r="88" spans="1:16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23</v>
      </c>
      <c r="K88">
        <v>752</v>
      </c>
      <c r="L88" s="4">
        <v>23.894220000000001</v>
      </c>
      <c r="M88" s="4">
        <v>407.69605397951489</v>
      </c>
      <c r="N88" s="4">
        <v>-12.951957221236629</v>
      </c>
      <c r="O88" s="1" t="str">
        <f>HYPERLINK(".\sm_car_250601_0524\sm_car_250601_0524_087_Ca227TrN_MaWOT_ode23t.png","figure")</f>
        <v>figure</v>
      </c>
      <c r="P88" t="s">
        <v>15</v>
      </c>
    </row>
    <row r="89" spans="1:16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23</v>
      </c>
      <c r="K89">
        <v>735</v>
      </c>
      <c r="L89" s="4">
        <v>16.8419946</v>
      </c>
      <c r="M89" s="4">
        <v>155.4698394651796</v>
      </c>
      <c r="N89" s="4">
        <v>-2.8695899556885109</v>
      </c>
      <c r="O89" s="1" t="str">
        <f>HYPERLINK(".\sm_car_250601_0524\sm_car_250601_0524_088_Ca227TrN_MaLSS_ode23t.png","figure")</f>
        <v>figure</v>
      </c>
      <c r="P89" t="s">
        <v>15</v>
      </c>
    </row>
    <row r="90" spans="1:16" x14ac:dyDescent="0.25">
      <c r="A90">
        <v>89</v>
      </c>
      <c r="B90">
        <v>8</v>
      </c>
      <c r="C90" t="s">
        <v>16</v>
      </c>
      <c r="D90" t="s">
        <v>17</v>
      </c>
      <c r="E90" t="s">
        <v>49</v>
      </c>
      <c r="F90" t="s">
        <v>19</v>
      </c>
      <c r="G90" t="s">
        <v>20</v>
      </c>
      <c r="H90" t="s">
        <v>21</v>
      </c>
      <c r="I90" t="s">
        <v>22</v>
      </c>
      <c r="J90" t="s">
        <v>23</v>
      </c>
      <c r="K90">
        <v>382</v>
      </c>
      <c r="L90" s="4">
        <v>10.6800792</v>
      </c>
      <c r="M90" s="4">
        <v>231.31978471892802</v>
      </c>
      <c r="N90" s="4">
        <v>1.0394596207732492E-3</v>
      </c>
      <c r="O90" s="1" t="str">
        <f>HYPERLINK(".\sm_car_250601_0524\sm_car_250601_0524_089_Ca008TrN_MaWOT_ode23t_1.png","figure")</f>
        <v>figure</v>
      </c>
      <c r="P90" t="s">
        <v>15</v>
      </c>
    </row>
    <row r="91" spans="1:16" x14ac:dyDescent="0.25">
      <c r="A91">
        <v>90</v>
      </c>
      <c r="B91">
        <v>8</v>
      </c>
      <c r="C91" t="s">
        <v>16</v>
      </c>
      <c r="D91" t="s">
        <v>17</v>
      </c>
      <c r="E91" t="s">
        <v>49</v>
      </c>
      <c r="F91" t="s">
        <v>19</v>
      </c>
      <c r="G91" t="s">
        <v>20</v>
      </c>
      <c r="H91" t="s">
        <v>21</v>
      </c>
      <c r="I91" t="s">
        <v>24</v>
      </c>
      <c r="J91" t="s">
        <v>23</v>
      </c>
      <c r="K91">
        <v>556</v>
      </c>
      <c r="L91" s="4">
        <v>12.6722109</v>
      </c>
      <c r="M91" s="4">
        <v>71.256587613707282</v>
      </c>
      <c r="N91" s="4">
        <v>-0.53995846386788471</v>
      </c>
      <c r="O91" s="1" t="str">
        <f>HYPERLINK(".\sm_car_250601_0524\sm_car_250601_0524_090_Ca008TrN_MaLSS_ode23t_1.png","figure")</f>
        <v>figure</v>
      </c>
      <c r="P91" t="s">
        <v>15</v>
      </c>
    </row>
    <row r="92" spans="1:16" x14ac:dyDescent="0.25">
      <c r="A92">
        <v>91</v>
      </c>
      <c r="B92">
        <v>9</v>
      </c>
      <c r="C92" t="s">
        <v>16</v>
      </c>
      <c r="D92" t="s">
        <v>17</v>
      </c>
      <c r="E92" t="s">
        <v>49</v>
      </c>
      <c r="F92" t="s">
        <v>19</v>
      </c>
      <c r="G92" t="s">
        <v>25</v>
      </c>
      <c r="H92" t="s">
        <v>21</v>
      </c>
      <c r="I92" t="s">
        <v>22</v>
      </c>
      <c r="J92" t="s">
        <v>23</v>
      </c>
      <c r="K92">
        <v>391</v>
      </c>
      <c r="L92" s="4">
        <v>12.3778313</v>
      </c>
      <c r="M92" s="4">
        <v>230.3615682750586</v>
      </c>
      <c r="N92" s="4">
        <v>-1.2385712971238616E-2</v>
      </c>
      <c r="O92" s="1" t="str">
        <f>HYPERLINK(".\sm_car_250601_0524\sm_car_250601_0524_091_Ca009TrN_MaWOT_ode23t_1.png","figure")</f>
        <v>figure</v>
      </c>
      <c r="P92" t="s">
        <v>15</v>
      </c>
    </row>
    <row r="93" spans="1:16" x14ac:dyDescent="0.25">
      <c r="A93">
        <v>92</v>
      </c>
      <c r="B93">
        <v>9</v>
      </c>
      <c r="C93" t="s">
        <v>16</v>
      </c>
      <c r="D93" t="s">
        <v>17</v>
      </c>
      <c r="E93" t="s">
        <v>49</v>
      </c>
      <c r="F93" t="s">
        <v>19</v>
      </c>
      <c r="G93" t="s">
        <v>25</v>
      </c>
      <c r="H93" t="s">
        <v>21</v>
      </c>
      <c r="I93" t="s">
        <v>24</v>
      </c>
      <c r="J93" t="s">
        <v>23</v>
      </c>
      <c r="K93">
        <v>536</v>
      </c>
      <c r="L93" s="4">
        <v>14.7332272</v>
      </c>
      <c r="M93" s="4">
        <v>70.965447811949289</v>
      </c>
      <c r="N93" s="4">
        <v>-0.53172205073161483</v>
      </c>
      <c r="O93" s="1" t="str">
        <f>HYPERLINK(".\sm_car_250601_0524\sm_car_250601_0524_092_Ca009TrN_MaLSS_ode23t_1.png","figure")</f>
        <v>figure</v>
      </c>
      <c r="P93" t="s">
        <v>15</v>
      </c>
    </row>
    <row r="94" spans="1:16" x14ac:dyDescent="0.25">
      <c r="A94">
        <v>93</v>
      </c>
      <c r="B94">
        <v>10</v>
      </c>
      <c r="C94" t="s">
        <v>16</v>
      </c>
      <c r="D94" t="s">
        <v>17</v>
      </c>
      <c r="E94" t="s">
        <v>49</v>
      </c>
      <c r="F94" t="s">
        <v>19</v>
      </c>
      <c r="G94" t="s">
        <v>26</v>
      </c>
      <c r="H94" t="s">
        <v>21</v>
      </c>
      <c r="I94" t="s">
        <v>22</v>
      </c>
      <c r="J94" t="s">
        <v>23</v>
      </c>
      <c r="K94">
        <v>419</v>
      </c>
      <c r="L94" s="4">
        <v>13.5951982</v>
      </c>
      <c r="M94" s="4">
        <v>230.34796091996901</v>
      </c>
      <c r="N94" s="4">
        <v>5.6989612211716487E-2</v>
      </c>
      <c r="O94" s="1" t="str">
        <f>HYPERLINK(".\sm_car_250601_0524\sm_car_250601_0524_093_Ca010TrN_MaWOT_ode23t_1.png","figure")</f>
        <v>figure</v>
      </c>
      <c r="P94" t="s">
        <v>15</v>
      </c>
    </row>
    <row r="95" spans="1:16" x14ac:dyDescent="0.25">
      <c r="A95">
        <v>94</v>
      </c>
      <c r="B95">
        <v>10</v>
      </c>
      <c r="C95" t="s">
        <v>16</v>
      </c>
      <c r="D95" t="s">
        <v>17</v>
      </c>
      <c r="E95" t="s">
        <v>49</v>
      </c>
      <c r="F95" t="s">
        <v>19</v>
      </c>
      <c r="G95" t="s">
        <v>26</v>
      </c>
      <c r="H95" t="s">
        <v>21</v>
      </c>
      <c r="I95" t="s">
        <v>24</v>
      </c>
      <c r="J95" t="s">
        <v>23</v>
      </c>
      <c r="K95">
        <v>562</v>
      </c>
      <c r="L95" s="4">
        <v>17.557120900000001</v>
      </c>
      <c r="M95" s="4">
        <v>70.975384289103332</v>
      </c>
      <c r="N95" s="4">
        <v>-0.52128753261904026</v>
      </c>
      <c r="O95" s="1" t="str">
        <f>HYPERLINK(".\sm_car_250601_0524\sm_car_250601_0524_094_Ca010TrN_MaLSS_ode23t_1.png","figure")</f>
        <v>figure</v>
      </c>
      <c r="P95" t="s">
        <v>15</v>
      </c>
    </row>
    <row r="96" spans="1:16" x14ac:dyDescent="0.25">
      <c r="A96">
        <v>95</v>
      </c>
      <c r="B96">
        <v>11</v>
      </c>
      <c r="C96" t="s">
        <v>16</v>
      </c>
      <c r="D96" t="s">
        <v>17</v>
      </c>
      <c r="E96" t="s">
        <v>49</v>
      </c>
      <c r="F96" t="s">
        <v>19</v>
      </c>
      <c r="G96" t="s">
        <v>27</v>
      </c>
      <c r="H96" t="s">
        <v>21</v>
      </c>
      <c r="I96" t="s">
        <v>22</v>
      </c>
      <c r="J96" t="s">
        <v>23</v>
      </c>
      <c r="K96">
        <v>463</v>
      </c>
      <c r="L96" s="4">
        <v>15.461311500000001</v>
      </c>
      <c r="M96" s="4">
        <v>229.92215855071231</v>
      </c>
      <c r="N96" s="4">
        <v>5.0845959680894386E-2</v>
      </c>
      <c r="O96" s="1" t="str">
        <f>HYPERLINK(".\sm_car_250601_0524\sm_car_250601_0524_095_Ca011TrN_MaWOT_ode23t_1.png","figure")</f>
        <v>figure</v>
      </c>
      <c r="P96" t="s">
        <v>15</v>
      </c>
    </row>
    <row r="97" spans="1:16" x14ac:dyDescent="0.25">
      <c r="A97">
        <v>96</v>
      </c>
      <c r="B97">
        <v>11</v>
      </c>
      <c r="C97" t="s">
        <v>16</v>
      </c>
      <c r="D97" t="s">
        <v>17</v>
      </c>
      <c r="E97" t="s">
        <v>49</v>
      </c>
      <c r="F97" t="s">
        <v>19</v>
      </c>
      <c r="G97" t="s">
        <v>27</v>
      </c>
      <c r="H97" t="s">
        <v>21</v>
      </c>
      <c r="I97" t="s">
        <v>24</v>
      </c>
      <c r="J97" t="s">
        <v>23</v>
      </c>
      <c r="K97">
        <v>599</v>
      </c>
      <c r="L97" s="4">
        <v>17.277004000000002</v>
      </c>
      <c r="M97" s="4">
        <v>70.835970917767526</v>
      </c>
      <c r="N97" s="4">
        <v>-0.52696983306563105</v>
      </c>
      <c r="O97" s="1" t="str">
        <f>HYPERLINK(".\sm_car_250601_0524\sm_car_250601_0524_096_Ca011TrN_MaLSS_ode23t_1.png","figure")</f>
        <v>figure</v>
      </c>
      <c r="P97" t="s">
        <v>15</v>
      </c>
    </row>
    <row r="98" spans="1:16" x14ac:dyDescent="0.25">
      <c r="A98">
        <v>97</v>
      </c>
      <c r="B98">
        <v>12</v>
      </c>
      <c r="C98" t="s">
        <v>16</v>
      </c>
      <c r="D98" t="s">
        <v>17</v>
      </c>
      <c r="E98" t="s">
        <v>49</v>
      </c>
      <c r="F98" t="s">
        <v>28</v>
      </c>
      <c r="G98" t="s">
        <v>20</v>
      </c>
      <c r="H98" t="s">
        <v>21</v>
      </c>
      <c r="I98" t="s">
        <v>22</v>
      </c>
      <c r="J98" t="s">
        <v>23</v>
      </c>
      <c r="K98">
        <v>852</v>
      </c>
      <c r="L98" s="4">
        <v>12.185567900000001</v>
      </c>
      <c r="M98" s="4">
        <v>231.35029137154615</v>
      </c>
      <c r="N98" s="4">
        <v>-4.0795641440786361E-3</v>
      </c>
      <c r="O98" s="1" t="str">
        <f>HYPERLINK(".\sm_car_250601_0524\sm_car_250601_0524_097_Ca012TrN_MaWOT_ode23t_1.png","figure")</f>
        <v>figure</v>
      </c>
      <c r="P98" t="s">
        <v>15</v>
      </c>
    </row>
    <row r="99" spans="1:16" x14ac:dyDescent="0.25">
      <c r="A99">
        <v>98</v>
      </c>
      <c r="B99">
        <v>12</v>
      </c>
      <c r="C99" t="s">
        <v>16</v>
      </c>
      <c r="D99" t="s">
        <v>17</v>
      </c>
      <c r="E99" t="s">
        <v>49</v>
      </c>
      <c r="F99" t="s">
        <v>28</v>
      </c>
      <c r="G99" t="s">
        <v>20</v>
      </c>
      <c r="H99" t="s">
        <v>21</v>
      </c>
      <c r="I99" t="s">
        <v>24</v>
      </c>
      <c r="J99" t="s">
        <v>23</v>
      </c>
      <c r="K99">
        <v>983</v>
      </c>
      <c r="L99" s="4">
        <v>14.0307998</v>
      </c>
      <c r="M99" s="4">
        <v>71.248061147625592</v>
      </c>
      <c r="N99" s="4">
        <v>-0.54433560304338646</v>
      </c>
      <c r="O99" s="1" t="str">
        <f>HYPERLINK(".\sm_car_250601_0524\sm_car_250601_0524_098_Ca012TrN_MaLSS_ode23t_1.png","figure")</f>
        <v>figure</v>
      </c>
      <c r="P99" t="s">
        <v>15</v>
      </c>
    </row>
    <row r="100" spans="1:16" x14ac:dyDescent="0.25">
      <c r="A100">
        <v>99</v>
      </c>
      <c r="B100">
        <v>13</v>
      </c>
      <c r="C100" t="s">
        <v>16</v>
      </c>
      <c r="D100" t="s">
        <v>17</v>
      </c>
      <c r="E100" t="s">
        <v>49</v>
      </c>
      <c r="F100" t="s">
        <v>28</v>
      </c>
      <c r="G100" t="s">
        <v>25</v>
      </c>
      <c r="H100" t="s">
        <v>21</v>
      </c>
      <c r="I100" t="s">
        <v>22</v>
      </c>
      <c r="J100" t="s">
        <v>23</v>
      </c>
      <c r="K100">
        <v>840</v>
      </c>
      <c r="L100" s="4">
        <v>13.1692544</v>
      </c>
      <c r="M100" s="4">
        <v>230.32945596886307</v>
      </c>
      <c r="N100" s="4">
        <v>-1.217315426962424E-2</v>
      </c>
      <c r="O100" s="1" t="str">
        <f>HYPERLINK(".\sm_car_250601_0524\sm_car_250601_0524_099_Ca013TrN_MaWOT_ode23t_1.png","figure")</f>
        <v>figure</v>
      </c>
      <c r="P100" t="s">
        <v>15</v>
      </c>
    </row>
    <row r="101" spans="1:16" x14ac:dyDescent="0.25">
      <c r="A101">
        <v>100</v>
      </c>
      <c r="B101">
        <v>13</v>
      </c>
      <c r="C101" t="s">
        <v>16</v>
      </c>
      <c r="D101" t="s">
        <v>17</v>
      </c>
      <c r="E101" t="s">
        <v>49</v>
      </c>
      <c r="F101" t="s">
        <v>28</v>
      </c>
      <c r="G101" t="s">
        <v>25</v>
      </c>
      <c r="H101" t="s">
        <v>21</v>
      </c>
      <c r="I101" t="s">
        <v>24</v>
      </c>
      <c r="J101" t="s">
        <v>23</v>
      </c>
      <c r="K101">
        <v>1005</v>
      </c>
      <c r="L101" s="4">
        <v>16.069180500000002</v>
      </c>
      <c r="M101" s="4">
        <v>70.956998456429673</v>
      </c>
      <c r="N101" s="4">
        <v>-0.53819342432266781</v>
      </c>
      <c r="O101" s="1" t="str">
        <f>HYPERLINK(".\sm_car_250601_0524\sm_car_250601_0524_100_Ca013TrN_MaLSS_ode23t_1.png","figure")</f>
        <v>figure</v>
      </c>
      <c r="P101" t="s">
        <v>15</v>
      </c>
    </row>
    <row r="102" spans="1:16" x14ac:dyDescent="0.25">
      <c r="A102">
        <v>101</v>
      </c>
      <c r="B102">
        <v>14</v>
      </c>
      <c r="C102" t="s">
        <v>16</v>
      </c>
      <c r="D102" t="s">
        <v>17</v>
      </c>
      <c r="E102" t="s">
        <v>49</v>
      </c>
      <c r="F102" t="s">
        <v>28</v>
      </c>
      <c r="G102" t="s">
        <v>26</v>
      </c>
      <c r="H102" t="s">
        <v>21</v>
      </c>
      <c r="I102" t="s">
        <v>22</v>
      </c>
      <c r="J102" t="s">
        <v>23</v>
      </c>
      <c r="K102">
        <v>891</v>
      </c>
      <c r="L102" s="4">
        <v>14.3198135</v>
      </c>
      <c r="M102" s="4">
        <v>230.3528565604864</v>
      </c>
      <c r="N102" s="4">
        <v>5.4007323739484192E-2</v>
      </c>
      <c r="O102" s="1" t="str">
        <f>HYPERLINK(".\sm_car_250601_0524\sm_car_250601_0524_101_Ca014TrN_MaWOT_ode23t_1.png","figure")</f>
        <v>figure</v>
      </c>
      <c r="P102" t="s">
        <v>15</v>
      </c>
    </row>
    <row r="103" spans="1:16" x14ac:dyDescent="0.25">
      <c r="A103">
        <v>102</v>
      </c>
      <c r="B103">
        <v>14</v>
      </c>
      <c r="C103" t="s">
        <v>16</v>
      </c>
      <c r="D103" t="s">
        <v>17</v>
      </c>
      <c r="E103" t="s">
        <v>49</v>
      </c>
      <c r="F103" t="s">
        <v>28</v>
      </c>
      <c r="G103" t="s">
        <v>26</v>
      </c>
      <c r="H103" t="s">
        <v>21</v>
      </c>
      <c r="I103" t="s">
        <v>24</v>
      </c>
      <c r="J103" t="s">
        <v>23</v>
      </c>
      <c r="K103">
        <v>1022</v>
      </c>
      <c r="L103" s="4">
        <v>17.709071000000002</v>
      </c>
      <c r="M103" s="4">
        <v>70.962400433938143</v>
      </c>
      <c r="N103" s="4">
        <v>-0.53217971589249236</v>
      </c>
      <c r="O103" s="1" t="str">
        <f>HYPERLINK(".\sm_car_250601_0524\sm_car_250601_0524_102_Ca014TrN_MaLSS_ode23t_1.png","figure")</f>
        <v>figure</v>
      </c>
      <c r="P103" t="s">
        <v>15</v>
      </c>
    </row>
    <row r="104" spans="1:16" x14ac:dyDescent="0.25">
      <c r="A104">
        <v>103</v>
      </c>
      <c r="B104">
        <v>15</v>
      </c>
      <c r="C104" t="s">
        <v>16</v>
      </c>
      <c r="D104" t="s">
        <v>17</v>
      </c>
      <c r="E104" t="s">
        <v>49</v>
      </c>
      <c r="F104" t="s">
        <v>28</v>
      </c>
      <c r="G104" t="s">
        <v>27</v>
      </c>
      <c r="H104" t="s">
        <v>21</v>
      </c>
      <c r="I104" t="s">
        <v>22</v>
      </c>
      <c r="J104" t="s">
        <v>23</v>
      </c>
      <c r="K104">
        <v>906</v>
      </c>
      <c r="L104" s="4">
        <v>14.427869899999999</v>
      </c>
      <c r="M104" s="4">
        <v>229.94534279065957</v>
      </c>
      <c r="N104" s="4">
        <v>5.3559814574453107E-2</v>
      </c>
      <c r="O104" s="1" t="str">
        <f>HYPERLINK(".\sm_car_250601_0524\sm_car_250601_0524_103_Ca015TrN_MaWOT_ode23t_1.png","figure")</f>
        <v>figure</v>
      </c>
      <c r="P104" t="s">
        <v>15</v>
      </c>
    </row>
    <row r="105" spans="1:16" x14ac:dyDescent="0.25">
      <c r="A105">
        <v>104</v>
      </c>
      <c r="B105">
        <v>15</v>
      </c>
      <c r="C105" t="s">
        <v>16</v>
      </c>
      <c r="D105" t="s">
        <v>17</v>
      </c>
      <c r="E105" t="s">
        <v>49</v>
      </c>
      <c r="F105" t="s">
        <v>28</v>
      </c>
      <c r="G105" t="s">
        <v>27</v>
      </c>
      <c r="H105" t="s">
        <v>21</v>
      </c>
      <c r="I105" t="s">
        <v>24</v>
      </c>
      <c r="J105" t="s">
        <v>23</v>
      </c>
      <c r="K105">
        <v>1037</v>
      </c>
      <c r="L105" s="4">
        <v>18.746332200000001</v>
      </c>
      <c r="M105" s="4">
        <v>70.833152054840738</v>
      </c>
      <c r="N105" s="4">
        <v>-0.53173506446179819</v>
      </c>
      <c r="O105" s="1" t="str">
        <f>HYPERLINK(".\sm_car_250601_0524\sm_car_250601_0524_104_Ca015TrN_MaLSS_ode23t_1.png","figure")</f>
        <v>figure</v>
      </c>
      <c r="P105" t="s">
        <v>15</v>
      </c>
    </row>
    <row r="106" spans="1:16" x14ac:dyDescent="0.25">
      <c r="A106">
        <v>105</v>
      </c>
      <c r="B106">
        <v>120</v>
      </c>
      <c r="C106" t="s">
        <v>16</v>
      </c>
      <c r="D106" t="s">
        <v>35</v>
      </c>
      <c r="E106" t="s">
        <v>49</v>
      </c>
      <c r="F106" t="s">
        <v>19</v>
      </c>
      <c r="G106" t="s">
        <v>20</v>
      </c>
      <c r="H106" t="s">
        <v>21</v>
      </c>
      <c r="I106" t="s">
        <v>22</v>
      </c>
      <c r="J106" t="s">
        <v>23</v>
      </c>
      <c r="K106">
        <v>416</v>
      </c>
      <c r="L106" s="4">
        <v>3.6291256000000001</v>
      </c>
      <c r="M106" s="4">
        <v>242.69170005986123</v>
      </c>
      <c r="N106" s="4">
        <v>0.23529589119818642</v>
      </c>
      <c r="O106" s="1" t="str">
        <f>HYPERLINK(".\sm_car_250601_0524\sm_car_250601_0524_105_Ca120TrN_MaWOT_ode23t_1.png","figure")</f>
        <v>figure</v>
      </c>
      <c r="P106" t="s">
        <v>15</v>
      </c>
    </row>
    <row r="107" spans="1:16" x14ac:dyDescent="0.25">
      <c r="A107">
        <v>106</v>
      </c>
      <c r="B107">
        <v>120</v>
      </c>
      <c r="C107" t="s">
        <v>16</v>
      </c>
      <c r="D107" t="s">
        <v>35</v>
      </c>
      <c r="E107" t="s">
        <v>49</v>
      </c>
      <c r="F107" t="s">
        <v>19</v>
      </c>
      <c r="G107" t="s">
        <v>20</v>
      </c>
      <c r="H107" t="s">
        <v>21</v>
      </c>
      <c r="I107" t="s">
        <v>24</v>
      </c>
      <c r="J107" t="s">
        <v>23</v>
      </c>
      <c r="K107">
        <v>534</v>
      </c>
      <c r="L107" s="4">
        <v>4.1332915000000003</v>
      </c>
      <c r="M107" s="4">
        <v>74.671860856374394</v>
      </c>
      <c r="N107" s="4">
        <v>-0.33802521122689189</v>
      </c>
      <c r="O107" s="1" t="str">
        <f>HYPERLINK(".\sm_car_250601_0524\sm_car_250601_0524_106_Ca120TrN_MaLSS_ode23t_1.png","figure")</f>
        <v>figure</v>
      </c>
      <c r="P107" t="s">
        <v>15</v>
      </c>
    </row>
    <row r="108" spans="1:16" x14ac:dyDescent="0.25">
      <c r="A108">
        <v>107</v>
      </c>
      <c r="B108">
        <v>121</v>
      </c>
      <c r="C108" t="s">
        <v>16</v>
      </c>
      <c r="D108" t="s">
        <v>35</v>
      </c>
      <c r="E108" t="s">
        <v>49</v>
      </c>
      <c r="F108" t="s">
        <v>19</v>
      </c>
      <c r="G108" t="s">
        <v>25</v>
      </c>
      <c r="H108" t="s">
        <v>21</v>
      </c>
      <c r="I108" t="s">
        <v>22</v>
      </c>
      <c r="J108" t="s">
        <v>23</v>
      </c>
      <c r="K108">
        <v>398</v>
      </c>
      <c r="L108" s="4">
        <v>4.2435454999999997</v>
      </c>
      <c r="M108" s="4">
        <v>241.21141193724665</v>
      </c>
      <c r="N108" s="4">
        <v>0.23112237849089304</v>
      </c>
      <c r="O108" s="1" t="str">
        <f>HYPERLINK(".\sm_car_250601_0524\sm_car_250601_0524_107_Ca121TrN_MaWOT_ode23t_1.png","figure")</f>
        <v>figure</v>
      </c>
      <c r="P108" t="s">
        <v>15</v>
      </c>
    </row>
    <row r="109" spans="1:16" x14ac:dyDescent="0.25">
      <c r="A109">
        <v>108</v>
      </c>
      <c r="B109">
        <v>121</v>
      </c>
      <c r="C109" t="s">
        <v>16</v>
      </c>
      <c r="D109" t="s">
        <v>35</v>
      </c>
      <c r="E109" t="s">
        <v>49</v>
      </c>
      <c r="F109" t="s">
        <v>19</v>
      </c>
      <c r="G109" t="s">
        <v>25</v>
      </c>
      <c r="H109" t="s">
        <v>21</v>
      </c>
      <c r="I109" t="s">
        <v>24</v>
      </c>
      <c r="J109" t="s">
        <v>23</v>
      </c>
      <c r="K109">
        <v>522</v>
      </c>
      <c r="L109" s="4">
        <v>4.8388774000000003</v>
      </c>
      <c r="M109" s="4">
        <v>74.356784944961973</v>
      </c>
      <c r="N109" s="4">
        <v>-0.33040393981379063</v>
      </c>
      <c r="O109" s="1" t="str">
        <f>HYPERLINK(".\sm_car_250601_0524\sm_car_250601_0524_108_Ca121TrN_MaLSS_ode23t_1.png","figure")</f>
        <v>figure</v>
      </c>
      <c r="P109" t="s">
        <v>15</v>
      </c>
    </row>
    <row r="110" spans="1:16" x14ac:dyDescent="0.25">
      <c r="A110">
        <v>109</v>
      </c>
      <c r="B110">
        <v>122</v>
      </c>
      <c r="C110" t="s">
        <v>16</v>
      </c>
      <c r="D110" t="s">
        <v>35</v>
      </c>
      <c r="E110" t="s">
        <v>49</v>
      </c>
      <c r="F110" t="s">
        <v>19</v>
      </c>
      <c r="G110" t="s">
        <v>26</v>
      </c>
      <c r="H110" t="s">
        <v>21</v>
      </c>
      <c r="I110" t="s">
        <v>22</v>
      </c>
      <c r="J110" t="s">
        <v>23</v>
      </c>
      <c r="K110">
        <v>423</v>
      </c>
      <c r="L110" s="4">
        <v>4.6483379999999999</v>
      </c>
      <c r="M110" s="4">
        <v>241.75711520189719</v>
      </c>
      <c r="N110" s="4">
        <v>0.23176609553792715</v>
      </c>
      <c r="O110" s="1" t="str">
        <f>HYPERLINK(".\sm_car_250601_0524\sm_car_250601_0524_109_Ca122TrN_MaWOT_ode23t_1.png","figure")</f>
        <v>figure</v>
      </c>
      <c r="P110" t="s">
        <v>15</v>
      </c>
    </row>
    <row r="111" spans="1:16" x14ac:dyDescent="0.25">
      <c r="A111">
        <v>110</v>
      </c>
      <c r="B111">
        <v>122</v>
      </c>
      <c r="C111" t="s">
        <v>16</v>
      </c>
      <c r="D111" t="s">
        <v>35</v>
      </c>
      <c r="E111" t="s">
        <v>49</v>
      </c>
      <c r="F111" t="s">
        <v>19</v>
      </c>
      <c r="G111" t="s">
        <v>26</v>
      </c>
      <c r="H111" t="s">
        <v>21</v>
      </c>
      <c r="I111" t="s">
        <v>24</v>
      </c>
      <c r="J111" t="s">
        <v>23</v>
      </c>
      <c r="K111">
        <v>521</v>
      </c>
      <c r="L111" s="4">
        <v>5.1149858000000004</v>
      </c>
      <c r="M111" s="4">
        <v>74.376308337240616</v>
      </c>
      <c r="N111" s="4">
        <v>-0.33363211945317484</v>
      </c>
      <c r="O111" s="1" t="str">
        <f>HYPERLINK(".\sm_car_250601_0524\sm_car_250601_0524_110_Ca122TrN_MaLSS_ode23t_1.png","figure")</f>
        <v>figure</v>
      </c>
      <c r="P111" t="s">
        <v>15</v>
      </c>
    </row>
    <row r="112" spans="1:16" x14ac:dyDescent="0.25">
      <c r="A112">
        <v>111</v>
      </c>
      <c r="B112">
        <v>123</v>
      </c>
      <c r="C112" t="s">
        <v>16</v>
      </c>
      <c r="D112" t="s">
        <v>35</v>
      </c>
      <c r="E112" t="s">
        <v>49</v>
      </c>
      <c r="F112" t="s">
        <v>19</v>
      </c>
      <c r="G112" t="s">
        <v>27</v>
      </c>
      <c r="H112" t="s">
        <v>21</v>
      </c>
      <c r="I112" t="s">
        <v>22</v>
      </c>
      <c r="J112" t="s">
        <v>23</v>
      </c>
      <c r="K112">
        <v>436</v>
      </c>
      <c r="L112" s="4">
        <v>4.9144047999999998</v>
      </c>
      <c r="M112" s="4">
        <v>241.12578939334389</v>
      </c>
      <c r="N112" s="4">
        <v>0.22891329112582617</v>
      </c>
      <c r="O112" s="1" t="str">
        <f>HYPERLINK(".\sm_car_250601_0524\sm_car_250601_0524_111_Ca123TrN_MaWOT_ode23t_1.png","figure")</f>
        <v>figure</v>
      </c>
      <c r="P112" t="s">
        <v>15</v>
      </c>
    </row>
    <row r="113" spans="1:16" x14ac:dyDescent="0.25">
      <c r="A113">
        <v>112</v>
      </c>
      <c r="B113">
        <v>123</v>
      </c>
      <c r="C113" t="s">
        <v>16</v>
      </c>
      <c r="D113" t="s">
        <v>35</v>
      </c>
      <c r="E113" t="s">
        <v>49</v>
      </c>
      <c r="F113" t="s">
        <v>19</v>
      </c>
      <c r="G113" t="s">
        <v>27</v>
      </c>
      <c r="H113" t="s">
        <v>21</v>
      </c>
      <c r="I113" t="s">
        <v>24</v>
      </c>
      <c r="J113" t="s">
        <v>23</v>
      </c>
      <c r="K113">
        <v>559</v>
      </c>
      <c r="L113" s="4">
        <v>5.6008187999999999</v>
      </c>
      <c r="M113" s="4">
        <v>74.205248702992492</v>
      </c>
      <c r="N113" s="4">
        <v>-0.32728936986719825</v>
      </c>
      <c r="O113" s="1" t="str">
        <f>HYPERLINK(".\sm_car_250601_0524\sm_car_250601_0524_112_Ca123TrN_MaLSS_ode23t_1.png","figure")</f>
        <v>figure</v>
      </c>
      <c r="P113" t="s">
        <v>15</v>
      </c>
    </row>
    <row r="114" spans="1:16" x14ac:dyDescent="0.25">
      <c r="A114">
        <v>113</v>
      </c>
      <c r="B114">
        <v>124</v>
      </c>
      <c r="C114" t="s">
        <v>16</v>
      </c>
      <c r="D114" t="s">
        <v>35</v>
      </c>
      <c r="E114" t="s">
        <v>49</v>
      </c>
      <c r="F114" t="s">
        <v>28</v>
      </c>
      <c r="G114" t="s">
        <v>20</v>
      </c>
      <c r="H114" t="s">
        <v>21</v>
      </c>
      <c r="I114" t="s">
        <v>22</v>
      </c>
      <c r="J114" t="s">
        <v>23</v>
      </c>
      <c r="K114">
        <v>1003</v>
      </c>
      <c r="L114" s="4">
        <v>4.5980397999999996</v>
      </c>
      <c r="M114" s="4">
        <v>242.59591760187845</v>
      </c>
      <c r="N114" s="4">
        <v>0.23602770475182491</v>
      </c>
      <c r="O114" s="1" t="str">
        <f>HYPERLINK(".\sm_car_250601_0524\sm_car_250601_0524_113_Ca124TrN_MaWOT_ode23t_1.png","figure")</f>
        <v>figure</v>
      </c>
      <c r="P114" t="s">
        <v>15</v>
      </c>
    </row>
    <row r="115" spans="1:16" x14ac:dyDescent="0.25">
      <c r="A115">
        <v>114</v>
      </c>
      <c r="B115">
        <v>124</v>
      </c>
      <c r="C115" t="s">
        <v>16</v>
      </c>
      <c r="D115" t="s">
        <v>35</v>
      </c>
      <c r="E115" t="s">
        <v>49</v>
      </c>
      <c r="F115" t="s">
        <v>28</v>
      </c>
      <c r="G115" t="s">
        <v>20</v>
      </c>
      <c r="H115" t="s">
        <v>21</v>
      </c>
      <c r="I115" t="s">
        <v>24</v>
      </c>
      <c r="J115" t="s">
        <v>23</v>
      </c>
      <c r="K115">
        <v>1131</v>
      </c>
      <c r="L115" s="4">
        <v>5.3135966000000003</v>
      </c>
      <c r="M115" s="4">
        <v>74.660361357706634</v>
      </c>
      <c r="N115" s="4">
        <v>-0.34229760405943666</v>
      </c>
      <c r="O115" s="1" t="str">
        <f>HYPERLINK(".\sm_car_250601_0524\sm_car_250601_0524_114_Ca124TrN_MaLSS_ode23t_1.png","figure")</f>
        <v>figure</v>
      </c>
      <c r="P115" t="s">
        <v>15</v>
      </c>
    </row>
    <row r="116" spans="1:16" x14ac:dyDescent="0.25">
      <c r="A116">
        <v>115</v>
      </c>
      <c r="B116">
        <v>125</v>
      </c>
      <c r="C116" t="s">
        <v>16</v>
      </c>
      <c r="D116" t="s">
        <v>35</v>
      </c>
      <c r="E116" t="s">
        <v>49</v>
      </c>
      <c r="F116" t="s">
        <v>28</v>
      </c>
      <c r="G116" t="s">
        <v>25</v>
      </c>
      <c r="H116" t="s">
        <v>21</v>
      </c>
      <c r="I116" t="s">
        <v>22</v>
      </c>
      <c r="J116" t="s">
        <v>23</v>
      </c>
      <c r="K116">
        <v>1015</v>
      </c>
      <c r="L116" s="4">
        <v>5.3218221000000003</v>
      </c>
      <c r="M116" s="4">
        <v>241.53681644998719</v>
      </c>
      <c r="N116" s="4">
        <v>0.23254842001096016</v>
      </c>
      <c r="O116" s="1" t="str">
        <f>HYPERLINK(".\sm_car_250601_0524\sm_car_250601_0524_115_Ca125TrN_MaWOT_ode23t_1.png","figure")</f>
        <v>figure</v>
      </c>
      <c r="P116" t="s">
        <v>15</v>
      </c>
    </row>
    <row r="117" spans="1:16" x14ac:dyDescent="0.25">
      <c r="A117">
        <v>116</v>
      </c>
      <c r="B117">
        <v>125</v>
      </c>
      <c r="C117" t="s">
        <v>16</v>
      </c>
      <c r="D117" t="s">
        <v>35</v>
      </c>
      <c r="E117" t="s">
        <v>49</v>
      </c>
      <c r="F117" t="s">
        <v>28</v>
      </c>
      <c r="G117" t="s">
        <v>25</v>
      </c>
      <c r="H117" t="s">
        <v>21</v>
      </c>
      <c r="I117" t="s">
        <v>24</v>
      </c>
      <c r="J117" t="s">
        <v>23</v>
      </c>
      <c r="K117">
        <v>1130</v>
      </c>
      <c r="L117" s="4">
        <v>5.8647057</v>
      </c>
      <c r="M117" s="4">
        <v>74.349936795753166</v>
      </c>
      <c r="N117" s="4">
        <v>-0.331152637926585</v>
      </c>
      <c r="O117" s="1" t="str">
        <f>HYPERLINK(".\sm_car_250601_0524\sm_car_250601_0524_116_Ca125TrN_MaLSS_ode23t_1.png","figure")</f>
        <v>figure</v>
      </c>
      <c r="P117" t="s">
        <v>15</v>
      </c>
    </row>
    <row r="118" spans="1:16" x14ac:dyDescent="0.25">
      <c r="A118">
        <v>117</v>
      </c>
      <c r="B118">
        <v>126</v>
      </c>
      <c r="C118" t="s">
        <v>16</v>
      </c>
      <c r="D118" t="s">
        <v>35</v>
      </c>
      <c r="E118" t="s">
        <v>49</v>
      </c>
      <c r="F118" t="s">
        <v>28</v>
      </c>
      <c r="G118" t="s">
        <v>26</v>
      </c>
      <c r="H118" t="s">
        <v>21</v>
      </c>
      <c r="I118" t="s">
        <v>22</v>
      </c>
      <c r="J118" t="s">
        <v>23</v>
      </c>
      <c r="K118">
        <v>1025</v>
      </c>
      <c r="L118" s="4">
        <v>5.8380150999999998</v>
      </c>
      <c r="M118" s="4">
        <v>241.41617541572742</v>
      </c>
      <c r="N118" s="4">
        <v>0.23234611024921778</v>
      </c>
      <c r="O118" s="1" t="str">
        <f>HYPERLINK(".\sm_car_250601_0524\sm_car_250601_0524_117_Ca126TrN_MaWOT_ode23t_1.png","figure")</f>
        <v>figure</v>
      </c>
      <c r="P118" t="s">
        <v>15</v>
      </c>
    </row>
    <row r="119" spans="1:16" x14ac:dyDescent="0.25">
      <c r="A119">
        <v>118</v>
      </c>
      <c r="B119">
        <v>126</v>
      </c>
      <c r="C119" t="s">
        <v>16</v>
      </c>
      <c r="D119" t="s">
        <v>35</v>
      </c>
      <c r="E119" t="s">
        <v>49</v>
      </c>
      <c r="F119" t="s">
        <v>28</v>
      </c>
      <c r="G119" t="s">
        <v>26</v>
      </c>
      <c r="H119" t="s">
        <v>21</v>
      </c>
      <c r="I119" t="s">
        <v>24</v>
      </c>
      <c r="J119" t="s">
        <v>23</v>
      </c>
      <c r="K119">
        <v>1157</v>
      </c>
      <c r="L119" s="4">
        <v>6.5033548000000003</v>
      </c>
      <c r="M119" s="4">
        <v>74.340131420821692</v>
      </c>
      <c r="N119" s="4">
        <v>-0.33590345145329331</v>
      </c>
      <c r="O119" s="1" t="str">
        <f>HYPERLINK(".\sm_car_250601_0524\sm_car_250601_0524_118_Ca126TrN_MaLSS_ode23t_1.png","figure")</f>
        <v>figure</v>
      </c>
      <c r="P119" t="s">
        <v>15</v>
      </c>
    </row>
    <row r="120" spans="1:16" x14ac:dyDescent="0.25">
      <c r="A120">
        <v>119</v>
      </c>
      <c r="B120">
        <v>127</v>
      </c>
      <c r="C120" t="s">
        <v>16</v>
      </c>
      <c r="D120" t="s">
        <v>35</v>
      </c>
      <c r="E120" t="s">
        <v>49</v>
      </c>
      <c r="F120" t="s">
        <v>28</v>
      </c>
      <c r="G120" t="s">
        <v>27</v>
      </c>
      <c r="H120" t="s">
        <v>21</v>
      </c>
      <c r="I120" t="s">
        <v>22</v>
      </c>
      <c r="J120" t="s">
        <v>23</v>
      </c>
      <c r="K120">
        <v>1027</v>
      </c>
      <c r="L120" s="4">
        <v>5.7477593000000002</v>
      </c>
      <c r="M120" s="4">
        <v>241.06149238477016</v>
      </c>
      <c r="N120" s="4">
        <v>0.23101069393802778</v>
      </c>
      <c r="O120" s="1" t="str">
        <f>HYPERLINK(".\sm_car_250601_0524\sm_car_250601_0524_119_Ca127TrN_MaWOT_ode23t_1.png","figure")</f>
        <v>figure</v>
      </c>
      <c r="P120" t="s">
        <v>15</v>
      </c>
    </row>
    <row r="121" spans="1:16" x14ac:dyDescent="0.25">
      <c r="A121">
        <v>120</v>
      </c>
      <c r="B121">
        <v>127</v>
      </c>
      <c r="C121" t="s">
        <v>16</v>
      </c>
      <c r="D121" t="s">
        <v>35</v>
      </c>
      <c r="E121" t="s">
        <v>49</v>
      </c>
      <c r="F121" t="s">
        <v>28</v>
      </c>
      <c r="G121" t="s">
        <v>27</v>
      </c>
      <c r="H121" t="s">
        <v>21</v>
      </c>
      <c r="I121" t="s">
        <v>24</v>
      </c>
      <c r="J121" t="s">
        <v>23</v>
      </c>
      <c r="K121">
        <v>1169</v>
      </c>
      <c r="L121" s="4">
        <v>6.6218178999999999</v>
      </c>
      <c r="M121" s="4">
        <v>74.19548463892832</v>
      </c>
      <c r="N121" s="4">
        <v>-0.33307193972002924</v>
      </c>
      <c r="O121" s="1" t="str">
        <f>HYPERLINK(".\sm_car_250601_0524\sm_car_250601_0524_120_Ca127TrN_MaLSS_ode23t_1.png","figure")</f>
        <v>figure</v>
      </c>
      <c r="P121" t="s">
        <v>15</v>
      </c>
    </row>
    <row r="122" spans="1:16" x14ac:dyDescent="0.25">
      <c r="A122">
        <v>121</v>
      </c>
      <c r="B122">
        <v>140</v>
      </c>
      <c r="C122" t="s">
        <v>45</v>
      </c>
      <c r="D122" t="s">
        <v>17</v>
      </c>
      <c r="E122" t="s">
        <v>49</v>
      </c>
      <c r="F122" t="s">
        <v>19</v>
      </c>
      <c r="G122" t="s">
        <v>26</v>
      </c>
      <c r="H122" t="s">
        <v>21</v>
      </c>
      <c r="I122" t="s">
        <v>22</v>
      </c>
      <c r="J122" t="s">
        <v>23</v>
      </c>
      <c r="K122">
        <v>702</v>
      </c>
      <c r="L122" s="4">
        <v>41.038410599999999</v>
      </c>
      <c r="M122" s="4">
        <v>405.02218474896813</v>
      </c>
      <c r="N122" s="4">
        <v>1.8758038190127144</v>
      </c>
      <c r="O122" s="1" t="str">
        <f>HYPERLINK(".\sm_car_250601_0524\sm_car_250601_0524_121_Ca140TrN_MaWOT_ode23t_1.png","figure")</f>
        <v>figure</v>
      </c>
      <c r="P122" t="s">
        <v>15</v>
      </c>
    </row>
    <row r="123" spans="1:16" x14ac:dyDescent="0.25">
      <c r="A123">
        <v>122</v>
      </c>
      <c r="B123">
        <v>140</v>
      </c>
      <c r="C123" t="s">
        <v>45</v>
      </c>
      <c r="D123" t="s">
        <v>17</v>
      </c>
      <c r="E123" t="s">
        <v>49</v>
      </c>
      <c r="F123" t="s">
        <v>19</v>
      </c>
      <c r="G123" t="s">
        <v>26</v>
      </c>
      <c r="H123" t="s">
        <v>21</v>
      </c>
      <c r="I123" t="s">
        <v>24</v>
      </c>
      <c r="J123" t="s">
        <v>23</v>
      </c>
      <c r="K123">
        <v>658</v>
      </c>
      <c r="L123" s="4">
        <v>23.6893086</v>
      </c>
      <c r="M123" s="4">
        <v>154.33584552735473</v>
      </c>
      <c r="N123" s="4">
        <v>-0.58067373904514841</v>
      </c>
      <c r="O123" s="1" t="str">
        <f>HYPERLINK(".\sm_car_250601_0524\sm_car_250601_0524_122_Ca140TrN_MaLSS_ode23t_1.png","figure")</f>
        <v>figure</v>
      </c>
      <c r="P123" t="s">
        <v>15</v>
      </c>
    </row>
    <row r="124" spans="1:16" x14ac:dyDescent="0.25">
      <c r="A124">
        <v>123</v>
      </c>
      <c r="B124">
        <v>142</v>
      </c>
      <c r="C124" t="s">
        <v>45</v>
      </c>
      <c r="D124" t="s">
        <v>17</v>
      </c>
      <c r="E124" t="s">
        <v>49</v>
      </c>
      <c r="F124" t="s">
        <v>28</v>
      </c>
      <c r="G124" t="s">
        <v>26</v>
      </c>
      <c r="H124" t="s">
        <v>21</v>
      </c>
      <c r="I124" t="s">
        <v>22</v>
      </c>
      <c r="J124" t="s">
        <v>23</v>
      </c>
      <c r="K124">
        <v>1209</v>
      </c>
      <c r="L124" s="4">
        <v>33.638542200000003</v>
      </c>
      <c r="M124" s="4">
        <v>405.25240941563715</v>
      </c>
      <c r="N124" s="4">
        <v>1.7021373290751194</v>
      </c>
      <c r="O124" s="1" t="str">
        <f>HYPERLINK(".\sm_car_250601_0524\sm_car_250601_0524_123_Ca142TrN_MaWOT_ode23t_1.png","figure")</f>
        <v>figure</v>
      </c>
      <c r="P124" t="s">
        <v>15</v>
      </c>
    </row>
    <row r="125" spans="1:16" x14ac:dyDescent="0.25">
      <c r="A125">
        <v>124</v>
      </c>
      <c r="B125">
        <v>142</v>
      </c>
      <c r="C125" t="s">
        <v>45</v>
      </c>
      <c r="D125" t="s">
        <v>17</v>
      </c>
      <c r="E125" t="s">
        <v>49</v>
      </c>
      <c r="F125" t="s">
        <v>28</v>
      </c>
      <c r="G125" t="s">
        <v>26</v>
      </c>
      <c r="H125" t="s">
        <v>21</v>
      </c>
      <c r="I125" t="s">
        <v>24</v>
      </c>
      <c r="J125" t="s">
        <v>23</v>
      </c>
      <c r="K125">
        <v>1212</v>
      </c>
      <c r="L125" s="4">
        <v>23.6945877</v>
      </c>
      <c r="M125" s="4">
        <v>154.43862670890729</v>
      </c>
      <c r="N125" s="4">
        <v>-0.58164606194304858</v>
      </c>
      <c r="O125" s="1" t="str">
        <f>HYPERLINK(".\sm_car_250601_0524\sm_car_250601_0524_124_Ca142TrN_MaLSS_ode23t_1.png","figure")</f>
        <v>figure</v>
      </c>
      <c r="P125" t="s">
        <v>15</v>
      </c>
    </row>
    <row r="126" spans="1:16" x14ac:dyDescent="0.25">
      <c r="A126">
        <v>125</v>
      </c>
      <c r="B126">
        <v>145</v>
      </c>
      <c r="C126" t="s">
        <v>46</v>
      </c>
      <c r="D126" t="s">
        <v>17</v>
      </c>
      <c r="E126" t="s">
        <v>50</v>
      </c>
      <c r="F126" t="s">
        <v>19</v>
      </c>
      <c r="G126" t="s">
        <v>26</v>
      </c>
      <c r="H126" t="s">
        <v>21</v>
      </c>
      <c r="I126" t="s">
        <v>22</v>
      </c>
      <c r="J126" t="s">
        <v>23</v>
      </c>
      <c r="K126">
        <v>355</v>
      </c>
      <c r="L126" s="4">
        <v>15.0121944</v>
      </c>
      <c r="M126" s="4">
        <v>95.763190305917007</v>
      </c>
      <c r="N126" s="4">
        <v>-3.2503290073543287E-2</v>
      </c>
      <c r="O126" s="1" t="str">
        <f>HYPERLINK(".\sm_car_250601_0524\sm_car_250601_0524_125_Ca145TrN_MaWOT_ode23t_1.png","figure")</f>
        <v>figure</v>
      </c>
      <c r="P126" t="s">
        <v>15</v>
      </c>
    </row>
    <row r="127" spans="1:16" x14ac:dyDescent="0.25">
      <c r="A127">
        <v>126</v>
      </c>
      <c r="B127">
        <v>145</v>
      </c>
      <c r="C127" t="s">
        <v>46</v>
      </c>
      <c r="D127" t="s">
        <v>17</v>
      </c>
      <c r="E127" t="s">
        <v>50</v>
      </c>
      <c r="F127" t="s">
        <v>19</v>
      </c>
      <c r="G127" t="s">
        <v>26</v>
      </c>
      <c r="H127" t="s">
        <v>21</v>
      </c>
      <c r="I127" t="s">
        <v>24</v>
      </c>
      <c r="J127" t="s">
        <v>23</v>
      </c>
      <c r="K127">
        <v>463</v>
      </c>
      <c r="L127" s="4">
        <v>17.087406900000001</v>
      </c>
      <c r="M127" s="4">
        <v>25.00357142466428</v>
      </c>
      <c r="N127" s="4">
        <v>-4.9851827421342497E-2</v>
      </c>
      <c r="O127" s="1" t="str">
        <f>HYPERLINK(".\sm_car_250601_0524\sm_car_250601_0524_126_Ca145TrN_MaLSS_ode23t_1.png","figure")</f>
        <v>figure</v>
      </c>
      <c r="P127" t="s">
        <v>15</v>
      </c>
    </row>
    <row r="128" spans="1:16" x14ac:dyDescent="0.25">
      <c r="A128">
        <v>127</v>
      </c>
      <c r="B128">
        <v>146</v>
      </c>
      <c r="C128" t="s">
        <v>46</v>
      </c>
      <c r="D128" t="s">
        <v>17</v>
      </c>
      <c r="E128" t="s">
        <v>49</v>
      </c>
      <c r="F128" t="s">
        <v>19</v>
      </c>
      <c r="G128" t="s">
        <v>26</v>
      </c>
      <c r="H128" t="s">
        <v>21</v>
      </c>
      <c r="I128" t="s">
        <v>22</v>
      </c>
      <c r="J128" t="s">
        <v>23</v>
      </c>
      <c r="K128">
        <v>330</v>
      </c>
      <c r="L128" s="4">
        <v>10.3587007</v>
      </c>
      <c r="M128" s="4">
        <v>113.96657772839266</v>
      </c>
      <c r="N128" s="4">
        <v>0.53221246736806072</v>
      </c>
      <c r="O128" s="1" t="str">
        <f>HYPERLINK(".\sm_car_250601_0524\sm_car_250601_0524_127_Ca146TrN_MaWOT_ode23t_1.png","figure")</f>
        <v>figure</v>
      </c>
      <c r="P128" t="s">
        <v>15</v>
      </c>
    </row>
    <row r="129" spans="1:16" x14ac:dyDescent="0.25">
      <c r="A129">
        <v>128</v>
      </c>
      <c r="B129">
        <v>146</v>
      </c>
      <c r="C129" t="s">
        <v>46</v>
      </c>
      <c r="D129" t="s">
        <v>17</v>
      </c>
      <c r="E129" t="s">
        <v>49</v>
      </c>
      <c r="F129" t="s">
        <v>19</v>
      </c>
      <c r="G129" t="s">
        <v>26</v>
      </c>
      <c r="H129" t="s">
        <v>21</v>
      </c>
      <c r="I129" t="s">
        <v>24</v>
      </c>
      <c r="J129" t="s">
        <v>23</v>
      </c>
      <c r="K129">
        <v>450</v>
      </c>
      <c r="L129" s="4">
        <v>12.436365199999999</v>
      </c>
      <c r="M129" s="4">
        <v>35.604687394938694</v>
      </c>
      <c r="N129" s="4">
        <v>-2.7989443676201601E-2</v>
      </c>
      <c r="O129" s="1" t="str">
        <f>HYPERLINK(".\sm_car_250601_0524\sm_car_250601_0524_128_Ca146TrN_MaLSS_ode23t_1.png","figure")</f>
        <v>figure</v>
      </c>
      <c r="P129" t="s">
        <v>15</v>
      </c>
    </row>
    <row r="130" spans="1:16" x14ac:dyDescent="0.25">
      <c r="A130">
        <v>129</v>
      </c>
      <c r="B130">
        <v>146</v>
      </c>
      <c r="C130" t="s">
        <v>46</v>
      </c>
      <c r="D130" t="s">
        <v>17</v>
      </c>
      <c r="E130" t="s">
        <v>49</v>
      </c>
      <c r="F130" t="s">
        <v>19</v>
      </c>
      <c r="G130" t="s">
        <v>26</v>
      </c>
      <c r="H130" t="s">
        <v>21</v>
      </c>
      <c r="I130" t="s">
        <v>22</v>
      </c>
      <c r="J130" t="s">
        <v>23</v>
      </c>
      <c r="K130">
        <v>330</v>
      </c>
      <c r="L130" s="4">
        <v>9.9908470000000005</v>
      </c>
      <c r="M130" s="4">
        <v>113.96657772839266</v>
      </c>
      <c r="N130" s="4">
        <v>0.53221246736806072</v>
      </c>
      <c r="O130" s="1" t="str">
        <f>HYPERLINK(".\sm_car_250601_0524\sm_car_250601_0524_129_Ca146TrN_MaWOT_ode23t_1.png","figure")</f>
        <v>figure</v>
      </c>
      <c r="P130" t="s">
        <v>15</v>
      </c>
    </row>
    <row r="131" spans="1:16" x14ac:dyDescent="0.25">
      <c r="A131">
        <v>130</v>
      </c>
      <c r="B131">
        <v>146</v>
      </c>
      <c r="C131" t="s">
        <v>46</v>
      </c>
      <c r="D131" t="s">
        <v>17</v>
      </c>
      <c r="E131" t="s">
        <v>49</v>
      </c>
      <c r="F131" t="s">
        <v>19</v>
      </c>
      <c r="G131" t="s">
        <v>26</v>
      </c>
      <c r="H131" t="s">
        <v>21</v>
      </c>
      <c r="I131" t="s">
        <v>24</v>
      </c>
      <c r="J131" t="s">
        <v>23</v>
      </c>
      <c r="K131">
        <v>450</v>
      </c>
      <c r="L131" s="4">
        <v>12.7467717</v>
      </c>
      <c r="M131" s="4">
        <v>35.604687394938694</v>
      </c>
      <c r="N131" s="4">
        <v>-2.7989443676201601E-2</v>
      </c>
      <c r="O131" s="1" t="str">
        <f>HYPERLINK(".\sm_car_250601_0524\sm_car_250601_0524_130_Ca146TrN_MaLSS_ode23t_1.png","figure")</f>
        <v>figure</v>
      </c>
      <c r="P131" t="s">
        <v>15</v>
      </c>
    </row>
    <row r="132" spans="1:16" x14ac:dyDescent="0.25">
      <c r="A132">
        <v>131</v>
      </c>
      <c r="B132">
        <v>161</v>
      </c>
      <c r="C132" t="s">
        <v>45</v>
      </c>
      <c r="D132" t="s">
        <v>51</v>
      </c>
      <c r="E132" t="s">
        <v>49</v>
      </c>
      <c r="F132" t="s">
        <v>19</v>
      </c>
      <c r="G132" t="s">
        <v>26</v>
      </c>
      <c r="H132" t="s">
        <v>21</v>
      </c>
      <c r="I132" t="s">
        <v>22</v>
      </c>
      <c r="J132" t="s">
        <v>23</v>
      </c>
      <c r="K132">
        <v>605</v>
      </c>
      <c r="L132" s="4">
        <v>31.969481099999999</v>
      </c>
      <c r="M132" s="4">
        <v>179.77186123957486</v>
      </c>
      <c r="N132" s="4">
        <v>0.28997964368581042</v>
      </c>
      <c r="O132" s="1" t="str">
        <f>HYPERLINK(".\sm_car_250601_0524\sm_car_250601_0524_131_Ca161TrN_MaWOT_ode23t_1.png","figure")</f>
        <v>figure</v>
      </c>
      <c r="P132" t="s">
        <v>15</v>
      </c>
    </row>
    <row r="133" spans="1:16" x14ac:dyDescent="0.25">
      <c r="A133">
        <v>132</v>
      </c>
      <c r="B133">
        <v>161</v>
      </c>
      <c r="C133" t="s">
        <v>45</v>
      </c>
      <c r="D133" t="s">
        <v>51</v>
      </c>
      <c r="E133" t="s">
        <v>49</v>
      </c>
      <c r="F133" t="s">
        <v>19</v>
      </c>
      <c r="G133" t="s">
        <v>26</v>
      </c>
      <c r="H133" t="s">
        <v>21</v>
      </c>
      <c r="I133" t="s">
        <v>24</v>
      </c>
      <c r="J133" t="s">
        <v>23</v>
      </c>
      <c r="K133">
        <v>693</v>
      </c>
      <c r="L133" s="4">
        <v>30.333816200000001</v>
      </c>
      <c r="M133" s="4">
        <v>154.14499845418891</v>
      </c>
      <c r="N133" s="4">
        <v>-0.59504276484450636</v>
      </c>
      <c r="O133" s="1" t="str">
        <f>HYPERLINK(".\sm_car_250601_0524\sm_car_250601_0524_132_Ca161TrN_MaLSS_ode23t_1.png","figure")</f>
        <v>figure</v>
      </c>
      <c r="P133" t="s">
        <v>15</v>
      </c>
    </row>
    <row r="134" spans="1:16" x14ac:dyDescent="0.25">
      <c r="A134">
        <v>133</v>
      </c>
      <c r="B134">
        <v>163</v>
      </c>
      <c r="C134" t="s">
        <v>45</v>
      </c>
      <c r="D134" t="s">
        <v>52</v>
      </c>
      <c r="E134" t="s">
        <v>49</v>
      </c>
      <c r="F134" t="s">
        <v>19</v>
      </c>
      <c r="G134" t="s">
        <v>26</v>
      </c>
      <c r="H134" t="s">
        <v>21</v>
      </c>
      <c r="I134" t="s">
        <v>22</v>
      </c>
      <c r="J134" t="s">
        <v>23</v>
      </c>
      <c r="K134">
        <v>638</v>
      </c>
      <c r="L134" s="4">
        <v>34.243798400000003</v>
      </c>
      <c r="M134" s="4">
        <v>277.39786627078183</v>
      </c>
      <c r="N134" s="4">
        <v>0.67724694039963329</v>
      </c>
      <c r="O134" s="1" t="str">
        <f>HYPERLINK(".\sm_car_250601_0524\sm_car_250601_0524_133_Ca163TrN_MaWOT_ode23t_1.png","figure")</f>
        <v>figure</v>
      </c>
      <c r="P134" t="s">
        <v>15</v>
      </c>
    </row>
    <row r="135" spans="1:16" x14ac:dyDescent="0.25">
      <c r="A135">
        <v>134</v>
      </c>
      <c r="B135">
        <v>163</v>
      </c>
      <c r="C135" t="s">
        <v>45</v>
      </c>
      <c r="D135" t="s">
        <v>52</v>
      </c>
      <c r="E135" t="s">
        <v>49</v>
      </c>
      <c r="F135" t="s">
        <v>19</v>
      </c>
      <c r="G135" t="s">
        <v>26</v>
      </c>
      <c r="H135" t="s">
        <v>21</v>
      </c>
      <c r="I135" t="s">
        <v>24</v>
      </c>
      <c r="J135" t="s">
        <v>23</v>
      </c>
      <c r="K135">
        <v>803</v>
      </c>
      <c r="L135" s="4">
        <v>35.7519226</v>
      </c>
      <c r="M135" s="4">
        <v>256.35617393160209</v>
      </c>
      <c r="N135" s="4">
        <v>-0.85958698375126064</v>
      </c>
      <c r="O135" s="1" t="str">
        <f>HYPERLINK(".\sm_car_250601_0524\sm_car_250601_0524_134_Ca163TrN_MaLSS_ode23t_1.png","figure")</f>
        <v>figure</v>
      </c>
      <c r="P135" t="s">
        <v>15</v>
      </c>
    </row>
    <row r="136" spans="1:16" x14ac:dyDescent="0.25">
      <c r="A136">
        <v>135</v>
      </c>
      <c r="B136">
        <v>184</v>
      </c>
      <c r="C136" t="s">
        <v>105</v>
      </c>
      <c r="D136" t="s">
        <v>120</v>
      </c>
      <c r="E136" t="s">
        <v>49</v>
      </c>
      <c r="F136" t="s">
        <v>19</v>
      </c>
      <c r="G136" t="s">
        <v>20</v>
      </c>
      <c r="H136" t="s">
        <v>21</v>
      </c>
      <c r="I136" t="s">
        <v>22</v>
      </c>
      <c r="J136" t="s">
        <v>23</v>
      </c>
      <c r="K136">
        <v>311</v>
      </c>
      <c r="L136" s="4">
        <v>15.751596299999999</v>
      </c>
      <c r="M136" s="4">
        <v>294.64546055066154</v>
      </c>
      <c r="N136" s="4">
        <v>5.9485018793192866E-4</v>
      </c>
      <c r="O136" s="1" t="str">
        <f>HYPERLINK(".\sm_car_250601_0524\sm_car_250601_0524_135_Ca184TrN_MaWOT_ode23t_1.png","figure")</f>
        <v>figure</v>
      </c>
      <c r="P136" t="s">
        <v>15</v>
      </c>
    </row>
    <row r="137" spans="1:16" x14ac:dyDescent="0.25">
      <c r="A137">
        <v>136</v>
      </c>
      <c r="B137">
        <v>184</v>
      </c>
      <c r="C137" t="s">
        <v>105</v>
      </c>
      <c r="D137" t="s">
        <v>120</v>
      </c>
      <c r="E137" t="s">
        <v>49</v>
      </c>
      <c r="F137" t="s">
        <v>19</v>
      </c>
      <c r="G137" t="s">
        <v>20</v>
      </c>
      <c r="H137" t="s">
        <v>21</v>
      </c>
      <c r="I137" t="s">
        <v>24</v>
      </c>
      <c r="J137" t="s">
        <v>23</v>
      </c>
      <c r="K137">
        <v>481</v>
      </c>
      <c r="L137" s="4">
        <v>11.197289700000001</v>
      </c>
      <c r="M137" s="4">
        <v>103.56281476907209</v>
      </c>
      <c r="N137" s="4">
        <v>-0.21255854813123123</v>
      </c>
      <c r="O137" s="1" t="str">
        <f>HYPERLINK(".\sm_car_250601_0524\sm_car_250601_0524_136_Ca184TrN_MaLSS_ode23t_1.png","figure")</f>
        <v>figure</v>
      </c>
      <c r="P137" t="s">
        <v>15</v>
      </c>
    </row>
    <row r="138" spans="1:16" x14ac:dyDescent="0.25">
      <c r="A138">
        <v>137</v>
      </c>
      <c r="B138">
        <v>217</v>
      </c>
      <c r="C138" t="s">
        <v>45</v>
      </c>
      <c r="D138" t="s">
        <v>17</v>
      </c>
      <c r="E138" t="s">
        <v>107</v>
      </c>
      <c r="F138" t="s">
        <v>119</v>
      </c>
      <c r="G138" t="s">
        <v>26</v>
      </c>
      <c r="H138" t="s">
        <v>21</v>
      </c>
      <c r="I138" t="s">
        <v>22</v>
      </c>
      <c r="J138" t="s">
        <v>23</v>
      </c>
      <c r="K138">
        <v>744</v>
      </c>
      <c r="L138" s="4">
        <v>33.112479299999997</v>
      </c>
      <c r="M138" s="4">
        <v>278.53299339271558</v>
      </c>
      <c r="N138" s="4">
        <v>0.73298986942053801</v>
      </c>
      <c r="O138" s="1" t="str">
        <f>HYPERLINK(".\sm_car_250601_0524\sm_car_250601_0524_137_Ca217TrN_MaWOT_ode23t_1.png","figure")</f>
        <v>figure</v>
      </c>
      <c r="P138" t="s">
        <v>15</v>
      </c>
    </row>
    <row r="139" spans="1:16" x14ac:dyDescent="0.25">
      <c r="A139">
        <v>138</v>
      </c>
      <c r="B139">
        <v>217</v>
      </c>
      <c r="C139" t="s">
        <v>45</v>
      </c>
      <c r="D139" t="s">
        <v>17</v>
      </c>
      <c r="E139" t="s">
        <v>107</v>
      </c>
      <c r="F139" t="s">
        <v>119</v>
      </c>
      <c r="G139" t="s">
        <v>26</v>
      </c>
      <c r="H139" t="s">
        <v>21</v>
      </c>
      <c r="I139" t="s">
        <v>24</v>
      </c>
      <c r="J139" t="s">
        <v>23</v>
      </c>
      <c r="K139">
        <v>849</v>
      </c>
      <c r="L139" s="4">
        <v>36.910927700000002</v>
      </c>
      <c r="M139" s="4">
        <v>110.07304022841477</v>
      </c>
      <c r="N139" s="4">
        <v>-0.35489105597102799</v>
      </c>
      <c r="O139" s="1" t="str">
        <f>HYPERLINK(".\sm_car_250601_0524\sm_car_250601_0524_138_Ca217TrN_MaLSS_ode23t_1.png","figure")</f>
        <v>figure</v>
      </c>
      <c r="P139" t="s">
        <v>15</v>
      </c>
    </row>
    <row r="140" spans="1:16" x14ac:dyDescent="0.25">
      <c r="A140">
        <v>139</v>
      </c>
      <c r="B140">
        <v>12</v>
      </c>
      <c r="C140" t="s">
        <v>16</v>
      </c>
      <c r="D140" t="s">
        <v>17</v>
      </c>
      <c r="E140" t="s">
        <v>49</v>
      </c>
      <c r="F140" t="s">
        <v>28</v>
      </c>
      <c r="G140" t="s">
        <v>20</v>
      </c>
      <c r="H140" t="s">
        <v>21</v>
      </c>
      <c r="I140" t="s">
        <v>53</v>
      </c>
      <c r="J140" t="s">
        <v>23</v>
      </c>
      <c r="K140">
        <v>788</v>
      </c>
      <c r="L140" s="4">
        <v>11.656283200000001</v>
      </c>
      <c r="M140" s="4">
        <v>254.56728810242862</v>
      </c>
      <c r="N140" s="4">
        <v>3.4329149652383428E-3</v>
      </c>
      <c r="O140" s="1" t="str">
        <f>HYPERLINK(".\sm_car_250601_0524\sm_car_250601_0524_139_Ca012TrN_MaDLC_ode23t_1.png","figure")</f>
        <v>figure</v>
      </c>
      <c r="P140" t="s">
        <v>15</v>
      </c>
    </row>
    <row r="141" spans="1:16" x14ac:dyDescent="0.25">
      <c r="A141">
        <v>140</v>
      </c>
      <c r="B141">
        <v>12</v>
      </c>
      <c r="C141" t="s">
        <v>16</v>
      </c>
      <c r="D141" t="s">
        <v>17</v>
      </c>
      <c r="E141" t="s">
        <v>49</v>
      </c>
      <c r="F141" t="s">
        <v>28</v>
      </c>
      <c r="G141" t="s">
        <v>20</v>
      </c>
      <c r="H141" t="s">
        <v>21</v>
      </c>
      <c r="I141" t="s">
        <v>54</v>
      </c>
      <c r="J141" t="s">
        <v>23</v>
      </c>
      <c r="K141">
        <v>928</v>
      </c>
      <c r="L141" s="4">
        <v>15.2822295</v>
      </c>
      <c r="M141" s="4">
        <v>74.803378420356452</v>
      </c>
      <c r="N141" s="4">
        <v>0.71987889792356108</v>
      </c>
      <c r="O141" s="1" t="str">
        <f>HYPERLINK(".\sm_car_250601_0524\sm_car_250601_0524_140_Ca012TrN_MaIPA_ode23t_1.png","figure")</f>
        <v>figure</v>
      </c>
      <c r="P141" t="s">
        <v>15</v>
      </c>
    </row>
    <row r="142" spans="1:16" x14ac:dyDescent="0.25">
      <c r="A142">
        <v>141</v>
      </c>
      <c r="B142">
        <v>142</v>
      </c>
      <c r="C142" t="s">
        <v>45</v>
      </c>
      <c r="D142" t="s">
        <v>17</v>
      </c>
      <c r="E142" t="s">
        <v>49</v>
      </c>
      <c r="F142" t="s">
        <v>28</v>
      </c>
      <c r="G142" t="s">
        <v>26</v>
      </c>
      <c r="H142" t="s">
        <v>21</v>
      </c>
      <c r="I142" t="s">
        <v>53</v>
      </c>
      <c r="J142" t="s">
        <v>23</v>
      </c>
      <c r="K142">
        <v>782</v>
      </c>
      <c r="L142" s="4">
        <v>14.6277703</v>
      </c>
      <c r="M142" s="4">
        <v>253.99470097317493</v>
      </c>
      <c r="N142" s="4">
        <v>-5.5891935702927498E-3</v>
      </c>
      <c r="O142" s="1" t="str">
        <f>HYPERLINK(".\sm_car_250601_0524\sm_car_250601_0524_141_Ca142TrN_MaDLC_ode23t_1.png","figure")</f>
        <v>figure</v>
      </c>
      <c r="P142" t="s">
        <v>15</v>
      </c>
    </row>
    <row r="143" spans="1:16" x14ac:dyDescent="0.25">
      <c r="A143">
        <v>142</v>
      </c>
      <c r="B143">
        <v>142</v>
      </c>
      <c r="C143" t="s">
        <v>45</v>
      </c>
      <c r="D143" t="s">
        <v>17</v>
      </c>
      <c r="E143" t="s">
        <v>49</v>
      </c>
      <c r="F143" t="s">
        <v>28</v>
      </c>
      <c r="G143" t="s">
        <v>26</v>
      </c>
      <c r="H143" t="s">
        <v>21</v>
      </c>
      <c r="I143" t="s">
        <v>54</v>
      </c>
      <c r="J143" t="s">
        <v>23</v>
      </c>
      <c r="K143">
        <v>1514</v>
      </c>
      <c r="L143" s="4">
        <v>42.8607607</v>
      </c>
      <c r="M143" s="4">
        <v>83.364975879386066</v>
      </c>
      <c r="N143" s="4">
        <v>0.85104323035071494</v>
      </c>
      <c r="O143" s="1" t="str">
        <f>HYPERLINK(".\sm_car_250601_0524\sm_car_250601_0524_142_Ca142TrN_MaIPA_ode23t_1.png","figure")</f>
        <v>figure</v>
      </c>
      <c r="P143" t="s">
        <v>15</v>
      </c>
    </row>
    <row r="144" spans="1:16" x14ac:dyDescent="0.25">
      <c r="A144">
        <v>143</v>
      </c>
      <c r="B144">
        <v>145</v>
      </c>
      <c r="C144" t="s">
        <v>46</v>
      </c>
      <c r="D144" t="s">
        <v>17</v>
      </c>
      <c r="E144" t="s">
        <v>50</v>
      </c>
      <c r="F144" t="s">
        <v>19</v>
      </c>
      <c r="G144" t="s">
        <v>26</v>
      </c>
      <c r="H144" t="s">
        <v>21</v>
      </c>
      <c r="I144" t="s">
        <v>53</v>
      </c>
      <c r="J144" t="s">
        <v>23</v>
      </c>
      <c r="K144">
        <v>485</v>
      </c>
      <c r="L144" s="4">
        <v>18.205849499999999</v>
      </c>
      <c r="M144" s="4">
        <v>255.34580149843714</v>
      </c>
      <c r="N144" s="4">
        <v>4.1384061767122837E-2</v>
      </c>
      <c r="O144" s="1" t="str">
        <f>HYPERLINK(".\sm_car_250601_0524\sm_car_250601_0524_143_Ca145TrN_MaDLC_ode23t_1.png","figure")</f>
        <v>figure</v>
      </c>
      <c r="P144" t="s">
        <v>15</v>
      </c>
    </row>
    <row r="145" spans="1:16" x14ac:dyDescent="0.25">
      <c r="A145">
        <v>144</v>
      </c>
      <c r="B145">
        <v>145</v>
      </c>
      <c r="C145" t="s">
        <v>46</v>
      </c>
      <c r="D145" t="s">
        <v>17</v>
      </c>
      <c r="E145" t="s">
        <v>50</v>
      </c>
      <c r="F145" t="s">
        <v>19</v>
      </c>
      <c r="G145" t="s">
        <v>26</v>
      </c>
      <c r="H145" t="s">
        <v>21</v>
      </c>
      <c r="I145" t="s">
        <v>54</v>
      </c>
      <c r="J145" t="s">
        <v>23</v>
      </c>
      <c r="K145">
        <v>316</v>
      </c>
      <c r="L145" s="4">
        <v>12.475101</v>
      </c>
      <c r="M145" s="4">
        <v>28.088186829286883</v>
      </c>
      <c r="N145" s="4">
        <v>1.5899913059596607E-2</v>
      </c>
      <c r="O145" s="1" t="str">
        <f>HYPERLINK(".\sm_car_250601_0524\sm_car_250601_0524_144_Ca145TrN_MaIPA_ode23t_1.png","figure")</f>
        <v>figure</v>
      </c>
      <c r="P145" t="s">
        <v>15</v>
      </c>
    </row>
    <row r="146" spans="1:16" x14ac:dyDescent="0.25">
      <c r="A146">
        <v>145</v>
      </c>
      <c r="B146">
        <v>184</v>
      </c>
      <c r="C146" t="s">
        <v>105</v>
      </c>
      <c r="D146" t="s">
        <v>120</v>
      </c>
      <c r="E146" t="s">
        <v>49</v>
      </c>
      <c r="F146" t="s">
        <v>19</v>
      </c>
      <c r="G146" t="s">
        <v>20</v>
      </c>
      <c r="H146" t="s">
        <v>21</v>
      </c>
      <c r="I146" t="s">
        <v>53</v>
      </c>
      <c r="J146" t="s">
        <v>23</v>
      </c>
      <c r="K146">
        <v>419</v>
      </c>
      <c r="L146" s="4">
        <v>12.1167202</v>
      </c>
      <c r="M146" s="4">
        <v>255.79916803777058</v>
      </c>
      <c r="N146" s="4">
        <v>1.0750163567759596E-2</v>
      </c>
      <c r="O146" s="1" t="str">
        <f>HYPERLINK(".\sm_car_250601_0524\sm_car_250601_0524_145_Ca184TrN_MaDLC_ode23t_1.png","figure")</f>
        <v>figure</v>
      </c>
      <c r="P146" t="s">
        <v>15</v>
      </c>
    </row>
    <row r="147" spans="1:16" x14ac:dyDescent="0.25">
      <c r="A147">
        <v>146</v>
      </c>
      <c r="B147">
        <v>184</v>
      </c>
      <c r="C147" t="s">
        <v>105</v>
      </c>
      <c r="D147" t="s">
        <v>120</v>
      </c>
      <c r="E147" t="s">
        <v>49</v>
      </c>
      <c r="F147" t="s">
        <v>19</v>
      </c>
      <c r="G147" t="s">
        <v>20</v>
      </c>
      <c r="H147" t="s">
        <v>21</v>
      </c>
      <c r="I147" t="s">
        <v>54</v>
      </c>
      <c r="J147" t="s">
        <v>23</v>
      </c>
      <c r="K147">
        <v>316</v>
      </c>
      <c r="L147" s="4">
        <v>12.440654500000001</v>
      </c>
      <c r="M147" s="4">
        <v>55.272298865534218</v>
      </c>
      <c r="N147" s="4">
        <v>5.8677306534421622E-3</v>
      </c>
      <c r="O147" s="1" t="str">
        <f>HYPERLINK(".\sm_car_250601_0524\sm_car_250601_0524_146_Ca184TrN_MaIPA_ode23t_1.png","figure")</f>
        <v>figure</v>
      </c>
      <c r="P147" t="s">
        <v>15</v>
      </c>
    </row>
    <row r="148" spans="1:16" x14ac:dyDescent="0.25">
      <c r="A148">
        <v>147</v>
      </c>
      <c r="B148">
        <v>204</v>
      </c>
      <c r="C148" t="s">
        <v>105</v>
      </c>
      <c r="D148" t="s">
        <v>106</v>
      </c>
      <c r="E148" t="s">
        <v>18</v>
      </c>
      <c r="F148" t="s">
        <v>19</v>
      </c>
      <c r="G148" t="s">
        <v>20</v>
      </c>
      <c r="H148" t="s">
        <v>21</v>
      </c>
      <c r="I148" t="s">
        <v>53</v>
      </c>
      <c r="J148" t="s">
        <v>23</v>
      </c>
      <c r="K148">
        <v>1984</v>
      </c>
      <c r="L148" s="4">
        <v>27.2608277</v>
      </c>
      <c r="M148" s="4">
        <v>254.8935084720348</v>
      </c>
      <c r="N148" s="4">
        <v>1.5499479256507964E-2</v>
      </c>
      <c r="O148" s="1" t="str">
        <f>HYPERLINK(".\sm_car_250601_0524\sm_car_250601_0524_147_Ca204TrN_MaDLC_ode23t_1.png","figure")</f>
        <v>figure</v>
      </c>
      <c r="P148" t="s">
        <v>15</v>
      </c>
    </row>
    <row r="149" spans="1:16" x14ac:dyDescent="0.25">
      <c r="A149">
        <v>148</v>
      </c>
      <c r="B149">
        <v>204</v>
      </c>
      <c r="C149" t="s">
        <v>105</v>
      </c>
      <c r="D149" t="s">
        <v>106</v>
      </c>
      <c r="E149" t="s">
        <v>18</v>
      </c>
      <c r="F149" t="s">
        <v>19</v>
      </c>
      <c r="G149" t="s">
        <v>20</v>
      </c>
      <c r="H149" t="s">
        <v>21</v>
      </c>
      <c r="I149" t="s">
        <v>54</v>
      </c>
      <c r="J149" t="s">
        <v>23</v>
      </c>
      <c r="K149">
        <v>663</v>
      </c>
      <c r="L149" s="4">
        <v>11.114860500000001</v>
      </c>
      <c r="M149" s="4">
        <v>26.034582908336471</v>
      </c>
      <c r="N149" s="4">
        <v>9.6641497332310318E-3</v>
      </c>
      <c r="O149" s="1" t="str">
        <f>HYPERLINK(".\sm_car_250601_0524\sm_car_250601_0524_148_Ca204TrN_MaIPA_ode23t_1.png","figure")</f>
        <v>figure</v>
      </c>
      <c r="P149" t="s">
        <v>15</v>
      </c>
    </row>
    <row r="150" spans="1:16" x14ac:dyDescent="0.25">
      <c r="A150">
        <v>149</v>
      </c>
      <c r="B150">
        <v>12</v>
      </c>
      <c r="C150" t="s">
        <v>16</v>
      </c>
      <c r="D150" t="s">
        <v>17</v>
      </c>
      <c r="E150" t="s">
        <v>49</v>
      </c>
      <c r="F150" t="s">
        <v>28</v>
      </c>
      <c r="G150" t="s">
        <v>20</v>
      </c>
      <c r="H150" t="s">
        <v>21</v>
      </c>
      <c r="I150" t="s">
        <v>55</v>
      </c>
      <c r="J150" t="s">
        <v>23</v>
      </c>
      <c r="K150">
        <v>2706</v>
      </c>
      <c r="L150" s="4">
        <v>28.867286400000001</v>
      </c>
      <c r="M150" s="4">
        <v>-2.0420287979656518E-2</v>
      </c>
      <c r="N150" s="4">
        <v>-0.62225573868512085</v>
      </c>
      <c r="O150" s="1" t="str">
        <f>HYPERLINK(".\sm_car_250601_0524\sm_car_250601_0524_149_Ca012TrN_MaMPK_ode23t_1.png","figure")</f>
        <v>figure</v>
      </c>
      <c r="P150" t="s">
        <v>15</v>
      </c>
    </row>
    <row r="151" spans="1:16" x14ac:dyDescent="0.25">
      <c r="A151">
        <v>150</v>
      </c>
      <c r="B151">
        <v>12</v>
      </c>
      <c r="C151" t="s">
        <v>16</v>
      </c>
      <c r="D151" t="s">
        <v>17</v>
      </c>
      <c r="E151" t="s">
        <v>49</v>
      </c>
      <c r="F151" t="s">
        <v>28</v>
      </c>
      <c r="G151" t="s">
        <v>20</v>
      </c>
      <c r="H151" t="s">
        <v>21</v>
      </c>
      <c r="I151" t="s">
        <v>56</v>
      </c>
      <c r="J151" t="s">
        <v>23</v>
      </c>
      <c r="K151">
        <v>3136</v>
      </c>
      <c r="L151" s="4">
        <v>34.648765099999999</v>
      </c>
      <c r="M151" s="4">
        <v>0.78437733757504624</v>
      </c>
      <c r="N151" s="4">
        <v>-0.32239398212146736</v>
      </c>
      <c r="O151" s="1" t="str">
        <f>HYPERLINK(".\sm_car_250601_0524\sm_car_250601_0524_150_Ca012TrN_MaMPC_ode23t_1.png","figure")</f>
        <v>figure</v>
      </c>
      <c r="P151" t="s">
        <v>15</v>
      </c>
    </row>
    <row r="152" spans="1:16" x14ac:dyDescent="0.25">
      <c r="A152">
        <v>151</v>
      </c>
      <c r="B152">
        <v>142</v>
      </c>
      <c r="C152" t="s">
        <v>45</v>
      </c>
      <c r="D152" t="s">
        <v>17</v>
      </c>
      <c r="E152" t="s">
        <v>49</v>
      </c>
      <c r="F152" t="s">
        <v>28</v>
      </c>
      <c r="G152" t="s">
        <v>26</v>
      </c>
      <c r="H152" t="s">
        <v>21</v>
      </c>
      <c r="I152" t="s">
        <v>55</v>
      </c>
      <c r="J152" t="s">
        <v>23</v>
      </c>
      <c r="K152">
        <v>2597</v>
      </c>
      <c r="L152" s="4">
        <v>69.437149599999998</v>
      </c>
      <c r="M152" s="4">
        <v>-1.6899137275452641E-2</v>
      </c>
      <c r="N152" s="4">
        <v>-0.54598546517961688</v>
      </c>
      <c r="O152" s="1" t="str">
        <f>HYPERLINK(".\sm_car_250601_0524\sm_car_250601_0524_151_Ca142TrN_MaMPK_ode23t_1.png","figure")</f>
        <v>figure</v>
      </c>
      <c r="P152" t="s">
        <v>15</v>
      </c>
    </row>
    <row r="153" spans="1:16" x14ac:dyDescent="0.25">
      <c r="A153">
        <v>152</v>
      </c>
      <c r="B153">
        <v>142</v>
      </c>
      <c r="C153" t="s">
        <v>45</v>
      </c>
      <c r="D153" t="s">
        <v>17</v>
      </c>
      <c r="E153" t="s">
        <v>49</v>
      </c>
      <c r="F153" t="s">
        <v>28</v>
      </c>
      <c r="G153" t="s">
        <v>26</v>
      </c>
      <c r="H153" t="s">
        <v>21</v>
      </c>
      <c r="I153" t="s">
        <v>56</v>
      </c>
      <c r="J153" t="s">
        <v>23</v>
      </c>
      <c r="K153">
        <v>3176</v>
      </c>
      <c r="L153" s="4">
        <v>78.503886600000001</v>
      </c>
      <c r="M153" s="4">
        <v>0.78855592312994993</v>
      </c>
      <c r="N153" s="4">
        <v>-0.36530629527841857</v>
      </c>
      <c r="O153" s="1" t="str">
        <f>HYPERLINK(".\sm_car_250601_0524\sm_car_250601_0524_152_Ca142TrN_MaMPC_ode23t_1.png","figure")</f>
        <v>figure</v>
      </c>
      <c r="P153" t="s">
        <v>15</v>
      </c>
    </row>
    <row r="154" spans="1:16" x14ac:dyDescent="0.25">
      <c r="A154">
        <v>153</v>
      </c>
      <c r="B154">
        <v>116</v>
      </c>
      <c r="C154" t="s">
        <v>16</v>
      </c>
      <c r="D154" t="s">
        <v>35</v>
      </c>
      <c r="E154" t="s">
        <v>18</v>
      </c>
      <c r="F154" t="s">
        <v>28</v>
      </c>
      <c r="G154" t="s">
        <v>20</v>
      </c>
      <c r="H154" t="s">
        <v>21</v>
      </c>
      <c r="I154" t="s">
        <v>55</v>
      </c>
      <c r="J154" t="s">
        <v>23</v>
      </c>
      <c r="K154">
        <v>2845</v>
      </c>
      <c r="L154" s="4">
        <v>13.1618291</v>
      </c>
      <c r="M154" s="4">
        <v>-1.7459367770839535E-2</v>
      </c>
      <c r="N154" s="4">
        <v>-0.52469810744132528</v>
      </c>
      <c r="O154" s="1" t="str">
        <f>HYPERLINK(".\sm_car_250601_0524\sm_car_250601_0524_153_Ca116TrN_MaMPK_ode23t_1.png","figure")</f>
        <v>figure</v>
      </c>
      <c r="P154" t="s">
        <v>15</v>
      </c>
    </row>
    <row r="155" spans="1:16" x14ac:dyDescent="0.25">
      <c r="A155">
        <v>154</v>
      </c>
      <c r="B155">
        <v>116</v>
      </c>
      <c r="C155" t="s">
        <v>16</v>
      </c>
      <c r="D155" t="s">
        <v>35</v>
      </c>
      <c r="E155" t="s">
        <v>18</v>
      </c>
      <c r="F155" t="s">
        <v>28</v>
      </c>
      <c r="G155" t="s">
        <v>20</v>
      </c>
      <c r="H155" t="s">
        <v>21</v>
      </c>
      <c r="I155" t="s">
        <v>56</v>
      </c>
      <c r="J155" t="s">
        <v>23</v>
      </c>
      <c r="K155">
        <v>3369</v>
      </c>
      <c r="L155" s="4">
        <v>14.973513499999999</v>
      </c>
      <c r="M155" s="4">
        <v>0.77871693523204577</v>
      </c>
      <c r="N155" s="4">
        <v>-0.35477519341988872</v>
      </c>
      <c r="O155" s="1" t="str">
        <f>HYPERLINK(".\sm_car_250601_0524\sm_car_250601_0524_154_Ca116TrN_MaMPC_ode23t_1.png","figure")</f>
        <v>figure</v>
      </c>
      <c r="P155" t="s">
        <v>15</v>
      </c>
    </row>
    <row r="156" spans="1:16" x14ac:dyDescent="0.25">
      <c r="A156">
        <v>155</v>
      </c>
      <c r="B156">
        <v>143</v>
      </c>
      <c r="C156" t="s">
        <v>46</v>
      </c>
      <c r="D156" t="s">
        <v>17</v>
      </c>
      <c r="E156" t="s">
        <v>47</v>
      </c>
      <c r="F156" t="s">
        <v>19</v>
      </c>
      <c r="G156" t="s">
        <v>26</v>
      </c>
      <c r="H156" t="s">
        <v>21</v>
      </c>
      <c r="I156" t="s">
        <v>55</v>
      </c>
      <c r="J156" t="s">
        <v>23</v>
      </c>
      <c r="K156">
        <v>2705</v>
      </c>
      <c r="L156" s="4">
        <v>50.917739699999998</v>
      </c>
      <c r="M156" s="4">
        <v>-1.547737491653195E-2</v>
      </c>
      <c r="N156" s="4">
        <v>-0.38963652890332007</v>
      </c>
      <c r="O156" s="1" t="str">
        <f>HYPERLINK(".\sm_car_250601_0524\sm_car_250601_0524_155_Ca143TrN_MaMPK_ode23t_1.png","figure")</f>
        <v>figure</v>
      </c>
      <c r="P156" t="s">
        <v>15</v>
      </c>
    </row>
    <row r="157" spans="1:16" x14ac:dyDescent="0.25">
      <c r="A157">
        <v>156</v>
      </c>
      <c r="B157">
        <v>143</v>
      </c>
      <c r="C157" t="s">
        <v>46</v>
      </c>
      <c r="D157" t="s">
        <v>17</v>
      </c>
      <c r="E157" t="s">
        <v>47</v>
      </c>
      <c r="F157" t="s">
        <v>19</v>
      </c>
      <c r="G157" t="s">
        <v>26</v>
      </c>
      <c r="H157" t="s">
        <v>21</v>
      </c>
      <c r="I157" t="s">
        <v>56</v>
      </c>
      <c r="J157" t="s">
        <v>23</v>
      </c>
      <c r="K157">
        <v>2910</v>
      </c>
      <c r="L157" s="4">
        <v>63.073452600000003</v>
      </c>
      <c r="M157" s="4">
        <v>0.78862436246815548</v>
      </c>
      <c r="N157" s="4">
        <v>-0.25863249633066265</v>
      </c>
      <c r="O157" s="1" t="str">
        <f>HYPERLINK(".\sm_car_250601_0524\sm_car_250601_0524_156_Ca143TrN_MaMPC_ode23t_1.png","figure")</f>
        <v>figure</v>
      </c>
      <c r="P157" t="s">
        <v>15</v>
      </c>
    </row>
    <row r="158" spans="1:16" x14ac:dyDescent="0.25">
      <c r="A158">
        <v>157</v>
      </c>
      <c r="B158">
        <v>166</v>
      </c>
      <c r="C158" t="s">
        <v>45</v>
      </c>
      <c r="D158" t="s">
        <v>57</v>
      </c>
      <c r="E158" t="s">
        <v>18</v>
      </c>
      <c r="F158" t="s">
        <v>19</v>
      </c>
      <c r="G158" t="s">
        <v>26</v>
      </c>
      <c r="H158" t="s">
        <v>21</v>
      </c>
      <c r="I158" t="s">
        <v>55</v>
      </c>
      <c r="J158" t="s">
        <v>23</v>
      </c>
      <c r="K158">
        <v>3187</v>
      </c>
      <c r="L158" s="4">
        <v>44.815700700000001</v>
      </c>
      <c r="M158" s="4">
        <v>-1.9267438665187792E-2</v>
      </c>
      <c r="N158" s="4">
        <v>-0.55548062012995092</v>
      </c>
      <c r="O158" s="1" t="str">
        <f>HYPERLINK(".\sm_car_250601_0524\sm_car_250601_0524_157_Ca166TrN_MaMPK_ode23t_1.png","figure")</f>
        <v>figure</v>
      </c>
      <c r="P158" t="s">
        <v>15</v>
      </c>
    </row>
    <row r="159" spans="1:16" x14ac:dyDescent="0.25">
      <c r="A159">
        <v>158</v>
      </c>
      <c r="B159">
        <v>166</v>
      </c>
      <c r="C159" t="s">
        <v>45</v>
      </c>
      <c r="D159" t="s">
        <v>57</v>
      </c>
      <c r="E159" t="s">
        <v>18</v>
      </c>
      <c r="F159" t="s">
        <v>19</v>
      </c>
      <c r="G159" t="s">
        <v>26</v>
      </c>
      <c r="H159" t="s">
        <v>21</v>
      </c>
      <c r="I159" t="s">
        <v>56</v>
      </c>
      <c r="J159" t="s">
        <v>23</v>
      </c>
      <c r="K159">
        <v>3553</v>
      </c>
      <c r="L159" s="4">
        <v>48.456225699999997</v>
      </c>
      <c r="M159" s="4">
        <v>0.7625262656905516</v>
      </c>
      <c r="N159" s="4">
        <v>-0.35617297627331468</v>
      </c>
      <c r="O159" s="1" t="str">
        <f>HYPERLINK(".\sm_car_250601_0524\sm_car_250601_0524_158_Ca166TrN_MaMPC_ode23t_1.png","figure")</f>
        <v>figure</v>
      </c>
      <c r="P159" t="s">
        <v>15</v>
      </c>
    </row>
    <row r="160" spans="1:16" x14ac:dyDescent="0.25">
      <c r="A160">
        <v>159</v>
      </c>
      <c r="B160">
        <v>169</v>
      </c>
      <c r="C160" t="s">
        <v>45</v>
      </c>
      <c r="D160" t="s">
        <v>58</v>
      </c>
      <c r="E160" t="s">
        <v>49</v>
      </c>
      <c r="F160" t="s">
        <v>19</v>
      </c>
      <c r="G160" t="s">
        <v>26</v>
      </c>
      <c r="H160" t="s">
        <v>21</v>
      </c>
      <c r="I160" t="s">
        <v>55</v>
      </c>
      <c r="J160" t="s">
        <v>23</v>
      </c>
      <c r="K160">
        <v>3122</v>
      </c>
      <c r="L160" s="4">
        <v>40.484622799999997</v>
      </c>
      <c r="M160" s="4">
        <v>-1.9540244422986158E-2</v>
      </c>
      <c r="N160" s="4">
        <v>-0.55632891050655287</v>
      </c>
      <c r="O160" s="1" t="str">
        <f>HYPERLINK(".\sm_car_250601_0524\sm_car_250601_0524_159_Ca169TrN_MaMPK_ode23t_1.png","figure")</f>
        <v>figure</v>
      </c>
      <c r="P160" t="s">
        <v>15</v>
      </c>
    </row>
    <row r="161" spans="1:16" x14ac:dyDescent="0.25">
      <c r="A161">
        <v>160</v>
      </c>
      <c r="B161">
        <v>169</v>
      </c>
      <c r="C161" t="s">
        <v>45</v>
      </c>
      <c r="D161" t="s">
        <v>58</v>
      </c>
      <c r="E161" t="s">
        <v>49</v>
      </c>
      <c r="F161" t="s">
        <v>19</v>
      </c>
      <c r="G161" t="s">
        <v>26</v>
      </c>
      <c r="H161" t="s">
        <v>21</v>
      </c>
      <c r="I161" t="s">
        <v>56</v>
      </c>
      <c r="J161" t="s">
        <v>23</v>
      </c>
      <c r="K161">
        <v>3394</v>
      </c>
      <c r="L161" s="4">
        <v>41.934223600000003</v>
      </c>
      <c r="M161" s="4">
        <v>0.78799874807431003</v>
      </c>
      <c r="N161" s="4">
        <v>-0.35565936008043425</v>
      </c>
      <c r="O161" s="1" t="str">
        <f>HYPERLINK(".\sm_car_250601_0524\sm_car_250601_0524_160_Ca169TrN_MaMPC_ode23t_1.png","figure")</f>
        <v>figure</v>
      </c>
      <c r="P161" t="s">
        <v>15</v>
      </c>
    </row>
    <row r="162" spans="1:16" x14ac:dyDescent="0.25">
      <c r="A162">
        <v>161</v>
      </c>
      <c r="B162">
        <v>184</v>
      </c>
      <c r="C162" t="s">
        <v>105</v>
      </c>
      <c r="D162" t="s">
        <v>120</v>
      </c>
      <c r="E162" t="s">
        <v>49</v>
      </c>
      <c r="F162" t="s">
        <v>19</v>
      </c>
      <c r="G162" t="s">
        <v>20</v>
      </c>
      <c r="H162" t="s">
        <v>21</v>
      </c>
      <c r="I162" t="s">
        <v>55</v>
      </c>
      <c r="J162" t="s">
        <v>23</v>
      </c>
      <c r="K162">
        <v>2108</v>
      </c>
      <c r="L162" s="4">
        <v>53.176453600000002</v>
      </c>
      <c r="M162" s="4">
        <v>-1.7625895782277509E-2</v>
      </c>
      <c r="N162" s="4">
        <v>-0.69670881408272434</v>
      </c>
      <c r="O162" s="1" t="str">
        <f>HYPERLINK(".\sm_car_250601_0524\sm_car_250601_0524_161_Ca184TrN_MaMPK_ode23t_1.png","figure")</f>
        <v>figure</v>
      </c>
      <c r="P162" t="s">
        <v>15</v>
      </c>
    </row>
    <row r="163" spans="1:16" x14ac:dyDescent="0.25">
      <c r="A163">
        <v>162</v>
      </c>
      <c r="B163">
        <v>184</v>
      </c>
      <c r="C163" t="s">
        <v>105</v>
      </c>
      <c r="D163" t="s">
        <v>120</v>
      </c>
      <c r="E163" t="s">
        <v>49</v>
      </c>
      <c r="F163" t="s">
        <v>19</v>
      </c>
      <c r="G163" t="s">
        <v>20</v>
      </c>
      <c r="H163" t="s">
        <v>21</v>
      </c>
      <c r="I163" t="s">
        <v>56</v>
      </c>
      <c r="J163" t="s">
        <v>23</v>
      </c>
      <c r="K163">
        <v>2176</v>
      </c>
      <c r="L163" s="4">
        <v>53.229665500000003</v>
      </c>
      <c r="M163" s="4">
        <v>0.78179013609330283</v>
      </c>
      <c r="N163" s="4">
        <v>-0.32963401882123766</v>
      </c>
      <c r="O163" s="1" t="str">
        <f>HYPERLINK(".\sm_car_250601_0524\sm_car_250601_0524_162_Ca184TrN_MaMPC_ode23t_1.png","figure")</f>
        <v>figure</v>
      </c>
      <c r="P163" t="s">
        <v>15</v>
      </c>
    </row>
    <row r="164" spans="1:16" x14ac:dyDescent="0.25">
      <c r="A164">
        <v>163</v>
      </c>
      <c r="B164">
        <v>195</v>
      </c>
      <c r="C164" t="s">
        <v>45</v>
      </c>
      <c r="D164" t="s">
        <v>58</v>
      </c>
      <c r="E164" t="s">
        <v>107</v>
      </c>
      <c r="F164" t="s">
        <v>19</v>
      </c>
      <c r="G164" t="s">
        <v>26</v>
      </c>
      <c r="H164" t="s">
        <v>21</v>
      </c>
      <c r="I164" t="s">
        <v>55</v>
      </c>
      <c r="J164" t="s">
        <v>23</v>
      </c>
      <c r="K164">
        <v>3145</v>
      </c>
      <c r="L164" s="4">
        <v>36.988574800000002</v>
      </c>
      <c r="M164" s="4">
        <v>-1.8635280978578736E-2</v>
      </c>
      <c r="N164" s="4">
        <v>-0.55630313979686019</v>
      </c>
      <c r="O164" s="1" t="str">
        <f>HYPERLINK(".\sm_car_250601_0524\sm_car_250601_0524_163_Ca195TrN_MaMPK_ode23t_1.png","figure")</f>
        <v>figure</v>
      </c>
      <c r="P164" t="s">
        <v>15</v>
      </c>
    </row>
    <row r="165" spans="1:16" x14ac:dyDescent="0.25">
      <c r="A165">
        <v>164</v>
      </c>
      <c r="B165">
        <v>195</v>
      </c>
      <c r="C165" t="s">
        <v>45</v>
      </c>
      <c r="D165" t="s">
        <v>58</v>
      </c>
      <c r="E165" t="s">
        <v>107</v>
      </c>
      <c r="F165" t="s">
        <v>19</v>
      </c>
      <c r="G165" t="s">
        <v>26</v>
      </c>
      <c r="H165" t="s">
        <v>21</v>
      </c>
      <c r="I165" t="s">
        <v>56</v>
      </c>
      <c r="J165" t="s">
        <v>23</v>
      </c>
      <c r="K165">
        <v>3371</v>
      </c>
      <c r="L165" s="4">
        <v>35.517592999999998</v>
      </c>
      <c r="M165" s="4">
        <v>0.78846811186703114</v>
      </c>
      <c r="N165" s="4">
        <v>-0.35564214145006634</v>
      </c>
      <c r="O165" s="1" t="str">
        <f>HYPERLINK(".\sm_car_250601_0524\sm_car_250601_0524_164_Ca195TrN_MaMPC_ode23t_1.png","figure")</f>
        <v>figure</v>
      </c>
      <c r="P165" t="s">
        <v>15</v>
      </c>
    </row>
    <row r="166" spans="1:16" x14ac:dyDescent="0.25">
      <c r="A166">
        <v>165</v>
      </c>
      <c r="B166">
        <v>198</v>
      </c>
      <c r="C166" t="s">
        <v>105</v>
      </c>
      <c r="D166" t="s">
        <v>120</v>
      </c>
      <c r="E166" t="s">
        <v>107</v>
      </c>
      <c r="F166" t="s">
        <v>19</v>
      </c>
      <c r="G166" t="s">
        <v>20</v>
      </c>
      <c r="H166" t="s">
        <v>21</v>
      </c>
      <c r="I166" t="s">
        <v>55</v>
      </c>
      <c r="J166" t="s">
        <v>23</v>
      </c>
      <c r="K166">
        <v>2112</v>
      </c>
      <c r="L166" s="4">
        <v>33.504373299999997</v>
      </c>
      <c r="M166" s="4">
        <v>-2.1382089603925611E-2</v>
      </c>
      <c r="N166" s="4">
        <v>-0.69680324476210065</v>
      </c>
      <c r="O166" s="1" t="str">
        <f>HYPERLINK(".\sm_car_250601_0524\sm_car_250601_0524_165_Ca198TrN_MaMPK_ode23t_1.png","figure")</f>
        <v>figure</v>
      </c>
      <c r="P166" t="s">
        <v>15</v>
      </c>
    </row>
    <row r="167" spans="1:16" x14ac:dyDescent="0.25">
      <c r="A167">
        <v>166</v>
      </c>
      <c r="B167">
        <v>198</v>
      </c>
      <c r="C167" t="s">
        <v>105</v>
      </c>
      <c r="D167" t="s">
        <v>120</v>
      </c>
      <c r="E167" t="s">
        <v>107</v>
      </c>
      <c r="F167" t="s">
        <v>19</v>
      </c>
      <c r="G167" t="s">
        <v>20</v>
      </c>
      <c r="H167" t="s">
        <v>21</v>
      </c>
      <c r="I167" t="s">
        <v>56</v>
      </c>
      <c r="J167" t="s">
        <v>23</v>
      </c>
      <c r="K167">
        <v>2158</v>
      </c>
      <c r="L167" s="4">
        <v>30.303604700000001</v>
      </c>
      <c r="M167" s="4">
        <v>0.78836489329140669</v>
      </c>
      <c r="N167" s="4">
        <v>-0.3294617798559325</v>
      </c>
      <c r="O167" s="1" t="str">
        <f>HYPERLINK(".\sm_car_250601_0524\sm_car_250601_0524_166_Ca198TrN_MaMPC_ode23t_1.png","figure")</f>
        <v>figure</v>
      </c>
      <c r="P167" t="s">
        <v>15</v>
      </c>
    </row>
    <row r="168" spans="1:16" x14ac:dyDescent="0.25">
      <c r="A168">
        <v>167</v>
      </c>
      <c r="B168">
        <v>151</v>
      </c>
      <c r="C168" t="s">
        <v>16</v>
      </c>
      <c r="D168" t="s">
        <v>17</v>
      </c>
      <c r="E168" t="s">
        <v>18</v>
      </c>
      <c r="F168" t="s">
        <v>19</v>
      </c>
      <c r="G168" t="s">
        <v>59</v>
      </c>
      <c r="H168" t="s">
        <v>21</v>
      </c>
      <c r="I168" t="s">
        <v>24</v>
      </c>
      <c r="J168" t="s">
        <v>23</v>
      </c>
      <c r="K168">
        <v>490</v>
      </c>
      <c r="L168" s="4">
        <v>12.2656755</v>
      </c>
      <c r="M168" s="4">
        <v>72.558726519601265</v>
      </c>
      <c r="N168" s="4">
        <v>-0.80375738528869656</v>
      </c>
      <c r="O168" s="1" t="str">
        <f>HYPERLINK(".\sm_car_250601_0524\sm_car_250601_0524_167_Ca151TrN_MaLSS_ode23t_1.png","figure")</f>
        <v>figure</v>
      </c>
      <c r="P168" t="s">
        <v>15</v>
      </c>
    </row>
    <row r="169" spans="1:16" x14ac:dyDescent="0.25">
      <c r="A169">
        <v>168</v>
      </c>
      <c r="B169">
        <v>152</v>
      </c>
      <c r="C169" t="s">
        <v>16</v>
      </c>
      <c r="D169" t="s">
        <v>17</v>
      </c>
      <c r="E169" t="s">
        <v>18</v>
      </c>
      <c r="F169" t="s">
        <v>19</v>
      </c>
      <c r="G169" t="s">
        <v>60</v>
      </c>
      <c r="H169" t="s">
        <v>21</v>
      </c>
      <c r="I169" t="s">
        <v>24</v>
      </c>
      <c r="J169" t="s">
        <v>23</v>
      </c>
      <c r="K169">
        <v>526</v>
      </c>
      <c r="L169" s="4">
        <v>12.813172399999999</v>
      </c>
      <c r="M169" s="4">
        <v>70.960569189103424</v>
      </c>
      <c r="N169" s="4">
        <v>-0.52803158816223184</v>
      </c>
      <c r="O169" s="1" t="str">
        <f>HYPERLINK(".\sm_car_250601_0524\sm_car_250601_0524_168_Ca152TrN_MaLSS_ode23t_1.png","figure")</f>
        <v>figure</v>
      </c>
      <c r="P169" t="s">
        <v>15</v>
      </c>
    </row>
    <row r="170" spans="1:16" x14ac:dyDescent="0.25">
      <c r="A170">
        <v>169</v>
      </c>
      <c r="B170">
        <v>153</v>
      </c>
      <c r="C170" t="s">
        <v>16</v>
      </c>
      <c r="D170" t="s">
        <v>17</v>
      </c>
      <c r="E170" t="s">
        <v>18</v>
      </c>
      <c r="F170" t="s">
        <v>19</v>
      </c>
      <c r="G170" t="s">
        <v>61</v>
      </c>
      <c r="H170" t="s">
        <v>21</v>
      </c>
      <c r="I170" t="s">
        <v>24</v>
      </c>
      <c r="J170" t="s">
        <v>23</v>
      </c>
      <c r="K170">
        <v>551</v>
      </c>
      <c r="L170" s="4">
        <v>14.1433304</v>
      </c>
      <c r="M170" s="4">
        <v>70.797312958870762</v>
      </c>
      <c r="N170" s="4">
        <v>-0.87003279709096748</v>
      </c>
      <c r="O170" s="1" t="str">
        <f>HYPERLINK(".\sm_car_250601_0524\sm_car_250601_0524_169_Ca153TrN_MaLSS_ode23t_1.png","figure")</f>
        <v>figure</v>
      </c>
      <c r="P170" t="s">
        <v>15</v>
      </c>
    </row>
    <row r="171" spans="1:16" x14ac:dyDescent="0.25">
      <c r="A171">
        <v>170</v>
      </c>
      <c r="B171">
        <v>154</v>
      </c>
      <c r="C171" t="s">
        <v>16</v>
      </c>
      <c r="D171" t="s">
        <v>17</v>
      </c>
      <c r="E171" t="s">
        <v>18</v>
      </c>
      <c r="F171" t="s">
        <v>19</v>
      </c>
      <c r="G171" t="s">
        <v>108</v>
      </c>
      <c r="H171" t="s">
        <v>21</v>
      </c>
      <c r="I171" t="s">
        <v>24</v>
      </c>
      <c r="J171" t="s">
        <v>23</v>
      </c>
      <c r="K171">
        <v>484</v>
      </c>
      <c r="L171" s="4">
        <v>15.8930255</v>
      </c>
      <c r="M171" s="4">
        <v>70.988739560601132</v>
      </c>
      <c r="N171" s="4">
        <v>-0.35951995211654802</v>
      </c>
      <c r="O171" s="1" t="str">
        <f>HYPERLINK(".\sm_car_250601_0524\sm_car_250601_0524_170_Ca154TrN_MaLSS_ode23t_1.png","figure")</f>
        <v>figure</v>
      </c>
      <c r="P171" t="s">
        <v>15</v>
      </c>
    </row>
    <row r="172" spans="1:16" x14ac:dyDescent="0.25">
      <c r="A172">
        <v>171</v>
      </c>
      <c r="B172">
        <v>155</v>
      </c>
      <c r="C172" t="s">
        <v>16</v>
      </c>
      <c r="D172" t="s">
        <v>17</v>
      </c>
      <c r="E172" t="s">
        <v>18</v>
      </c>
      <c r="F172" t="s">
        <v>19</v>
      </c>
      <c r="G172" t="s">
        <v>62</v>
      </c>
      <c r="H172" t="s">
        <v>21</v>
      </c>
      <c r="I172" t="s">
        <v>24</v>
      </c>
      <c r="J172" t="s">
        <v>23</v>
      </c>
      <c r="K172">
        <v>548</v>
      </c>
      <c r="L172" s="4">
        <v>19.154945399999999</v>
      </c>
      <c r="M172" s="4">
        <v>70.833065422272966</v>
      </c>
      <c r="N172" s="4">
        <v>-0.84756545609604028</v>
      </c>
      <c r="O172" s="1" t="str">
        <f>HYPERLINK(".\sm_car_250601_0524\sm_car_250601_0524_171_Ca155TrN_MaLSS_ode23t_1.png","figure")</f>
        <v>figure</v>
      </c>
      <c r="P172" t="s">
        <v>15</v>
      </c>
    </row>
    <row r="173" spans="1:16" x14ac:dyDescent="0.25">
      <c r="A173">
        <v>172</v>
      </c>
      <c r="B173">
        <v>4</v>
      </c>
      <c r="C173" t="s">
        <v>16</v>
      </c>
      <c r="D173" t="s">
        <v>17</v>
      </c>
      <c r="E173" t="s">
        <v>18</v>
      </c>
      <c r="F173" t="s">
        <v>28</v>
      </c>
      <c r="G173" t="s">
        <v>20</v>
      </c>
      <c r="H173" t="s">
        <v>21</v>
      </c>
      <c r="I173" t="s">
        <v>22</v>
      </c>
      <c r="J173" t="s">
        <v>63</v>
      </c>
      <c r="K173">
        <v>3247</v>
      </c>
      <c r="L173" s="4">
        <v>8.8480085000000006</v>
      </c>
      <c r="M173" s="4">
        <v>231.38224683871496</v>
      </c>
      <c r="N173" s="4">
        <v>2.2339937171260366E-3</v>
      </c>
      <c r="O173" s="1" t="str">
        <f>HYPERLINK(".\sm_car_250601_0524\sm_car_250601_0524_172_Ca004TrN_MaWOT_ode3_1.png","figure")</f>
        <v>figure</v>
      </c>
      <c r="P173" t="s">
        <v>15</v>
      </c>
    </row>
    <row r="174" spans="1:16" x14ac:dyDescent="0.25">
      <c r="A174">
        <v>173</v>
      </c>
      <c r="B174">
        <v>4</v>
      </c>
      <c r="C174" t="s">
        <v>16</v>
      </c>
      <c r="D174" t="s">
        <v>17</v>
      </c>
      <c r="E174" t="s">
        <v>18</v>
      </c>
      <c r="F174" t="s">
        <v>28</v>
      </c>
      <c r="G174" t="s">
        <v>20</v>
      </c>
      <c r="H174" t="s">
        <v>21</v>
      </c>
      <c r="I174" t="s">
        <v>24</v>
      </c>
      <c r="J174" t="s">
        <v>63</v>
      </c>
      <c r="K174">
        <v>2564</v>
      </c>
      <c r="L174" s="4">
        <v>7.3074541000000002</v>
      </c>
      <c r="M174" s="4">
        <v>71.251895399548502</v>
      </c>
      <c r="N174" s="4">
        <v>-0.54030571140992245</v>
      </c>
      <c r="O174" s="1" t="str">
        <f>HYPERLINK(".\sm_car_250601_0524\sm_car_250601_0524_173_Ca004TrN_MaLSS_ode3_1.png","figure")</f>
        <v>figure</v>
      </c>
      <c r="P174" t="s">
        <v>15</v>
      </c>
    </row>
    <row r="175" spans="1:16" x14ac:dyDescent="0.25">
      <c r="A175">
        <v>174</v>
      </c>
      <c r="B175">
        <v>4</v>
      </c>
      <c r="C175" t="s">
        <v>16</v>
      </c>
      <c r="D175" t="s">
        <v>17</v>
      </c>
      <c r="E175" t="s">
        <v>18</v>
      </c>
      <c r="F175" t="s">
        <v>28</v>
      </c>
      <c r="G175" t="s">
        <v>20</v>
      </c>
      <c r="H175" t="s">
        <v>21</v>
      </c>
      <c r="I175" t="s">
        <v>64</v>
      </c>
      <c r="J175" t="s">
        <v>63</v>
      </c>
      <c r="K175">
        <v>2562</v>
      </c>
      <c r="L175" s="4">
        <v>7.3438347000000004</v>
      </c>
      <c r="M175" s="4">
        <v>63.784285151621532</v>
      </c>
      <c r="N175" s="4">
        <v>-25.042725609682812</v>
      </c>
      <c r="O175" s="1" t="str">
        <f>HYPERLINK(".\sm_car_250601_0524\sm_car_250601_0524_174_Ca004TrN_MaTUR_ode3_1.png","figure")</f>
        <v>figure</v>
      </c>
      <c r="P175" t="s">
        <v>15</v>
      </c>
    </row>
    <row r="176" spans="1:16" x14ac:dyDescent="0.25">
      <c r="A176">
        <v>175</v>
      </c>
      <c r="B176">
        <v>116</v>
      </c>
      <c r="C176" t="s">
        <v>16</v>
      </c>
      <c r="D176" t="s">
        <v>35</v>
      </c>
      <c r="E176" t="s">
        <v>18</v>
      </c>
      <c r="F176" t="s">
        <v>28</v>
      </c>
      <c r="G176" t="s">
        <v>20</v>
      </c>
      <c r="H176" t="s">
        <v>21</v>
      </c>
      <c r="I176" t="s">
        <v>22</v>
      </c>
      <c r="J176" t="s">
        <v>63</v>
      </c>
      <c r="K176">
        <v>3244</v>
      </c>
      <c r="L176" s="4">
        <v>4.0476894999999997</v>
      </c>
      <c r="M176" s="4">
        <v>242.69607452341987</v>
      </c>
      <c r="N176" s="4">
        <v>0.23635446031101723</v>
      </c>
      <c r="O176" s="1" t="str">
        <f>HYPERLINK(".\sm_car_250601_0524\sm_car_250601_0524_175_Ca116TrN_MaWOT_ode3_1.png","figure")</f>
        <v>figure</v>
      </c>
      <c r="P176" t="s">
        <v>15</v>
      </c>
    </row>
    <row r="177" spans="1:16" x14ac:dyDescent="0.25">
      <c r="A177">
        <v>176</v>
      </c>
      <c r="B177">
        <v>116</v>
      </c>
      <c r="C177" t="s">
        <v>16</v>
      </c>
      <c r="D177" t="s">
        <v>35</v>
      </c>
      <c r="E177" t="s">
        <v>18</v>
      </c>
      <c r="F177" t="s">
        <v>28</v>
      </c>
      <c r="G177" t="s">
        <v>20</v>
      </c>
      <c r="H177" t="s">
        <v>21</v>
      </c>
      <c r="I177" t="s">
        <v>24</v>
      </c>
      <c r="J177" t="s">
        <v>63</v>
      </c>
      <c r="K177">
        <v>2564</v>
      </c>
      <c r="L177" s="4">
        <v>3.3479656000000002</v>
      </c>
      <c r="M177" s="4">
        <v>74.657190781644118</v>
      </c>
      <c r="N177" s="4">
        <v>-0.34075824439014252</v>
      </c>
      <c r="O177" s="1" t="str">
        <f>HYPERLINK(".\sm_car_250601_0524\sm_car_250601_0524_176_Ca116TrN_MaLSS_ode3_1.png","figure")</f>
        <v>figure</v>
      </c>
      <c r="P177" t="s">
        <v>15</v>
      </c>
    </row>
    <row r="178" spans="1:16" x14ac:dyDescent="0.25">
      <c r="A178">
        <v>177</v>
      </c>
      <c r="B178">
        <v>116</v>
      </c>
      <c r="C178" t="s">
        <v>16</v>
      </c>
      <c r="D178" t="s">
        <v>35</v>
      </c>
      <c r="E178" t="s">
        <v>18</v>
      </c>
      <c r="F178" t="s">
        <v>28</v>
      </c>
      <c r="G178" t="s">
        <v>20</v>
      </c>
      <c r="H178" t="s">
        <v>21</v>
      </c>
      <c r="I178" t="s">
        <v>64</v>
      </c>
      <c r="J178" t="s">
        <v>63</v>
      </c>
      <c r="K178">
        <v>2563</v>
      </c>
      <c r="L178" s="4">
        <v>3.3827883999999999</v>
      </c>
      <c r="M178" s="4">
        <v>71.322015477791922</v>
      </c>
      <c r="N178" s="4">
        <v>-17.59032913116118</v>
      </c>
      <c r="O178" s="1" t="str">
        <f>HYPERLINK(".\sm_car_250601_0524\sm_car_250601_0524_177_Ca116TrN_MaTUR_ode3_1.png","figure")</f>
        <v>figure</v>
      </c>
      <c r="P178" t="s">
        <v>15</v>
      </c>
    </row>
    <row r="179" spans="1:16" x14ac:dyDescent="0.25">
      <c r="A179">
        <v>178</v>
      </c>
      <c r="B179">
        <v>124</v>
      </c>
      <c r="C179" t="s">
        <v>16</v>
      </c>
      <c r="D179" t="s">
        <v>35</v>
      </c>
      <c r="E179" t="s">
        <v>49</v>
      </c>
      <c r="F179" t="s">
        <v>28</v>
      </c>
      <c r="G179" t="s">
        <v>20</v>
      </c>
      <c r="H179" t="s">
        <v>21</v>
      </c>
      <c r="I179" t="s">
        <v>22</v>
      </c>
      <c r="J179" t="s">
        <v>63</v>
      </c>
      <c r="K179">
        <v>3244</v>
      </c>
      <c r="L179" s="4">
        <v>2.2474653</v>
      </c>
      <c r="M179" s="4">
        <v>242.87242715534205</v>
      </c>
      <c r="N179" s="4">
        <v>0.23615864655911284</v>
      </c>
      <c r="O179" s="1" t="str">
        <f>HYPERLINK(".\sm_car_250601_0524\sm_car_250601_0524_178_Ca124TrN_MaWOT_ode3_1.png","figure")</f>
        <v>figure</v>
      </c>
      <c r="P179" t="s">
        <v>15</v>
      </c>
    </row>
    <row r="180" spans="1:16" x14ac:dyDescent="0.25">
      <c r="A180">
        <v>179</v>
      </c>
      <c r="B180">
        <v>124</v>
      </c>
      <c r="C180" t="s">
        <v>16</v>
      </c>
      <c r="D180" t="s">
        <v>35</v>
      </c>
      <c r="E180" t="s">
        <v>49</v>
      </c>
      <c r="F180" t="s">
        <v>28</v>
      </c>
      <c r="G180" t="s">
        <v>20</v>
      </c>
      <c r="H180" t="s">
        <v>21</v>
      </c>
      <c r="I180" t="s">
        <v>24</v>
      </c>
      <c r="J180" t="s">
        <v>63</v>
      </c>
      <c r="K180">
        <v>2565</v>
      </c>
      <c r="L180" s="4">
        <v>1.9203897999999999</v>
      </c>
      <c r="M180" s="4">
        <v>74.796106047599508</v>
      </c>
      <c r="N180" s="4">
        <v>-0.34233746651595287</v>
      </c>
      <c r="O180" s="1" t="str">
        <f>HYPERLINK(".\sm_car_250601_0524\sm_car_250601_0524_179_Ca124TrN_MaLSS_ode3_1.png","figure")</f>
        <v>figure</v>
      </c>
      <c r="P180" t="s">
        <v>15</v>
      </c>
    </row>
    <row r="181" spans="1:16" x14ac:dyDescent="0.25">
      <c r="A181">
        <v>180</v>
      </c>
      <c r="B181">
        <v>124</v>
      </c>
      <c r="C181" t="s">
        <v>16</v>
      </c>
      <c r="D181" t="s">
        <v>35</v>
      </c>
      <c r="E181" t="s">
        <v>49</v>
      </c>
      <c r="F181" t="s">
        <v>28</v>
      </c>
      <c r="G181" t="s">
        <v>20</v>
      </c>
      <c r="H181" t="s">
        <v>21</v>
      </c>
      <c r="I181" t="s">
        <v>64</v>
      </c>
      <c r="J181" t="s">
        <v>63</v>
      </c>
      <c r="K181">
        <v>2564</v>
      </c>
      <c r="L181" s="4">
        <v>2.0624239000000002</v>
      </c>
      <c r="M181" s="4">
        <v>71.447408139703924</v>
      </c>
      <c r="N181" s="4">
        <v>-17.636376353758362</v>
      </c>
      <c r="O181" s="1" t="str">
        <f>HYPERLINK(".\sm_car_250601_0524\sm_car_250601_0524_180_Ca124TrN_MaTUR_ode3_1.png","figure")</f>
        <v>figure</v>
      </c>
      <c r="P181" t="s">
        <v>15</v>
      </c>
    </row>
    <row r="182" spans="1:16" x14ac:dyDescent="0.25">
      <c r="A182">
        <v>181</v>
      </c>
      <c r="B182">
        <v>141</v>
      </c>
      <c r="C182" t="s">
        <v>45</v>
      </c>
      <c r="D182" t="s">
        <v>17</v>
      </c>
      <c r="E182" t="s">
        <v>18</v>
      </c>
      <c r="F182" t="s">
        <v>28</v>
      </c>
      <c r="G182" t="s">
        <v>26</v>
      </c>
      <c r="H182" t="s">
        <v>21</v>
      </c>
      <c r="I182" t="s">
        <v>22</v>
      </c>
      <c r="J182" t="s">
        <v>63</v>
      </c>
      <c r="K182">
        <v>3837</v>
      </c>
      <c r="L182" s="4">
        <v>12.703702399999999</v>
      </c>
      <c r="M182" s="4">
        <v>405.26699926711569</v>
      </c>
      <c r="N182" s="4">
        <v>1.5961569011224264</v>
      </c>
      <c r="O182" s="1" t="str">
        <f>HYPERLINK(".\sm_car_250601_0524\sm_car_250601_0524_181_Ca141TrN_MaWOT_ode3_1.png","figure")</f>
        <v>figure</v>
      </c>
      <c r="P182" t="s">
        <v>15</v>
      </c>
    </row>
    <row r="183" spans="1:16" x14ac:dyDescent="0.25">
      <c r="A183">
        <v>182</v>
      </c>
      <c r="B183">
        <v>141</v>
      </c>
      <c r="C183" t="s">
        <v>45</v>
      </c>
      <c r="D183" t="s">
        <v>17</v>
      </c>
      <c r="E183" t="s">
        <v>18</v>
      </c>
      <c r="F183" t="s">
        <v>28</v>
      </c>
      <c r="G183" t="s">
        <v>26</v>
      </c>
      <c r="H183" t="s">
        <v>21</v>
      </c>
      <c r="I183" t="s">
        <v>24</v>
      </c>
      <c r="J183" t="s">
        <v>63</v>
      </c>
      <c r="K183">
        <v>3192</v>
      </c>
      <c r="L183" s="4">
        <v>11.5172878</v>
      </c>
      <c r="M183" s="4">
        <v>154.45726063782425</v>
      </c>
      <c r="N183" s="4">
        <v>-0.58045901058984573</v>
      </c>
      <c r="O183" s="1" t="str">
        <f>HYPERLINK(".\sm_car_250601_0524\sm_car_250601_0524_182_Ca141TrN_MaLSS_ode3_1.png","figure")</f>
        <v>figure</v>
      </c>
      <c r="P183" t="s">
        <v>15</v>
      </c>
    </row>
    <row r="184" spans="1:16" x14ac:dyDescent="0.25">
      <c r="A184">
        <v>183</v>
      </c>
      <c r="B184">
        <v>141</v>
      </c>
      <c r="C184" t="s">
        <v>45</v>
      </c>
      <c r="D184" t="s">
        <v>17</v>
      </c>
      <c r="E184" t="s">
        <v>18</v>
      </c>
      <c r="F184" t="s">
        <v>28</v>
      </c>
      <c r="G184" t="s">
        <v>26</v>
      </c>
      <c r="H184" t="s">
        <v>21</v>
      </c>
      <c r="I184" t="s">
        <v>64</v>
      </c>
      <c r="J184" t="s">
        <v>63</v>
      </c>
      <c r="K184">
        <v>3160</v>
      </c>
      <c r="L184" s="4">
        <v>10.460186999999999</v>
      </c>
      <c r="M184" s="4">
        <v>98.352619066296825</v>
      </c>
      <c r="N184" s="4">
        <v>-87.51063161317019</v>
      </c>
      <c r="O184" s="1" t="str">
        <f>HYPERLINK(".\sm_car_250601_0524\sm_car_250601_0524_183_Ca141TrN_MaTUR_ode3_1.png","figure")</f>
        <v>figure</v>
      </c>
      <c r="P184" t="s">
        <v>15</v>
      </c>
    </row>
    <row r="185" spans="1:16" x14ac:dyDescent="0.25">
      <c r="A185">
        <v>184</v>
      </c>
      <c r="B185">
        <v>145</v>
      </c>
      <c r="C185" t="s">
        <v>46</v>
      </c>
      <c r="D185" t="s">
        <v>17</v>
      </c>
      <c r="E185" t="s">
        <v>50</v>
      </c>
      <c r="F185" t="s">
        <v>19</v>
      </c>
      <c r="G185" t="s">
        <v>26</v>
      </c>
      <c r="H185" t="s">
        <v>21</v>
      </c>
      <c r="I185" t="s">
        <v>22</v>
      </c>
      <c r="J185" t="s">
        <v>63</v>
      </c>
      <c r="K185">
        <v>2856</v>
      </c>
      <c r="L185" s="4">
        <v>8.7017010999999993</v>
      </c>
      <c r="M185" s="4">
        <v>96.143293584542477</v>
      </c>
      <c r="N185" s="4">
        <v>8.6318522634519414E-4</v>
      </c>
      <c r="O185" s="1" t="str">
        <f>HYPERLINK(".\sm_car_250601_0524\sm_car_250601_0524_184_Ca145TrN_MaWOT_ode3_1.png","figure")</f>
        <v>figure</v>
      </c>
      <c r="P185" t="s">
        <v>15</v>
      </c>
    </row>
    <row r="186" spans="1:16" x14ac:dyDescent="0.25">
      <c r="A186">
        <v>185</v>
      </c>
      <c r="B186">
        <v>145</v>
      </c>
      <c r="C186" t="s">
        <v>46</v>
      </c>
      <c r="D186" t="s">
        <v>17</v>
      </c>
      <c r="E186" t="s">
        <v>50</v>
      </c>
      <c r="F186" t="s">
        <v>19</v>
      </c>
      <c r="G186" t="s">
        <v>26</v>
      </c>
      <c r="H186" t="s">
        <v>21</v>
      </c>
      <c r="I186" t="s">
        <v>24</v>
      </c>
      <c r="J186" t="s">
        <v>63</v>
      </c>
      <c r="K186">
        <v>2385</v>
      </c>
      <c r="L186" s="4">
        <v>6.9114630999999997</v>
      </c>
      <c r="M186" s="4">
        <v>25.351601817833707</v>
      </c>
      <c r="N186" s="4">
        <v>-4.1368589281911311E-2</v>
      </c>
      <c r="O186" s="1" t="str">
        <f>HYPERLINK(".\sm_car_250601_0524\sm_car_250601_0524_185_Ca145TrN_MaLSS_ode3_1.png","figure")</f>
        <v>figure</v>
      </c>
      <c r="P186" t="s">
        <v>15</v>
      </c>
    </row>
    <row r="187" spans="1:16" x14ac:dyDescent="0.25">
      <c r="A187">
        <v>186</v>
      </c>
      <c r="B187">
        <v>145</v>
      </c>
      <c r="C187" t="s">
        <v>46</v>
      </c>
      <c r="D187" t="s">
        <v>17</v>
      </c>
      <c r="E187" t="s">
        <v>50</v>
      </c>
      <c r="F187" t="s">
        <v>19</v>
      </c>
      <c r="G187" t="s">
        <v>26</v>
      </c>
      <c r="H187" t="s">
        <v>21</v>
      </c>
      <c r="I187" t="s">
        <v>64</v>
      </c>
      <c r="J187" t="s">
        <v>63</v>
      </c>
      <c r="K187">
        <v>2381</v>
      </c>
      <c r="L187" s="4">
        <v>7.1712178</v>
      </c>
      <c r="M187" s="4">
        <v>25.137842847097982</v>
      </c>
      <c r="N187" s="4">
        <v>-2.6089117989709583</v>
      </c>
      <c r="O187" s="1" t="str">
        <f>HYPERLINK(".\sm_car_250601_0524\sm_car_250601_0524_186_Ca145TrN_MaTUR_ode3_1.png","figure")</f>
        <v>figure</v>
      </c>
      <c r="P187" t="s">
        <v>15</v>
      </c>
    </row>
    <row r="188" spans="1:16" x14ac:dyDescent="0.25">
      <c r="A188">
        <v>187</v>
      </c>
      <c r="B188">
        <v>199</v>
      </c>
      <c r="C188" t="s">
        <v>46</v>
      </c>
      <c r="D188" t="s">
        <v>17</v>
      </c>
      <c r="E188" t="s">
        <v>109</v>
      </c>
      <c r="F188" t="s">
        <v>19</v>
      </c>
      <c r="G188" t="s">
        <v>26</v>
      </c>
      <c r="H188" t="s">
        <v>21</v>
      </c>
      <c r="I188" t="s">
        <v>22</v>
      </c>
      <c r="J188" t="s">
        <v>63</v>
      </c>
      <c r="K188">
        <v>2856</v>
      </c>
      <c r="L188" s="4">
        <v>9.4105094999999999</v>
      </c>
      <c r="M188" s="4">
        <v>96.874498520697102</v>
      </c>
      <c r="N188" s="4">
        <v>0.14711541262466793</v>
      </c>
      <c r="O188" s="1" t="str">
        <f>HYPERLINK(".\sm_car_250601_0524\sm_car_250601_0524_187_Ca199TrN_MaWOT_ode3_1.png","figure")</f>
        <v>figure</v>
      </c>
      <c r="P188" t="s">
        <v>15</v>
      </c>
    </row>
    <row r="189" spans="1:16" x14ac:dyDescent="0.25">
      <c r="A189">
        <v>188</v>
      </c>
      <c r="B189">
        <v>199</v>
      </c>
      <c r="C189" t="s">
        <v>46</v>
      </c>
      <c r="D189" t="s">
        <v>17</v>
      </c>
      <c r="E189" t="s">
        <v>109</v>
      </c>
      <c r="F189" t="s">
        <v>19</v>
      </c>
      <c r="G189" t="s">
        <v>26</v>
      </c>
      <c r="H189" t="s">
        <v>21</v>
      </c>
      <c r="I189" t="s">
        <v>24</v>
      </c>
      <c r="J189" t="s">
        <v>63</v>
      </c>
      <c r="K189">
        <v>2387</v>
      </c>
      <c r="L189" s="4">
        <v>7.3773923999999997</v>
      </c>
      <c r="M189" s="4">
        <v>25.965300865011024</v>
      </c>
      <c r="N189" s="4">
        <v>-2.8433107238327707E-2</v>
      </c>
      <c r="O189" s="1" t="str">
        <f>HYPERLINK(".\sm_car_250601_0524\sm_car_250601_0524_188_Ca199TrN_MaLSS_ode3_1.png","figure")</f>
        <v>figure</v>
      </c>
      <c r="P189" t="s">
        <v>15</v>
      </c>
    </row>
    <row r="190" spans="1:16" x14ac:dyDescent="0.25">
      <c r="A190">
        <v>189</v>
      </c>
      <c r="B190">
        <v>199</v>
      </c>
      <c r="C190" t="s">
        <v>46</v>
      </c>
      <c r="D190" t="s">
        <v>17</v>
      </c>
      <c r="E190" t="s">
        <v>109</v>
      </c>
      <c r="F190" t="s">
        <v>19</v>
      </c>
      <c r="G190" t="s">
        <v>26</v>
      </c>
      <c r="H190" t="s">
        <v>21</v>
      </c>
      <c r="I190" t="s">
        <v>64</v>
      </c>
      <c r="J190" t="s">
        <v>63</v>
      </c>
      <c r="K190">
        <v>2381</v>
      </c>
      <c r="L190" s="4">
        <v>7.2865397999999999</v>
      </c>
      <c r="M190" s="4">
        <v>25.753072775503231</v>
      </c>
      <c r="N190" s="4">
        <v>-2.6780294853401752</v>
      </c>
      <c r="O190" s="1" t="str">
        <f>HYPERLINK(".\sm_car_250601_0524\sm_car_250601_0524_189_Ca199TrN_MaTUR_ode3_1.png","figure")</f>
        <v>figure</v>
      </c>
      <c r="P190" t="s">
        <v>15</v>
      </c>
    </row>
    <row r="191" spans="1:16" x14ac:dyDescent="0.25">
      <c r="A191">
        <v>190</v>
      </c>
      <c r="B191">
        <v>139</v>
      </c>
      <c r="C191" t="s">
        <v>45</v>
      </c>
      <c r="D191" t="s">
        <v>17</v>
      </c>
      <c r="E191" t="s">
        <v>18</v>
      </c>
      <c r="F191" t="s">
        <v>19</v>
      </c>
      <c r="G191" t="s">
        <v>26</v>
      </c>
      <c r="H191" t="s">
        <v>21</v>
      </c>
      <c r="I191" t="s">
        <v>53</v>
      </c>
      <c r="J191" t="s">
        <v>23</v>
      </c>
      <c r="K191">
        <v>570</v>
      </c>
      <c r="L191" s="4">
        <v>10.998491400000001</v>
      </c>
      <c r="M191" s="4">
        <v>253.27379310068204</v>
      </c>
      <c r="N191" s="4">
        <v>-6.8214323607014293E-3</v>
      </c>
      <c r="O191" s="1" t="str">
        <f>HYPERLINK(".\sm_car_250601_0524\sm_car_250601_0524_190_Ca139TrN_MaDLC_ode23t_1.png","figure")</f>
        <v>figure</v>
      </c>
      <c r="P191" t="s">
        <v>15</v>
      </c>
    </row>
    <row r="192" spans="1:16" x14ac:dyDescent="0.25">
      <c r="A192">
        <v>191</v>
      </c>
      <c r="B192">
        <v>139</v>
      </c>
      <c r="C192" t="s">
        <v>45</v>
      </c>
      <c r="D192" t="s">
        <v>17</v>
      </c>
      <c r="E192" t="s">
        <v>18</v>
      </c>
      <c r="F192" t="s">
        <v>19</v>
      </c>
      <c r="G192" t="s">
        <v>26</v>
      </c>
      <c r="H192" t="s">
        <v>65</v>
      </c>
      <c r="I192" t="s">
        <v>53</v>
      </c>
      <c r="J192" t="s">
        <v>23</v>
      </c>
      <c r="K192">
        <v>828</v>
      </c>
      <c r="L192" s="4">
        <v>32.803464300000002</v>
      </c>
      <c r="M192" s="4">
        <v>253.53512069025197</v>
      </c>
      <c r="N192" s="4">
        <v>2.0894217828821393E-2</v>
      </c>
      <c r="O192" s="1" t="str">
        <f>HYPERLINK(".\sm_car_250601_0524\sm_car_250601_0524_191_Ca139TrE_MaDLC_ode23t_1.png","figure")</f>
        <v>figure</v>
      </c>
      <c r="P192" t="s">
        <v>15</v>
      </c>
    </row>
    <row r="193" spans="1:16" x14ac:dyDescent="0.25">
      <c r="A193">
        <v>192</v>
      </c>
      <c r="B193">
        <v>139</v>
      </c>
      <c r="C193" t="s">
        <v>45</v>
      </c>
      <c r="D193" t="s">
        <v>17</v>
      </c>
      <c r="E193" t="s">
        <v>18</v>
      </c>
      <c r="F193" t="s">
        <v>19</v>
      </c>
      <c r="G193" t="s">
        <v>26</v>
      </c>
      <c r="H193" t="s">
        <v>66</v>
      </c>
      <c r="I193" t="s">
        <v>53</v>
      </c>
      <c r="J193" t="s">
        <v>23</v>
      </c>
      <c r="K193">
        <v>841</v>
      </c>
      <c r="L193" s="4">
        <v>24.952464200000001</v>
      </c>
      <c r="M193" s="4">
        <v>255.04312959156954</v>
      </c>
      <c r="N193" s="4">
        <v>-5.8480732318049178E-3</v>
      </c>
      <c r="O193" s="1" t="str">
        <f>HYPERLINK(".\sm_car_250601_0524\sm_car_250601_0524_192_Ca139TrT_MaDLC_ode23t_1.png","figure")</f>
        <v>figure</v>
      </c>
      <c r="P193" t="s">
        <v>15</v>
      </c>
    </row>
    <row r="194" spans="1:16" x14ac:dyDescent="0.25">
      <c r="A194">
        <v>193</v>
      </c>
      <c r="B194">
        <v>139</v>
      </c>
      <c r="C194" t="s">
        <v>45</v>
      </c>
      <c r="D194" t="s">
        <v>17</v>
      </c>
      <c r="E194" t="s">
        <v>18</v>
      </c>
      <c r="F194" t="s">
        <v>19</v>
      </c>
      <c r="G194" t="s">
        <v>26</v>
      </c>
      <c r="H194" t="s">
        <v>65</v>
      </c>
      <c r="I194" t="s">
        <v>53</v>
      </c>
      <c r="J194" t="s">
        <v>23</v>
      </c>
      <c r="K194">
        <v>781</v>
      </c>
      <c r="L194" s="4">
        <v>21.848351699999998</v>
      </c>
      <c r="M194" s="4">
        <v>254.0966160838197</v>
      </c>
      <c r="N194" s="4">
        <v>1.1793769877174398E-2</v>
      </c>
      <c r="O194" s="1" t="str">
        <f>HYPERLINK(".\sm_car_250601_0524\sm_car_250601_0524_193_Ca139TrE_MaDLC_ode23t_1.png","figure")</f>
        <v>figure</v>
      </c>
      <c r="P194" t="s">
        <v>15</v>
      </c>
    </row>
    <row r="195" spans="1:16" x14ac:dyDescent="0.25">
      <c r="A195">
        <v>194</v>
      </c>
      <c r="B195">
        <v>2</v>
      </c>
      <c r="C195" t="s">
        <v>16</v>
      </c>
      <c r="D195" t="s">
        <v>17</v>
      </c>
      <c r="E195" t="s">
        <v>18</v>
      </c>
      <c r="F195" t="s">
        <v>19</v>
      </c>
      <c r="G195" t="s">
        <v>26</v>
      </c>
      <c r="H195" t="s">
        <v>21</v>
      </c>
      <c r="I195" t="s">
        <v>53</v>
      </c>
      <c r="J195" t="s">
        <v>23</v>
      </c>
      <c r="K195">
        <v>637</v>
      </c>
      <c r="L195" s="4">
        <v>9.4191762000000008</v>
      </c>
      <c r="M195" s="4">
        <v>253.92324850414434</v>
      </c>
      <c r="N195" s="4">
        <v>3.3186791347810107E-3</v>
      </c>
      <c r="O195" s="1" t="str">
        <f>HYPERLINK(".\sm_car_250601_0524\sm_car_250601_0524_194_Ca002TrN_MaDLC_ode23t_1.png","figure")</f>
        <v>figure</v>
      </c>
      <c r="P195" t="s">
        <v>15</v>
      </c>
    </row>
    <row r="196" spans="1:16" x14ac:dyDescent="0.25">
      <c r="A196">
        <v>195</v>
      </c>
      <c r="B196">
        <v>2</v>
      </c>
      <c r="C196" t="s">
        <v>16</v>
      </c>
      <c r="D196" t="s">
        <v>17</v>
      </c>
      <c r="E196" t="s">
        <v>18</v>
      </c>
      <c r="F196" t="s">
        <v>19</v>
      </c>
      <c r="G196" t="s">
        <v>26</v>
      </c>
      <c r="H196" t="s">
        <v>65</v>
      </c>
      <c r="I196" t="s">
        <v>53</v>
      </c>
      <c r="J196" t="s">
        <v>23</v>
      </c>
      <c r="K196">
        <v>792</v>
      </c>
      <c r="L196" s="4">
        <v>22.756762699999999</v>
      </c>
      <c r="M196" s="4">
        <v>253.84020053172077</v>
      </c>
      <c r="N196" s="4">
        <v>3.393000442226235E-3</v>
      </c>
      <c r="O196" s="1" t="str">
        <f>HYPERLINK(".\sm_car_250601_0524\sm_car_250601_0524_195_Ca002TrE_MaDLC_ode23t_1.png","figure")</f>
        <v>figure</v>
      </c>
      <c r="P196" t="s">
        <v>15</v>
      </c>
    </row>
    <row r="197" spans="1:16" x14ac:dyDescent="0.25">
      <c r="A197">
        <v>196</v>
      </c>
      <c r="B197">
        <v>2</v>
      </c>
      <c r="C197" t="s">
        <v>16</v>
      </c>
      <c r="D197" t="s">
        <v>17</v>
      </c>
      <c r="E197" t="s">
        <v>18</v>
      </c>
      <c r="F197" t="s">
        <v>19</v>
      </c>
      <c r="G197" t="s">
        <v>26</v>
      </c>
      <c r="H197" t="s">
        <v>66</v>
      </c>
      <c r="I197" t="s">
        <v>53</v>
      </c>
      <c r="J197" t="s">
        <v>23</v>
      </c>
      <c r="K197">
        <v>919</v>
      </c>
      <c r="L197" s="4">
        <v>27.142927100000001</v>
      </c>
      <c r="M197" s="4">
        <v>253.72912988111216</v>
      </c>
      <c r="N197" s="4">
        <v>3.4425402254885107E-3</v>
      </c>
      <c r="O197" s="1" t="str">
        <f>HYPERLINK(".\sm_car_250601_0524\sm_car_250601_0524_196_Ca002TrT_MaDLC_ode23t_1.png","figure")</f>
        <v>figure</v>
      </c>
      <c r="P197" t="s">
        <v>15</v>
      </c>
    </row>
    <row r="198" spans="1:16" x14ac:dyDescent="0.25">
      <c r="A198">
        <v>197</v>
      </c>
      <c r="B198">
        <v>2</v>
      </c>
      <c r="C198" t="s">
        <v>16</v>
      </c>
      <c r="D198" t="s">
        <v>17</v>
      </c>
      <c r="E198" t="s">
        <v>18</v>
      </c>
      <c r="F198" t="s">
        <v>19</v>
      </c>
      <c r="G198" t="s">
        <v>26</v>
      </c>
      <c r="H198" t="s">
        <v>65</v>
      </c>
      <c r="I198" t="s">
        <v>53</v>
      </c>
      <c r="J198" t="s">
        <v>23</v>
      </c>
      <c r="K198">
        <v>794</v>
      </c>
      <c r="L198" s="4">
        <v>15.801570399999999</v>
      </c>
      <c r="M198" s="4">
        <v>253.84041860119544</v>
      </c>
      <c r="N198" s="4">
        <v>3.3912972599283719E-3</v>
      </c>
      <c r="O198" s="1" t="str">
        <f>HYPERLINK(".\sm_car_250601_0524\sm_car_250601_0524_197_Ca002TrE_MaDLC_ode23t_1.png","figure")</f>
        <v>figure</v>
      </c>
      <c r="P198" t="s">
        <v>15</v>
      </c>
    </row>
    <row r="199" spans="1:16" x14ac:dyDescent="0.25">
      <c r="A199">
        <v>198</v>
      </c>
      <c r="B199">
        <v>145</v>
      </c>
      <c r="C199" t="s">
        <v>46</v>
      </c>
      <c r="D199" t="s">
        <v>17</v>
      </c>
      <c r="E199" t="s">
        <v>50</v>
      </c>
      <c r="F199" t="s">
        <v>19</v>
      </c>
      <c r="G199" t="s">
        <v>26</v>
      </c>
      <c r="H199" t="s">
        <v>21</v>
      </c>
      <c r="I199" t="s">
        <v>53</v>
      </c>
      <c r="J199" t="s">
        <v>23</v>
      </c>
      <c r="K199">
        <v>485</v>
      </c>
      <c r="L199" s="4">
        <v>18.040302400000002</v>
      </c>
      <c r="M199" s="4">
        <v>255.34580149843714</v>
      </c>
      <c r="N199" s="4">
        <v>4.1384061767122837E-2</v>
      </c>
      <c r="O199" s="1" t="str">
        <f>HYPERLINK(".\sm_car_250601_0524\sm_car_250601_0524_198_Ca145TrN_MaDLC_ode23t_1.png","figure")</f>
        <v>figure</v>
      </c>
      <c r="P199" t="s">
        <v>15</v>
      </c>
    </row>
    <row r="200" spans="1:16" x14ac:dyDescent="0.25">
      <c r="A200">
        <v>199</v>
      </c>
      <c r="B200">
        <v>145</v>
      </c>
      <c r="C200" t="s">
        <v>46</v>
      </c>
      <c r="D200" t="s">
        <v>17</v>
      </c>
      <c r="E200" t="s">
        <v>50</v>
      </c>
      <c r="F200" t="s">
        <v>19</v>
      </c>
      <c r="G200" t="s">
        <v>26</v>
      </c>
      <c r="H200" t="s">
        <v>65</v>
      </c>
      <c r="I200" t="s">
        <v>53</v>
      </c>
      <c r="J200" t="s">
        <v>23</v>
      </c>
      <c r="K200">
        <v>563</v>
      </c>
      <c r="L200" s="4">
        <v>31.975911499999999</v>
      </c>
      <c r="M200" s="4">
        <v>254.12703597315448</v>
      </c>
      <c r="N200" s="4">
        <v>4.6272722504407948E-2</v>
      </c>
      <c r="O200" s="1" t="str">
        <f>HYPERLINK(".\sm_car_250601_0524\sm_car_250601_0524_199_Ca145TrE_MaDLC_ode23t_1.png","figure")</f>
        <v>figure</v>
      </c>
      <c r="P200" t="s">
        <v>15</v>
      </c>
    </row>
    <row r="201" spans="1:16" x14ac:dyDescent="0.25">
      <c r="A201">
        <v>200</v>
      </c>
      <c r="B201">
        <v>145</v>
      </c>
      <c r="C201" t="s">
        <v>46</v>
      </c>
      <c r="D201" t="s">
        <v>17</v>
      </c>
      <c r="E201" t="s">
        <v>50</v>
      </c>
      <c r="F201" t="s">
        <v>19</v>
      </c>
      <c r="G201" t="s">
        <v>26</v>
      </c>
      <c r="H201" t="s">
        <v>66</v>
      </c>
      <c r="I201" t="s">
        <v>53</v>
      </c>
      <c r="J201" t="s">
        <v>23</v>
      </c>
      <c r="K201">
        <v>604</v>
      </c>
      <c r="L201" s="4">
        <v>36.003142400000002</v>
      </c>
      <c r="M201" s="4">
        <v>254.98796640849798</v>
      </c>
      <c r="N201" s="4">
        <v>4.2889571353248446E-2</v>
      </c>
      <c r="O201" s="1" t="str">
        <f>HYPERLINK(".\sm_car_250601_0524\sm_car_250601_0524_200_Ca145TrT_MaDLC_ode23t_1.png","figure")</f>
        <v>figure</v>
      </c>
      <c r="P201" t="s">
        <v>15</v>
      </c>
    </row>
    <row r="202" spans="1:16" x14ac:dyDescent="0.25">
      <c r="A202">
        <v>201</v>
      </c>
      <c r="B202">
        <v>145</v>
      </c>
      <c r="C202" t="s">
        <v>46</v>
      </c>
      <c r="D202" t="s">
        <v>17</v>
      </c>
      <c r="E202" t="s">
        <v>50</v>
      </c>
      <c r="F202" t="s">
        <v>19</v>
      </c>
      <c r="G202" t="s">
        <v>26</v>
      </c>
      <c r="H202" t="s">
        <v>65</v>
      </c>
      <c r="I202" t="s">
        <v>53</v>
      </c>
      <c r="J202" t="s">
        <v>23</v>
      </c>
      <c r="K202">
        <v>562</v>
      </c>
      <c r="L202" s="4">
        <v>28.9456822</v>
      </c>
      <c r="M202" s="4">
        <v>254.12578505024311</v>
      </c>
      <c r="N202" s="4">
        <v>4.6261413377829186E-2</v>
      </c>
      <c r="O202" s="1" t="str">
        <f>HYPERLINK(".\sm_car_250601_0524\sm_car_250601_0524_201_Ca145TrE_MaDLC_ode23t_1.png","figure")</f>
        <v>figure</v>
      </c>
      <c r="P202" t="s">
        <v>15</v>
      </c>
    </row>
    <row r="203" spans="1:16" x14ac:dyDescent="0.25">
      <c r="A203">
        <v>202</v>
      </c>
      <c r="B203">
        <v>199</v>
      </c>
      <c r="C203" t="s">
        <v>46</v>
      </c>
      <c r="D203" t="s">
        <v>17</v>
      </c>
      <c r="E203" t="s">
        <v>109</v>
      </c>
      <c r="F203" t="s">
        <v>19</v>
      </c>
      <c r="G203" t="s">
        <v>26</v>
      </c>
      <c r="H203" t="s">
        <v>21</v>
      </c>
      <c r="I203" t="s">
        <v>53</v>
      </c>
      <c r="J203" t="s">
        <v>23</v>
      </c>
      <c r="K203">
        <v>486</v>
      </c>
      <c r="L203" s="4">
        <v>7.4429828000000002</v>
      </c>
      <c r="M203" s="4">
        <v>255.34491822099562</v>
      </c>
      <c r="N203" s="4">
        <v>4.1056178581714065E-2</v>
      </c>
      <c r="O203" s="1" t="str">
        <f>HYPERLINK(".\sm_car_250601_0524\sm_car_250601_0524_202_Ca199TrN_MaDLC_ode23t_1.png","figure")</f>
        <v>figure</v>
      </c>
      <c r="P203" t="s">
        <v>15</v>
      </c>
    </row>
    <row r="204" spans="1:16" x14ac:dyDescent="0.25">
      <c r="A204">
        <v>203</v>
      </c>
      <c r="B204">
        <v>199</v>
      </c>
      <c r="C204" t="s">
        <v>46</v>
      </c>
      <c r="D204" t="s">
        <v>17</v>
      </c>
      <c r="E204" t="s">
        <v>109</v>
      </c>
      <c r="F204" t="s">
        <v>19</v>
      </c>
      <c r="G204" t="s">
        <v>26</v>
      </c>
      <c r="H204" t="s">
        <v>65</v>
      </c>
      <c r="I204" t="s">
        <v>53</v>
      </c>
      <c r="J204" t="s">
        <v>23</v>
      </c>
      <c r="K204">
        <v>554</v>
      </c>
      <c r="L204" s="4">
        <v>17.839025899999999</v>
      </c>
      <c r="M204" s="4">
        <v>254.12588030058737</v>
      </c>
      <c r="N204" s="4">
        <v>4.6201284390898767E-2</v>
      </c>
      <c r="O204" s="1" t="str">
        <f>HYPERLINK(".\sm_car_250601_0524\sm_car_250601_0524_203_Ca199TrE_MaDLC_ode23t_1.png","figure")</f>
        <v>figure</v>
      </c>
      <c r="P204" t="s">
        <v>15</v>
      </c>
    </row>
    <row r="205" spans="1:16" x14ac:dyDescent="0.25">
      <c r="A205">
        <v>204</v>
      </c>
      <c r="B205">
        <v>199</v>
      </c>
      <c r="C205" t="s">
        <v>46</v>
      </c>
      <c r="D205" t="s">
        <v>17</v>
      </c>
      <c r="E205" t="s">
        <v>109</v>
      </c>
      <c r="F205" t="s">
        <v>19</v>
      </c>
      <c r="G205" t="s">
        <v>26</v>
      </c>
      <c r="H205" t="s">
        <v>66</v>
      </c>
      <c r="I205" t="s">
        <v>53</v>
      </c>
      <c r="J205" t="s">
        <v>23</v>
      </c>
      <c r="K205">
        <v>658</v>
      </c>
      <c r="L205" s="4">
        <v>19.2021391</v>
      </c>
      <c r="M205" s="4">
        <v>254.98779000045994</v>
      </c>
      <c r="N205" s="4">
        <v>4.2645162839249462E-2</v>
      </c>
      <c r="O205" s="1" t="str">
        <f>HYPERLINK(".\sm_car_250601_0524\sm_car_250601_0524_204_Ca199TrT_MaDLC_ode23t_1.png","figure")</f>
        <v>figure</v>
      </c>
      <c r="P205" t="s">
        <v>15</v>
      </c>
    </row>
    <row r="206" spans="1:16" x14ac:dyDescent="0.25">
      <c r="A206">
        <v>205</v>
      </c>
      <c r="B206">
        <v>199</v>
      </c>
      <c r="C206" t="s">
        <v>46</v>
      </c>
      <c r="D206" t="s">
        <v>17</v>
      </c>
      <c r="E206" t="s">
        <v>109</v>
      </c>
      <c r="F206" t="s">
        <v>19</v>
      </c>
      <c r="G206" t="s">
        <v>26</v>
      </c>
      <c r="H206" t="s">
        <v>65</v>
      </c>
      <c r="I206" t="s">
        <v>53</v>
      </c>
      <c r="J206" t="s">
        <v>23</v>
      </c>
      <c r="K206">
        <v>560</v>
      </c>
      <c r="L206" s="4">
        <v>12.8094389</v>
      </c>
      <c r="M206" s="4">
        <v>253.66442656697438</v>
      </c>
      <c r="N206" s="4">
        <v>4.798325830122252E-2</v>
      </c>
      <c r="O206" s="1" t="str">
        <f>HYPERLINK(".\sm_car_250601_0524\sm_car_250601_0524_205_Ca199TrE_MaDLC_ode23t_1.png","figure")</f>
        <v>figure</v>
      </c>
      <c r="P206" t="s">
        <v>15</v>
      </c>
    </row>
    <row r="207" spans="1:16" x14ac:dyDescent="0.25">
      <c r="A207">
        <v>206</v>
      </c>
      <c r="B207">
        <v>189</v>
      </c>
      <c r="C207" t="s">
        <v>45</v>
      </c>
      <c r="D207" t="s">
        <v>17</v>
      </c>
      <c r="E207" t="s">
        <v>107</v>
      </c>
      <c r="F207" t="s">
        <v>19</v>
      </c>
      <c r="G207" t="s">
        <v>26</v>
      </c>
      <c r="H207" t="s">
        <v>65</v>
      </c>
      <c r="I207" t="s">
        <v>67</v>
      </c>
      <c r="J207" t="s">
        <v>23</v>
      </c>
      <c r="K207">
        <v>466</v>
      </c>
      <c r="L207" s="4">
        <v>11.076969099999999</v>
      </c>
      <c r="M207" s="4">
        <v>261.53436624624828</v>
      </c>
      <c r="N207" s="4">
        <v>1.4160212356544299E-3</v>
      </c>
      <c r="O207" s="1" t="str">
        <f>HYPERLINK(".\sm_car_250601_0524\sm_car_250601_0524_206_Ca189TrE_MaTRD_ode23t_1.png","figure")</f>
        <v>figure</v>
      </c>
      <c r="P207" t="s">
        <v>15</v>
      </c>
    </row>
    <row r="208" spans="1:16" x14ac:dyDescent="0.25">
      <c r="A208">
        <v>207</v>
      </c>
      <c r="B208">
        <v>189</v>
      </c>
      <c r="C208" t="s">
        <v>45</v>
      </c>
      <c r="D208" t="s">
        <v>17</v>
      </c>
      <c r="E208" t="s">
        <v>107</v>
      </c>
      <c r="F208" t="s">
        <v>19</v>
      </c>
      <c r="G208" t="s">
        <v>26</v>
      </c>
      <c r="H208" t="s">
        <v>65</v>
      </c>
      <c r="I208" t="s">
        <v>67</v>
      </c>
      <c r="J208" t="s">
        <v>23</v>
      </c>
      <c r="K208">
        <v>637</v>
      </c>
      <c r="L208" s="4">
        <v>14.871425199999999</v>
      </c>
      <c r="M208" s="4">
        <v>261.42720790186934</v>
      </c>
      <c r="N208" s="4">
        <v>-9.6805993574633487E-2</v>
      </c>
      <c r="O208" s="1" t="str">
        <f>HYPERLINK(".\sm_car_250601_0524\sm_car_250601_0524_207_Ca189TrU_MaTRD_ode23t_1.png","figure")</f>
        <v>figure</v>
      </c>
      <c r="P208" t="s">
        <v>15</v>
      </c>
    </row>
    <row r="209" spans="1:16" x14ac:dyDescent="0.25">
      <c r="A209">
        <v>208</v>
      </c>
      <c r="B209">
        <v>149</v>
      </c>
      <c r="C209" t="s">
        <v>46</v>
      </c>
      <c r="D209" t="s">
        <v>17</v>
      </c>
      <c r="E209" t="s">
        <v>68</v>
      </c>
      <c r="F209" t="s">
        <v>19</v>
      </c>
      <c r="G209" t="s">
        <v>26</v>
      </c>
      <c r="H209" t="s">
        <v>21</v>
      </c>
      <c r="I209" t="s">
        <v>69</v>
      </c>
      <c r="J209" t="s">
        <v>23</v>
      </c>
      <c r="K209">
        <v>669</v>
      </c>
      <c r="L209" s="4">
        <v>9.6219871999999995</v>
      </c>
      <c r="M209" s="4">
        <v>-5.8747693058971429E-3</v>
      </c>
      <c r="N209" s="4">
        <v>-3.5942483481082865E-4</v>
      </c>
      <c r="O209" s="1" t="str">
        <f>HYPERLINK(".\sm_car_250601_0524\sm_car_250601_0524_208_Ca149TrN_MaPST_ode23t_1.png","figure")</f>
        <v>figure</v>
      </c>
      <c r="P209" t="s">
        <v>15</v>
      </c>
    </row>
    <row r="210" spans="1:16" x14ac:dyDescent="0.25">
      <c r="A210">
        <v>209</v>
      </c>
      <c r="B210">
        <v>139</v>
      </c>
      <c r="C210" t="s">
        <v>45</v>
      </c>
      <c r="D210" t="s">
        <v>17</v>
      </c>
      <c r="E210" t="s">
        <v>18</v>
      </c>
      <c r="F210" t="s">
        <v>19</v>
      </c>
      <c r="G210" t="s">
        <v>26</v>
      </c>
      <c r="H210" t="s">
        <v>21</v>
      </c>
      <c r="I210" t="s">
        <v>70</v>
      </c>
      <c r="J210" t="s">
        <v>23</v>
      </c>
      <c r="K210">
        <v>1573</v>
      </c>
      <c r="L210" s="4">
        <v>38.717829299999998</v>
      </c>
      <c r="M210" s="4">
        <v>37.152682191717147</v>
      </c>
      <c r="N210" s="4">
        <v>0.32099005429655447</v>
      </c>
      <c r="O210" s="1" t="str">
        <f>HYPERLINK(".\sm_car_250601_0524\sm_car_250601_0524_209_Ca139TrN_MaSKD_ode23t_1.png","figure")</f>
        <v>figure</v>
      </c>
      <c r="P210" t="s">
        <v>15</v>
      </c>
    </row>
    <row r="211" spans="1:16" x14ac:dyDescent="0.25">
      <c r="A211">
        <v>210</v>
      </c>
      <c r="B211">
        <v>139</v>
      </c>
      <c r="C211" t="s">
        <v>45</v>
      </c>
      <c r="D211" t="s">
        <v>17</v>
      </c>
      <c r="E211" t="s">
        <v>18</v>
      </c>
      <c r="F211" t="s">
        <v>19</v>
      </c>
      <c r="G211" t="s">
        <v>26</v>
      </c>
      <c r="H211" t="s">
        <v>21</v>
      </c>
      <c r="I211" t="s">
        <v>71</v>
      </c>
      <c r="J211" t="s">
        <v>23</v>
      </c>
      <c r="K211">
        <v>1067</v>
      </c>
      <c r="L211" s="4">
        <v>33.444845700000002</v>
      </c>
      <c r="M211" s="4">
        <v>3.4827858717708509</v>
      </c>
      <c r="N211" s="4">
        <v>27.067514383031426</v>
      </c>
      <c r="O211" s="1" t="str">
        <f>HYPERLINK(".\sm_car_250601_0524\sm_car_250601_0524_210_Ca139TrN_MaRAD_ode23t_1.png","figure")</f>
        <v>figure</v>
      </c>
      <c r="P211" t="s">
        <v>15</v>
      </c>
    </row>
    <row r="212" spans="1:16" x14ac:dyDescent="0.25">
      <c r="A212">
        <v>211</v>
      </c>
      <c r="B212">
        <v>184</v>
      </c>
      <c r="C212" t="s">
        <v>105</v>
      </c>
      <c r="D212" t="s">
        <v>120</v>
      </c>
      <c r="E212" t="s">
        <v>49</v>
      </c>
      <c r="F212" t="s">
        <v>19</v>
      </c>
      <c r="G212" t="s">
        <v>20</v>
      </c>
      <c r="H212" t="s">
        <v>21</v>
      </c>
      <c r="I212" t="s">
        <v>70</v>
      </c>
      <c r="J212" t="s">
        <v>23</v>
      </c>
      <c r="K212">
        <v>1332</v>
      </c>
      <c r="L212" s="4">
        <v>51.733481400000002</v>
      </c>
      <c r="M212" s="4">
        <v>36.654966535243155</v>
      </c>
      <c r="N212" s="4">
        <v>0.23971608640760153</v>
      </c>
      <c r="O212" s="1" t="str">
        <f>HYPERLINK(".\sm_car_250601_0524\sm_car_250601_0524_211_Ca184TrN_MaSKD_ode23t_1.png","figure")</f>
        <v>figure</v>
      </c>
      <c r="P212" t="s">
        <v>15</v>
      </c>
    </row>
    <row r="213" spans="1:16" x14ac:dyDescent="0.25">
      <c r="A213">
        <v>212</v>
      </c>
      <c r="B213">
        <v>184</v>
      </c>
      <c r="C213" t="s">
        <v>105</v>
      </c>
      <c r="D213" t="s">
        <v>120</v>
      </c>
      <c r="E213" t="s">
        <v>49</v>
      </c>
      <c r="F213" t="s">
        <v>19</v>
      </c>
      <c r="G213" t="s">
        <v>20</v>
      </c>
      <c r="H213" t="s">
        <v>21</v>
      </c>
      <c r="I213" t="s">
        <v>71</v>
      </c>
      <c r="J213" t="s">
        <v>23</v>
      </c>
      <c r="K213">
        <v>628</v>
      </c>
      <c r="L213" s="4">
        <v>24.352581900000001</v>
      </c>
      <c r="M213" s="4">
        <v>13.885193693746039</v>
      </c>
      <c r="N213" s="4">
        <v>23.764267455251019</v>
      </c>
      <c r="O213" s="1" t="str">
        <f>HYPERLINK(".\sm_car_250601_0524\sm_car_250601_0524_212_Ca184TrN_MaRAD_ode23t_1.png","figure")</f>
        <v>figure</v>
      </c>
      <c r="P213" t="s">
        <v>15</v>
      </c>
    </row>
    <row r="214" spans="1:16" x14ac:dyDescent="0.25">
      <c r="A214">
        <v>213</v>
      </c>
      <c r="B214">
        <v>198</v>
      </c>
      <c r="C214" t="s">
        <v>105</v>
      </c>
      <c r="D214" t="s">
        <v>120</v>
      </c>
      <c r="E214" t="s">
        <v>107</v>
      </c>
      <c r="F214" t="s">
        <v>19</v>
      </c>
      <c r="G214" t="s">
        <v>20</v>
      </c>
      <c r="H214" t="s">
        <v>21</v>
      </c>
      <c r="I214" t="s">
        <v>70</v>
      </c>
      <c r="J214" t="s">
        <v>23</v>
      </c>
      <c r="K214">
        <v>1403</v>
      </c>
      <c r="L214" s="4">
        <v>32.719545699999998</v>
      </c>
      <c r="M214" s="4">
        <v>36.380174590066673</v>
      </c>
      <c r="N214" s="4">
        <v>0.25054655808351278</v>
      </c>
      <c r="O214" s="1" t="str">
        <f>HYPERLINK(".\sm_car_250601_0524\sm_car_250601_0524_213_Ca198TrN_MaSKD_ode23t_1.png","figure")</f>
        <v>figure</v>
      </c>
      <c r="P214" t="s">
        <v>15</v>
      </c>
    </row>
    <row r="215" spans="1:16" x14ac:dyDescent="0.25">
      <c r="A215">
        <v>214</v>
      </c>
      <c r="B215">
        <v>198</v>
      </c>
      <c r="C215" t="s">
        <v>105</v>
      </c>
      <c r="D215" t="s">
        <v>120</v>
      </c>
      <c r="E215" t="s">
        <v>107</v>
      </c>
      <c r="F215" t="s">
        <v>19</v>
      </c>
      <c r="G215" t="s">
        <v>20</v>
      </c>
      <c r="H215" t="s">
        <v>21</v>
      </c>
      <c r="I215" t="s">
        <v>71</v>
      </c>
      <c r="J215" t="s">
        <v>23</v>
      </c>
      <c r="K215">
        <v>669</v>
      </c>
      <c r="L215" s="4">
        <v>15.746790499999999</v>
      </c>
      <c r="M215" s="4">
        <v>13.858969650909948</v>
      </c>
      <c r="N215" s="4">
        <v>23.713060699316724</v>
      </c>
      <c r="O215" s="1" t="str">
        <f>HYPERLINK(".\sm_car_250601_0524\sm_car_250601_0524_214_Ca198TrN_MaRAD_ode23t_1.png","figure")</f>
        <v>figure</v>
      </c>
      <c r="P215" t="s">
        <v>15</v>
      </c>
    </row>
    <row r="216" spans="1:16" x14ac:dyDescent="0.25">
      <c r="A216">
        <v>215</v>
      </c>
      <c r="B216">
        <v>189</v>
      </c>
      <c r="C216" t="s">
        <v>45</v>
      </c>
      <c r="D216" t="s">
        <v>17</v>
      </c>
      <c r="E216" t="s">
        <v>107</v>
      </c>
      <c r="F216" t="s">
        <v>19</v>
      </c>
      <c r="G216" t="s">
        <v>26</v>
      </c>
      <c r="H216" t="s">
        <v>21</v>
      </c>
      <c r="I216" t="s">
        <v>132</v>
      </c>
      <c r="J216" t="s">
        <v>23</v>
      </c>
      <c r="K216">
        <v>760</v>
      </c>
      <c r="L216" s="4">
        <v>12.5487909</v>
      </c>
      <c r="M216" s="4">
        <v>120.11983960077069</v>
      </c>
      <c r="N216" s="4">
        <v>-15.842833806509784</v>
      </c>
      <c r="O216" s="1" t="str">
        <f>HYPERLINK(".\sm_car_250601_0524\sm_car_250601_0524_215_Ca189TrN_MaFSH_ode23t_1.png","figure")</f>
        <v>figure</v>
      </c>
      <c r="P216" t="s">
        <v>15</v>
      </c>
    </row>
    <row r="217" spans="1:16" x14ac:dyDescent="0.25">
      <c r="A217">
        <v>216</v>
      </c>
      <c r="B217">
        <v>189</v>
      </c>
      <c r="C217" t="s">
        <v>45</v>
      </c>
      <c r="D217" t="s">
        <v>17</v>
      </c>
      <c r="E217" t="s">
        <v>107</v>
      </c>
      <c r="F217" t="s">
        <v>19</v>
      </c>
      <c r="G217" t="s">
        <v>26</v>
      </c>
      <c r="H217" t="s">
        <v>21</v>
      </c>
      <c r="I217" t="s">
        <v>133</v>
      </c>
      <c r="J217" t="s">
        <v>23</v>
      </c>
      <c r="K217">
        <v>530</v>
      </c>
      <c r="L217" s="4">
        <v>7.0261110000000002</v>
      </c>
      <c r="M217" s="4">
        <v>117.00558731411512</v>
      </c>
      <c r="N217" s="4">
        <v>-9.4447808145084835</v>
      </c>
      <c r="O217" s="1" t="str">
        <f>HYPERLINK(".\sm_car_250601_0524\sm_car_250601_0524_216_Ca189TrN_MaSWD_ode23t_1.png","figure")</f>
        <v>figure</v>
      </c>
      <c r="P217" t="s">
        <v>15</v>
      </c>
    </row>
    <row r="218" spans="1:16" x14ac:dyDescent="0.25">
      <c r="A218">
        <v>217</v>
      </c>
      <c r="B218">
        <v>189</v>
      </c>
      <c r="C218" t="s">
        <v>45</v>
      </c>
      <c r="D218" t="s">
        <v>17</v>
      </c>
      <c r="E218" t="s">
        <v>107</v>
      </c>
      <c r="F218" t="s">
        <v>19</v>
      </c>
      <c r="G218" t="s">
        <v>26</v>
      </c>
      <c r="H218" t="s">
        <v>21</v>
      </c>
      <c r="I218" t="s">
        <v>134</v>
      </c>
      <c r="J218" t="s">
        <v>23</v>
      </c>
      <c r="K218">
        <v>525</v>
      </c>
      <c r="L218" s="4">
        <v>8.5057995000000002</v>
      </c>
      <c r="M218" s="4">
        <v>100.63036070619937</v>
      </c>
      <c r="N218" s="4">
        <v>18.073893361134967</v>
      </c>
      <c r="O218" s="1" t="str">
        <f>HYPERLINK(".\sm_car_250601_0524\sm_car_250601_0524_217_Ca189TrN_MaRST_ode23t_1.png","figure")</f>
        <v>figure</v>
      </c>
      <c r="P218" t="s">
        <v>15</v>
      </c>
    </row>
    <row r="219" spans="1:16" x14ac:dyDescent="0.25">
      <c r="A219">
        <v>218</v>
      </c>
      <c r="B219">
        <v>189</v>
      </c>
      <c r="C219" t="s">
        <v>45</v>
      </c>
      <c r="D219" t="s">
        <v>17</v>
      </c>
      <c r="E219" t="s">
        <v>107</v>
      </c>
      <c r="F219" t="s">
        <v>19</v>
      </c>
      <c r="G219" t="s">
        <v>26</v>
      </c>
      <c r="H219" t="s">
        <v>21</v>
      </c>
      <c r="I219" t="s">
        <v>135</v>
      </c>
      <c r="J219" t="s">
        <v>23</v>
      </c>
      <c r="K219">
        <v>604</v>
      </c>
      <c r="L219" s="4">
        <v>16.4722297</v>
      </c>
      <c r="M219" s="4">
        <v>230.87869018043372</v>
      </c>
      <c r="N219" s="4">
        <v>6.3385746294589512E-2</v>
      </c>
      <c r="O219" s="1" t="str">
        <f>HYPERLINK(".\sm_car_250601_0524\sm_car_250601_0524_218_Ca189TrN_MaSLA_ode23t_1.png","figure")</f>
        <v>figure</v>
      </c>
      <c r="P219" t="s">
        <v>15</v>
      </c>
    </row>
    <row r="220" spans="1:16" x14ac:dyDescent="0.25">
      <c r="A220">
        <v>219</v>
      </c>
      <c r="B220">
        <v>218</v>
      </c>
      <c r="C220" t="s">
        <v>16</v>
      </c>
      <c r="D220" t="s">
        <v>128</v>
      </c>
      <c r="E220" t="s">
        <v>107</v>
      </c>
      <c r="F220" t="s">
        <v>19</v>
      </c>
      <c r="G220" t="s">
        <v>26</v>
      </c>
      <c r="H220" t="s">
        <v>21</v>
      </c>
      <c r="I220" t="s">
        <v>132</v>
      </c>
      <c r="J220" t="s">
        <v>23</v>
      </c>
      <c r="K220">
        <v>739</v>
      </c>
      <c r="L220" s="4">
        <v>8.9078733999999997</v>
      </c>
      <c r="M220" s="4">
        <v>90.716385073222881</v>
      </c>
      <c r="N220" s="4">
        <v>-22.067248873457764</v>
      </c>
      <c r="O220" s="1" t="str">
        <f>HYPERLINK(".\sm_car_250601_0524\sm_car_250601_0524_219_Ca218TrN_MaFSH_ode23t_1.png","figure")</f>
        <v>figure</v>
      </c>
      <c r="P220" t="s">
        <v>15</v>
      </c>
    </row>
    <row r="221" spans="1:16" x14ac:dyDescent="0.25">
      <c r="A221">
        <v>220</v>
      </c>
      <c r="B221">
        <v>218</v>
      </c>
      <c r="C221" t="s">
        <v>16</v>
      </c>
      <c r="D221" t="s">
        <v>128</v>
      </c>
      <c r="E221" t="s">
        <v>107</v>
      </c>
      <c r="F221" t="s">
        <v>19</v>
      </c>
      <c r="G221" t="s">
        <v>26</v>
      </c>
      <c r="H221" t="s">
        <v>21</v>
      </c>
      <c r="I221" t="s">
        <v>133</v>
      </c>
      <c r="J221" t="s">
        <v>23</v>
      </c>
      <c r="K221">
        <v>554</v>
      </c>
      <c r="L221" s="4">
        <v>6.3174770999999996</v>
      </c>
      <c r="M221" s="4">
        <v>125.48125557522681</v>
      </c>
      <c r="N221" s="4">
        <v>-8.4221411336410092</v>
      </c>
      <c r="O221" s="1" t="str">
        <f>HYPERLINK(".\sm_car_250601_0524\sm_car_250601_0524_220_Ca218TrN_MaSWD_ode23t_1.png","figure")</f>
        <v>figure</v>
      </c>
      <c r="P221" t="s">
        <v>15</v>
      </c>
    </row>
    <row r="222" spans="1:16" x14ac:dyDescent="0.25">
      <c r="A222">
        <v>221</v>
      </c>
      <c r="B222">
        <v>218</v>
      </c>
      <c r="C222" t="s">
        <v>16</v>
      </c>
      <c r="D222" t="s">
        <v>128</v>
      </c>
      <c r="E222" t="s">
        <v>107</v>
      </c>
      <c r="F222" t="s">
        <v>19</v>
      </c>
      <c r="G222" t="s">
        <v>26</v>
      </c>
      <c r="H222" t="s">
        <v>21</v>
      </c>
      <c r="I222" t="s">
        <v>134</v>
      </c>
      <c r="J222" t="s">
        <v>23</v>
      </c>
      <c r="K222">
        <v>488</v>
      </c>
      <c r="L222" s="4">
        <v>5.3296584999999999</v>
      </c>
      <c r="M222" s="4">
        <v>90.759187300808009</v>
      </c>
      <c r="N222" s="4">
        <v>29.1459457052194</v>
      </c>
      <c r="O222" s="1" t="str">
        <f>HYPERLINK(".\sm_car_250601_0524\sm_car_250601_0524_221_Ca218TrN_MaRST_ode23t_1.png","figure")</f>
        <v>figure</v>
      </c>
      <c r="P222" t="s">
        <v>15</v>
      </c>
    </row>
    <row r="223" spans="1:16" x14ac:dyDescent="0.25">
      <c r="A223">
        <v>222</v>
      </c>
      <c r="B223">
        <v>218</v>
      </c>
      <c r="C223" t="s">
        <v>16</v>
      </c>
      <c r="D223" t="s">
        <v>128</v>
      </c>
      <c r="E223" t="s">
        <v>107</v>
      </c>
      <c r="F223" t="s">
        <v>19</v>
      </c>
      <c r="G223" t="s">
        <v>26</v>
      </c>
      <c r="H223" t="s">
        <v>21</v>
      </c>
      <c r="I223" t="s">
        <v>135</v>
      </c>
      <c r="J223" t="s">
        <v>23</v>
      </c>
      <c r="K223">
        <v>705</v>
      </c>
      <c r="L223" s="4">
        <v>16.908890599999999</v>
      </c>
      <c r="M223" s="4">
        <v>230.1874017221692</v>
      </c>
      <c r="N223" s="4">
        <v>6.6667286786076349E-2</v>
      </c>
      <c r="O223" s="1" t="str">
        <f>HYPERLINK(".\sm_car_250601_0524\sm_car_250601_0524_222_Ca218TrN_MaSLA_ode23t_1.png","figure")</f>
        <v>figure</v>
      </c>
      <c r="P223" t="s">
        <v>15</v>
      </c>
    </row>
    <row r="224" spans="1:16" x14ac:dyDescent="0.25">
      <c r="A224">
        <v>223</v>
      </c>
      <c r="B224">
        <v>156</v>
      </c>
      <c r="C224" t="s">
        <v>45</v>
      </c>
      <c r="D224" t="s">
        <v>17</v>
      </c>
      <c r="E224" t="s">
        <v>18</v>
      </c>
      <c r="F224" t="s">
        <v>19</v>
      </c>
      <c r="G224" t="s">
        <v>38</v>
      </c>
      <c r="H224" t="s">
        <v>21</v>
      </c>
      <c r="I224" t="s">
        <v>54</v>
      </c>
      <c r="J224" t="s">
        <v>23</v>
      </c>
      <c r="K224">
        <v>26318</v>
      </c>
      <c r="L224" s="4">
        <v>402.22125840000001</v>
      </c>
      <c r="M224" s="4">
        <v>19.414066437447758</v>
      </c>
      <c r="N224" s="4">
        <v>2.7139079070805141</v>
      </c>
      <c r="O224" s="1" t="str">
        <f>HYPERLINK(".\sm_car_250601_0524\sm_car_250601_0524_223_Ca156TrN_MaIPA_ode23t.png","figure")</f>
        <v>figure</v>
      </c>
      <c r="P224" t="s">
        <v>15</v>
      </c>
    </row>
    <row r="225" spans="1:16" x14ac:dyDescent="0.25">
      <c r="A225">
        <v>224</v>
      </c>
      <c r="B225">
        <v>130</v>
      </c>
      <c r="C225" t="s">
        <v>16</v>
      </c>
      <c r="D225" t="s">
        <v>17</v>
      </c>
      <c r="E225" t="s">
        <v>18</v>
      </c>
      <c r="F225" t="s">
        <v>19</v>
      </c>
      <c r="G225" t="s">
        <v>38</v>
      </c>
      <c r="H225" t="s">
        <v>21</v>
      </c>
      <c r="I225" t="s">
        <v>54</v>
      </c>
      <c r="J225" t="s">
        <v>23</v>
      </c>
      <c r="K225">
        <v>18379</v>
      </c>
      <c r="L225" s="4">
        <v>276.17795710000001</v>
      </c>
      <c r="M225" s="4">
        <v>16.36945245711226</v>
      </c>
      <c r="N225" s="4">
        <v>0.56684424046172122</v>
      </c>
      <c r="O225" s="1" t="str">
        <f>HYPERLINK(".\sm_car_250601_0524\sm_car_250601_0524_224_Ca130TrN_MaIPA_ode23t.png","figure")</f>
        <v>figure</v>
      </c>
      <c r="P225" t="s">
        <v>15</v>
      </c>
    </row>
    <row r="226" spans="1:16" x14ac:dyDescent="0.25">
      <c r="A226">
        <v>225</v>
      </c>
      <c r="B226">
        <v>171</v>
      </c>
      <c r="C226" t="s">
        <v>45</v>
      </c>
      <c r="D226" t="s">
        <v>17</v>
      </c>
      <c r="E226" t="s">
        <v>72</v>
      </c>
      <c r="F226" t="s">
        <v>19</v>
      </c>
      <c r="G226" t="s">
        <v>26</v>
      </c>
      <c r="H226" t="s">
        <v>21</v>
      </c>
      <c r="I226" t="s">
        <v>73</v>
      </c>
      <c r="J226" t="s">
        <v>23</v>
      </c>
      <c r="K226">
        <v>1370</v>
      </c>
      <c r="L226" s="4">
        <v>26.046363199999998</v>
      </c>
      <c r="M226" s="4">
        <v>338.70299408615864</v>
      </c>
      <c r="N226" s="4">
        <v>0.69507929594247353</v>
      </c>
      <c r="O226" s="1" t="str">
        <f>HYPERLINK(".\sm_car_250601_0524\sm_car_250601_0524_225_Ca171TrN_MaRDP_ode23t_1.png","figure")</f>
        <v>figure</v>
      </c>
      <c r="P226" t="s">
        <v>15</v>
      </c>
    </row>
    <row r="227" spans="1:16" x14ac:dyDescent="0.25">
      <c r="A227">
        <v>226</v>
      </c>
      <c r="B227">
        <v>172</v>
      </c>
      <c r="C227" t="s">
        <v>46</v>
      </c>
      <c r="D227" t="s">
        <v>17</v>
      </c>
      <c r="E227" t="s">
        <v>72</v>
      </c>
      <c r="F227" t="s">
        <v>19</v>
      </c>
      <c r="G227" t="s">
        <v>26</v>
      </c>
      <c r="H227" t="s">
        <v>21</v>
      </c>
      <c r="I227" t="s">
        <v>73</v>
      </c>
      <c r="J227" t="s">
        <v>23</v>
      </c>
      <c r="K227">
        <v>1239</v>
      </c>
      <c r="L227" s="4">
        <v>12.022377799999999</v>
      </c>
      <c r="M227" s="4">
        <v>137.31324907911886</v>
      </c>
      <c r="N227" s="4">
        <v>3.6867395266246723E-2</v>
      </c>
      <c r="O227" s="1" t="str">
        <f>HYPERLINK(".\sm_car_250601_0524\sm_car_250601_0524_226_Ca172TrN_MaRDP_ode23t_1.png","figure")</f>
        <v>figure</v>
      </c>
      <c r="P227" t="s">
        <v>15</v>
      </c>
    </row>
    <row r="228" spans="1:16" x14ac:dyDescent="0.25">
      <c r="A228">
        <v>227</v>
      </c>
      <c r="B228">
        <v>139</v>
      </c>
      <c r="C228" t="s">
        <v>45</v>
      </c>
      <c r="D228" t="s">
        <v>17</v>
      </c>
      <c r="E228" t="s">
        <v>18</v>
      </c>
      <c r="F228" t="s">
        <v>19</v>
      </c>
      <c r="G228" t="s">
        <v>26</v>
      </c>
      <c r="H228" t="s">
        <v>21</v>
      </c>
      <c r="I228" t="s">
        <v>74</v>
      </c>
      <c r="J228" t="s">
        <v>23</v>
      </c>
      <c r="K228">
        <v>1437</v>
      </c>
      <c r="L228" s="4">
        <v>19.0909145</v>
      </c>
      <c r="M228" s="4">
        <v>364.59408165534882</v>
      </c>
      <c r="N228" s="4">
        <v>0.74703279937509426</v>
      </c>
      <c r="O228" s="1" t="str">
        <f>HYPERLINK(".\sm_car_250601_0524\sm_car_250601_0524_227_Ca139TrN_MaZPL_ode23t_1.png","figure")</f>
        <v>figure</v>
      </c>
      <c r="P228" t="s">
        <v>15</v>
      </c>
    </row>
    <row r="229" spans="1:16" x14ac:dyDescent="0.25">
      <c r="A229">
        <v>228</v>
      </c>
      <c r="B229">
        <v>165</v>
      </c>
      <c r="C229" t="s">
        <v>45</v>
      </c>
      <c r="D229" t="s">
        <v>35</v>
      </c>
      <c r="E229" t="s">
        <v>49</v>
      </c>
      <c r="F229" t="s">
        <v>19</v>
      </c>
      <c r="G229" t="s">
        <v>26</v>
      </c>
      <c r="H229" t="s">
        <v>21</v>
      </c>
      <c r="I229" t="s">
        <v>74</v>
      </c>
      <c r="J229" t="s">
        <v>23</v>
      </c>
      <c r="K229">
        <v>2109</v>
      </c>
      <c r="L229" s="4">
        <v>10.9189875</v>
      </c>
      <c r="M229" s="4">
        <v>397.61563665734741</v>
      </c>
      <c r="N229" s="4">
        <v>0.34021663408557318</v>
      </c>
      <c r="O229" s="1" t="str">
        <f>HYPERLINK(".\sm_car_250601_0524\sm_car_250601_0524_228_Ca165TrN_MaZPL_ode23t_1.png","figure")</f>
        <v>figure</v>
      </c>
      <c r="P229" t="s">
        <v>15</v>
      </c>
    </row>
    <row r="230" spans="1:16" x14ac:dyDescent="0.25">
      <c r="A230">
        <v>229</v>
      </c>
      <c r="B230">
        <v>171</v>
      </c>
      <c r="C230" t="s">
        <v>45</v>
      </c>
      <c r="D230" t="s">
        <v>17</v>
      </c>
      <c r="E230" t="s">
        <v>72</v>
      </c>
      <c r="F230" t="s">
        <v>19</v>
      </c>
      <c r="G230" t="s">
        <v>26</v>
      </c>
      <c r="H230" t="s">
        <v>21</v>
      </c>
      <c r="I230" t="s">
        <v>74</v>
      </c>
      <c r="J230" t="s">
        <v>23</v>
      </c>
      <c r="K230">
        <v>1477</v>
      </c>
      <c r="L230" s="4">
        <v>24.058672099999999</v>
      </c>
      <c r="M230" s="4">
        <v>364.26821920110206</v>
      </c>
      <c r="N230" s="4">
        <v>0.76658452668842181</v>
      </c>
      <c r="O230" s="1" t="str">
        <f>HYPERLINK(".\sm_car_250601_0524\sm_car_250601_0524_229_Ca171TrN_MaZPL_ode23t_1.png","figure")</f>
        <v>figure</v>
      </c>
      <c r="P230" t="s">
        <v>15</v>
      </c>
    </row>
    <row r="231" spans="1:16" x14ac:dyDescent="0.25">
      <c r="A231">
        <v>230</v>
      </c>
      <c r="B231">
        <v>165</v>
      </c>
      <c r="C231" t="s">
        <v>45</v>
      </c>
      <c r="D231" t="s">
        <v>35</v>
      </c>
      <c r="E231" t="s">
        <v>49</v>
      </c>
      <c r="F231" t="s">
        <v>19</v>
      </c>
      <c r="G231" t="s">
        <v>26</v>
      </c>
      <c r="H231" t="s">
        <v>21</v>
      </c>
      <c r="I231" t="s">
        <v>75</v>
      </c>
      <c r="J231" t="s">
        <v>23</v>
      </c>
      <c r="K231">
        <v>503</v>
      </c>
      <c r="L231" s="4">
        <v>4.9812531</v>
      </c>
      <c r="M231" s="4">
        <v>378.27617077290233</v>
      </c>
      <c r="N231" s="4">
        <v>0.32742414260328223</v>
      </c>
      <c r="O231" s="1" t="str">
        <f>HYPERLINK(".\sm_car_250601_0524\sm_car_250601_0524_230_Ca165TrN_MaCPL_ode23t_1.png","figure")</f>
        <v>figure</v>
      </c>
      <c r="P231" t="s">
        <v>15</v>
      </c>
    </row>
    <row r="232" spans="1:16" x14ac:dyDescent="0.25">
      <c r="A232">
        <v>231</v>
      </c>
      <c r="B232">
        <v>170</v>
      </c>
      <c r="C232" t="s">
        <v>45</v>
      </c>
      <c r="D232" t="s">
        <v>35</v>
      </c>
      <c r="E232" t="s">
        <v>49</v>
      </c>
      <c r="F232" t="s">
        <v>19</v>
      </c>
      <c r="G232" t="s">
        <v>20</v>
      </c>
      <c r="H232" t="s">
        <v>21</v>
      </c>
      <c r="I232" t="s">
        <v>75</v>
      </c>
      <c r="J232" t="s">
        <v>23</v>
      </c>
      <c r="K232">
        <v>470</v>
      </c>
      <c r="L232" s="4">
        <v>3.3320295</v>
      </c>
      <c r="M232" s="4">
        <v>381.4484771482264</v>
      </c>
      <c r="N232" s="4">
        <v>0.33443756398186958</v>
      </c>
      <c r="O232" s="1" t="str">
        <f>HYPERLINK(".\sm_car_250601_0524\sm_car_250601_0524_231_Ca170TrN_MaCPL_ode23t_1.png","figure")</f>
        <v>figure</v>
      </c>
      <c r="P232" t="s">
        <v>15</v>
      </c>
    </row>
    <row r="233" spans="1:16" x14ac:dyDescent="0.25">
      <c r="A233">
        <v>232</v>
      </c>
      <c r="B233">
        <v>171</v>
      </c>
      <c r="C233" t="s">
        <v>45</v>
      </c>
      <c r="D233" t="s">
        <v>17</v>
      </c>
      <c r="E233" t="s">
        <v>72</v>
      </c>
      <c r="F233" t="s">
        <v>19</v>
      </c>
      <c r="G233" t="s">
        <v>26</v>
      </c>
      <c r="H233" t="s">
        <v>21</v>
      </c>
      <c r="I233" t="s">
        <v>76</v>
      </c>
      <c r="J233" t="s">
        <v>23</v>
      </c>
      <c r="K233">
        <v>2486</v>
      </c>
      <c r="L233" s="4">
        <v>42.177883000000001</v>
      </c>
      <c r="M233" s="4">
        <v>152.36928333358705</v>
      </c>
      <c r="N233" s="4">
        <v>1.9337240334460514E-3</v>
      </c>
      <c r="O233" s="1" t="str">
        <f>HYPERLINK(".\sm_car_250601_0524\sm_car_250601_0524_232_Ca171TrN_MaRDR_ode23t_1.png","figure")</f>
        <v>figure</v>
      </c>
      <c r="P233" t="s">
        <v>15</v>
      </c>
    </row>
    <row r="234" spans="1:16" x14ac:dyDescent="0.25">
      <c r="A234">
        <v>233</v>
      </c>
      <c r="B234">
        <v>172</v>
      </c>
      <c r="C234" t="s">
        <v>46</v>
      </c>
      <c r="D234" t="s">
        <v>17</v>
      </c>
      <c r="E234" t="s">
        <v>72</v>
      </c>
      <c r="F234" t="s">
        <v>19</v>
      </c>
      <c r="G234" t="s">
        <v>26</v>
      </c>
      <c r="H234" t="s">
        <v>21</v>
      </c>
      <c r="I234" t="s">
        <v>76</v>
      </c>
      <c r="J234" t="s">
        <v>23</v>
      </c>
      <c r="K234">
        <v>2936</v>
      </c>
      <c r="L234" s="4">
        <v>27.758600900000001</v>
      </c>
      <c r="M234" s="4">
        <v>146.50410155745448</v>
      </c>
      <c r="N234" s="4">
        <v>-4.8567005301448788E-3</v>
      </c>
      <c r="O234" s="1" t="str">
        <f>HYPERLINK(".\sm_car_250601_0524\sm_car_250601_0524_233_Ca172TrN_MaRDR_ode23t_1.png","figure")</f>
        <v>figure</v>
      </c>
      <c r="P234" t="s">
        <v>15</v>
      </c>
    </row>
    <row r="235" spans="1:16" x14ac:dyDescent="0.25">
      <c r="A235">
        <v>234</v>
      </c>
      <c r="B235">
        <v>139</v>
      </c>
      <c r="C235" t="s">
        <v>45</v>
      </c>
      <c r="D235" t="s">
        <v>17</v>
      </c>
      <c r="E235" t="s">
        <v>18</v>
      </c>
      <c r="F235" t="s">
        <v>19</v>
      </c>
      <c r="G235" t="s">
        <v>26</v>
      </c>
      <c r="H235" t="s">
        <v>21</v>
      </c>
      <c r="I235" t="s">
        <v>77</v>
      </c>
      <c r="J235" t="s">
        <v>23</v>
      </c>
      <c r="K235">
        <v>3041</v>
      </c>
      <c r="L235" s="4">
        <v>36.451505099999999</v>
      </c>
      <c r="M235" s="4">
        <v>176.47432442438694</v>
      </c>
      <c r="N235" s="4">
        <v>8.7599867811194378E-4</v>
      </c>
      <c r="O235" s="1" t="str">
        <f>HYPERLINK(".\sm_car_250601_0524\sm_car_250601_0524_234_Ca139TrN_MaZRR_ode23t_1.png","figure")</f>
        <v>figure</v>
      </c>
      <c r="P235" t="s">
        <v>15</v>
      </c>
    </row>
    <row r="236" spans="1:16" x14ac:dyDescent="0.25">
      <c r="A236">
        <v>235</v>
      </c>
      <c r="B236">
        <v>165</v>
      </c>
      <c r="C236" t="s">
        <v>45</v>
      </c>
      <c r="D236" t="s">
        <v>35</v>
      </c>
      <c r="E236" t="s">
        <v>49</v>
      </c>
      <c r="F236" t="s">
        <v>19</v>
      </c>
      <c r="G236" t="s">
        <v>26</v>
      </c>
      <c r="H236" t="s">
        <v>21</v>
      </c>
      <c r="I236" t="s">
        <v>77</v>
      </c>
      <c r="J236" t="s">
        <v>23</v>
      </c>
      <c r="K236">
        <v>3579</v>
      </c>
      <c r="L236" s="4">
        <v>22.6756381</v>
      </c>
      <c r="M236" s="4">
        <v>176.80948076360997</v>
      </c>
      <c r="N236" s="4">
        <v>8.3066919592727413E-5</v>
      </c>
      <c r="O236" s="1" t="str">
        <f>HYPERLINK(".\sm_car_250601_0524\sm_car_250601_0524_235_Ca165TrN_MaZRR_ode23t_1.png","figure")</f>
        <v>figure</v>
      </c>
      <c r="P236" t="s">
        <v>15</v>
      </c>
    </row>
    <row r="237" spans="1:16" x14ac:dyDescent="0.25">
      <c r="A237">
        <v>236</v>
      </c>
      <c r="B237">
        <v>171</v>
      </c>
      <c r="C237" t="s">
        <v>45</v>
      </c>
      <c r="D237" t="s">
        <v>17</v>
      </c>
      <c r="E237" t="s">
        <v>72</v>
      </c>
      <c r="F237" t="s">
        <v>19</v>
      </c>
      <c r="G237" t="s">
        <v>26</v>
      </c>
      <c r="H237" t="s">
        <v>21</v>
      </c>
      <c r="I237" t="s">
        <v>77</v>
      </c>
      <c r="J237" t="s">
        <v>23</v>
      </c>
      <c r="K237">
        <v>2999</v>
      </c>
      <c r="L237" s="4">
        <v>52.951629099999998</v>
      </c>
      <c r="M237" s="4">
        <v>176.48591436331617</v>
      </c>
      <c r="N237" s="4">
        <v>8.4919949937720021E-4</v>
      </c>
      <c r="O237" s="1" t="str">
        <f>HYPERLINK(".\sm_car_250601_0524\sm_car_250601_0524_236_Ca171TrN_MaZRR_ode23t_1.png","figure")</f>
        <v>figure</v>
      </c>
      <c r="P237" t="s">
        <v>15</v>
      </c>
    </row>
    <row r="238" spans="1:16" x14ac:dyDescent="0.25">
      <c r="A238">
        <v>237</v>
      </c>
      <c r="B238">
        <v>170</v>
      </c>
      <c r="C238" t="s">
        <v>45</v>
      </c>
      <c r="D238" t="s">
        <v>35</v>
      </c>
      <c r="E238" t="s">
        <v>49</v>
      </c>
      <c r="F238" t="s">
        <v>19</v>
      </c>
      <c r="G238" t="s">
        <v>20</v>
      </c>
      <c r="H238" t="s">
        <v>21</v>
      </c>
      <c r="I238" t="s">
        <v>78</v>
      </c>
      <c r="J238" t="s">
        <v>23</v>
      </c>
      <c r="K238">
        <v>5110</v>
      </c>
      <c r="L238" s="4">
        <v>18.988755900000001</v>
      </c>
      <c r="M238" s="4">
        <v>-5.9995027247290089</v>
      </c>
      <c r="N238" s="4">
        <v>2.8453125439872264E-3</v>
      </c>
      <c r="O238" s="1" t="str">
        <f>HYPERLINK(".\sm_car_250601_0524\sm_car_250601_0524_237_Ca170TrN_MaCMP_ode23t_1.png","figure")</f>
        <v>figure</v>
      </c>
      <c r="P238" t="s">
        <v>15</v>
      </c>
    </row>
    <row r="239" spans="1:16" x14ac:dyDescent="0.25">
      <c r="A239">
        <v>238</v>
      </c>
      <c r="B239">
        <v>170</v>
      </c>
      <c r="C239" t="s">
        <v>45</v>
      </c>
      <c r="D239" t="s">
        <v>35</v>
      </c>
      <c r="E239" t="s">
        <v>49</v>
      </c>
      <c r="F239" t="s">
        <v>19</v>
      </c>
      <c r="G239" t="s">
        <v>20</v>
      </c>
      <c r="H239" t="s">
        <v>21</v>
      </c>
      <c r="I239" t="s">
        <v>79</v>
      </c>
      <c r="J239" t="s">
        <v>23</v>
      </c>
      <c r="K239">
        <v>1823</v>
      </c>
      <c r="L239" s="4">
        <v>12.0345966</v>
      </c>
      <c r="M239" s="4">
        <v>-5.9993606375671691</v>
      </c>
      <c r="N239" s="4">
        <v>2.8889799738017192E-3</v>
      </c>
      <c r="O239" s="1" t="str">
        <f>HYPERLINK(".\sm_car_250601_0524\sm_car_250601_0524_238_Ca170TrN_MaCMF_ode23t_1.png","figure")</f>
        <v>figure</v>
      </c>
      <c r="P239" t="s">
        <v>15</v>
      </c>
    </row>
    <row r="240" spans="1:16" x14ac:dyDescent="0.25">
      <c r="A240">
        <v>239</v>
      </c>
      <c r="B240">
        <v>170</v>
      </c>
      <c r="C240" t="s">
        <v>45</v>
      </c>
      <c r="D240" t="s">
        <v>35</v>
      </c>
      <c r="E240" t="s">
        <v>49</v>
      </c>
      <c r="F240" t="s">
        <v>19</v>
      </c>
      <c r="G240" t="s">
        <v>20</v>
      </c>
      <c r="H240" t="s">
        <v>21</v>
      </c>
      <c r="I240" t="s">
        <v>80</v>
      </c>
      <c r="J240" t="s">
        <v>23</v>
      </c>
      <c r="K240">
        <v>4598</v>
      </c>
      <c r="L240" s="4">
        <v>38.770481099999998</v>
      </c>
      <c r="M240" s="4">
        <v>-329.50744754292111</v>
      </c>
      <c r="N240" s="4">
        <v>6.0576582749179071</v>
      </c>
      <c r="O240" s="1" t="str">
        <f>HYPERLINK(".\sm_car_250601_0524\sm_car_250601_0524_239_Ca170TrN_MaMPO_ode23t_1.png","figure")</f>
        <v>figure</v>
      </c>
      <c r="P240" t="s">
        <v>15</v>
      </c>
    </row>
    <row r="241" spans="1:16" x14ac:dyDescent="0.25">
      <c r="A241">
        <v>240</v>
      </c>
      <c r="B241">
        <v>170</v>
      </c>
      <c r="C241" t="s">
        <v>45</v>
      </c>
      <c r="D241" t="s">
        <v>35</v>
      </c>
      <c r="E241" t="s">
        <v>49</v>
      </c>
      <c r="F241" t="s">
        <v>19</v>
      </c>
      <c r="G241" t="s">
        <v>20</v>
      </c>
      <c r="H241" t="s">
        <v>21</v>
      </c>
      <c r="I241" t="s">
        <v>81</v>
      </c>
      <c r="J241" t="s">
        <v>23</v>
      </c>
      <c r="K241">
        <v>1185</v>
      </c>
      <c r="L241" s="4">
        <v>11.453272800000001</v>
      </c>
      <c r="M241" s="4">
        <v>-13.902638385806192</v>
      </c>
      <c r="N241" s="4">
        <v>0.20453531392931268</v>
      </c>
      <c r="O241" s="1" t="str">
        <f>HYPERLINK(".\sm_car_250601_0524\sm_car_250601_0524_240_Ca170TrN_MaMCI_ode23t_1.png","figure")</f>
        <v>figure</v>
      </c>
      <c r="P241" t="s">
        <v>15</v>
      </c>
    </row>
    <row r="242" spans="1:16" x14ac:dyDescent="0.25">
      <c r="A242">
        <v>241</v>
      </c>
      <c r="B242">
        <v>170</v>
      </c>
      <c r="C242" t="s">
        <v>45</v>
      </c>
      <c r="D242" t="s">
        <v>35</v>
      </c>
      <c r="E242" t="s">
        <v>49</v>
      </c>
      <c r="F242" t="s">
        <v>19</v>
      </c>
      <c r="G242" t="s">
        <v>20</v>
      </c>
      <c r="H242" t="s">
        <v>21</v>
      </c>
      <c r="I242" t="s">
        <v>110</v>
      </c>
      <c r="J242" t="s">
        <v>23</v>
      </c>
      <c r="K242">
        <v>6351</v>
      </c>
      <c r="L242" s="4">
        <v>20.576126899999998</v>
      </c>
      <c r="M242" s="4">
        <v>-5.9994807036565119</v>
      </c>
      <c r="N242" s="4">
        <v>-4.4603889817542673E-3</v>
      </c>
      <c r="O242" s="1" t="str">
        <f>HYPERLINK(".\sm_car_250601_0524\sm_car_250601_0524_241_Ca170TrN_MaCHO_ode23t_1.png","figure")</f>
        <v>figure</v>
      </c>
      <c r="P242" t="s">
        <v>15</v>
      </c>
    </row>
    <row r="243" spans="1:16" x14ac:dyDescent="0.25">
      <c r="A243">
        <v>242</v>
      </c>
      <c r="B243">
        <v>170</v>
      </c>
      <c r="C243" t="s">
        <v>45</v>
      </c>
      <c r="D243" t="s">
        <v>35</v>
      </c>
      <c r="E243" t="s">
        <v>49</v>
      </c>
      <c r="F243" t="s">
        <v>19</v>
      </c>
      <c r="G243" t="s">
        <v>20</v>
      </c>
      <c r="H243" t="s">
        <v>21</v>
      </c>
      <c r="I243" t="s">
        <v>111</v>
      </c>
      <c r="J243" t="s">
        <v>23</v>
      </c>
      <c r="K243">
        <v>3464</v>
      </c>
      <c r="L243" s="4">
        <v>19.786587099999998</v>
      </c>
      <c r="M243" s="4">
        <v>-5.9985814947478051</v>
      </c>
      <c r="N243" s="4">
        <v>-4.5137534212656635E-3</v>
      </c>
      <c r="O243" s="1" t="str">
        <f>HYPERLINK(".\sm_car_250601_0524\sm_car_250601_0524_242_Ca170TrN_MaCHF_ode23t_1.png","figure")</f>
        <v>figure</v>
      </c>
      <c r="P243" t="s">
        <v>15</v>
      </c>
    </row>
    <row r="244" spans="1:16" x14ac:dyDescent="0.25">
      <c r="A244">
        <v>243</v>
      </c>
      <c r="B244">
        <v>170</v>
      </c>
      <c r="C244" t="s">
        <v>45</v>
      </c>
      <c r="D244" t="s">
        <v>35</v>
      </c>
      <c r="E244" t="s">
        <v>49</v>
      </c>
      <c r="F244" t="s">
        <v>19</v>
      </c>
      <c r="G244" t="s">
        <v>20</v>
      </c>
      <c r="H244" t="s">
        <v>21</v>
      </c>
      <c r="I244" t="s">
        <v>82</v>
      </c>
      <c r="J244" t="s">
        <v>23</v>
      </c>
      <c r="K244">
        <v>7089</v>
      </c>
      <c r="L244" s="4">
        <v>31.537187400000001</v>
      </c>
      <c r="M244" s="4">
        <v>-751.81611156141867</v>
      </c>
      <c r="N244" s="4">
        <v>628.25195203255316</v>
      </c>
      <c r="O244" s="1" t="str">
        <f>HYPERLINK(".\sm_car_250601_0524\sm_car_250601_0524_243_Ca170TrN_MaCKY_ode23t_1.png","figure")</f>
        <v>figure</v>
      </c>
      <c r="P244" t="s">
        <v>15</v>
      </c>
    </row>
    <row r="245" spans="1:16" x14ac:dyDescent="0.25">
      <c r="A245">
        <v>244</v>
      </c>
      <c r="B245">
        <v>170</v>
      </c>
      <c r="C245" t="s">
        <v>45</v>
      </c>
      <c r="D245" t="s">
        <v>35</v>
      </c>
      <c r="E245" t="s">
        <v>49</v>
      </c>
      <c r="F245" t="s">
        <v>19</v>
      </c>
      <c r="G245" t="s">
        <v>20</v>
      </c>
      <c r="H245" t="s">
        <v>21</v>
      </c>
      <c r="I245" t="s">
        <v>83</v>
      </c>
      <c r="J245" t="s">
        <v>23</v>
      </c>
      <c r="K245">
        <v>2153</v>
      </c>
      <c r="L245" s="4">
        <v>16.374034999999999</v>
      </c>
      <c r="M245" s="4">
        <v>-758.45058871506149</v>
      </c>
      <c r="N245" s="4">
        <v>632.56093185997781</v>
      </c>
      <c r="O245" s="1" t="str">
        <f>HYPERLINK(".\sm_car_250601_0524\sm_car_250601_0524_244_Ca170TrN_MaCKF_ode23t_1.png","figure")</f>
        <v>figure</v>
      </c>
      <c r="P245" t="s">
        <v>15</v>
      </c>
    </row>
    <row r="246" spans="1:16" x14ac:dyDescent="0.25">
      <c r="A246">
        <v>245</v>
      </c>
      <c r="B246">
        <v>170</v>
      </c>
      <c r="C246" t="s">
        <v>45</v>
      </c>
      <c r="D246" t="s">
        <v>35</v>
      </c>
      <c r="E246" t="s">
        <v>49</v>
      </c>
      <c r="F246" t="s">
        <v>19</v>
      </c>
      <c r="G246" t="s">
        <v>20</v>
      </c>
      <c r="H246" t="s">
        <v>21</v>
      </c>
      <c r="I246" t="s">
        <v>84</v>
      </c>
      <c r="J246" t="s">
        <v>23</v>
      </c>
      <c r="K246">
        <v>2746</v>
      </c>
      <c r="L246" s="4">
        <v>16.492433699999999</v>
      </c>
      <c r="M246" s="4">
        <v>177.30486656752635</v>
      </c>
      <c r="N246" s="4">
        <v>288.17120291850273</v>
      </c>
      <c r="O246" s="1" t="str">
        <f>HYPERLINK(".\sm_car_250601_0524\sm_car_250601_0524_245_Ca170TrN_MaCNN_ode23t_1.png","figure")</f>
        <v>figure</v>
      </c>
      <c r="P246" t="s">
        <v>15</v>
      </c>
    </row>
    <row r="247" spans="1:16" x14ac:dyDescent="0.25">
      <c r="A247">
        <v>246</v>
      </c>
      <c r="B247">
        <v>170</v>
      </c>
      <c r="C247" t="s">
        <v>45</v>
      </c>
      <c r="D247" t="s">
        <v>35</v>
      </c>
      <c r="E247" t="s">
        <v>49</v>
      </c>
      <c r="F247" t="s">
        <v>19</v>
      </c>
      <c r="G247" t="s">
        <v>20</v>
      </c>
      <c r="H247" t="s">
        <v>21</v>
      </c>
      <c r="I247" t="s">
        <v>85</v>
      </c>
      <c r="J247" t="s">
        <v>23</v>
      </c>
      <c r="K247">
        <v>4327</v>
      </c>
      <c r="L247" s="4">
        <v>70.979329800000002</v>
      </c>
      <c r="M247" s="4">
        <v>2995.8619911236938</v>
      </c>
      <c r="N247" s="4">
        <v>-3063.9173628205749</v>
      </c>
      <c r="O247" s="1" t="str">
        <f>HYPERLINK(".\sm_car_250601_0524\sm_car_250601_0524_246_Ca170TrN_MaCNF_ode23t_1.png","figure")</f>
        <v>figure</v>
      </c>
      <c r="P247" t="s">
        <v>15</v>
      </c>
    </row>
    <row r="248" spans="1:16" x14ac:dyDescent="0.25">
      <c r="A248">
        <v>247</v>
      </c>
      <c r="B248">
        <v>170</v>
      </c>
      <c r="C248" t="s">
        <v>45</v>
      </c>
      <c r="D248" t="s">
        <v>35</v>
      </c>
      <c r="E248" t="s">
        <v>49</v>
      </c>
      <c r="F248" t="s">
        <v>19</v>
      </c>
      <c r="G248" t="s">
        <v>20</v>
      </c>
      <c r="H248" t="s">
        <v>21</v>
      </c>
      <c r="I248" t="s">
        <v>86</v>
      </c>
      <c r="J248" t="s">
        <v>23</v>
      </c>
      <c r="K248">
        <v>2956</v>
      </c>
      <c r="L248" s="4">
        <v>13.875093</v>
      </c>
      <c r="M248" s="4">
        <v>522.31220688507324</v>
      </c>
      <c r="N248" s="4">
        <v>-164.26905516419902</v>
      </c>
      <c r="O248" s="1" t="str">
        <f>HYPERLINK(".\sm_car_250601_0524\sm_car_250601_0524_247_Ca170TrN_MaCSZ_ode23t_1.png","figure")</f>
        <v>figure</v>
      </c>
      <c r="P248" t="s">
        <v>15</v>
      </c>
    </row>
    <row r="249" spans="1:16" x14ac:dyDescent="0.25">
      <c r="A249">
        <v>248</v>
      </c>
      <c r="B249">
        <v>170</v>
      </c>
      <c r="C249" t="s">
        <v>45</v>
      </c>
      <c r="D249" t="s">
        <v>35</v>
      </c>
      <c r="E249" t="s">
        <v>49</v>
      </c>
      <c r="F249" t="s">
        <v>19</v>
      </c>
      <c r="G249" t="s">
        <v>20</v>
      </c>
      <c r="H249" t="s">
        <v>21</v>
      </c>
      <c r="I249" t="s">
        <v>87</v>
      </c>
      <c r="J249" t="s">
        <v>23</v>
      </c>
      <c r="K249">
        <v>5696</v>
      </c>
      <c r="L249" s="4">
        <v>84.5394249</v>
      </c>
      <c r="M249" s="4">
        <v>-8.9467523753277742</v>
      </c>
      <c r="N249" s="4">
        <v>9.7088369082601478E-3</v>
      </c>
      <c r="O249" s="1" t="str">
        <f>HYPERLINK(".\sm_car_250601_0524\sm_car_250601_0524_248_Ca170TrN_MaCSF_ode23t_1.png","figure")</f>
        <v>figure</v>
      </c>
      <c r="P249" t="s">
        <v>15</v>
      </c>
    </row>
    <row r="250" spans="1:16" x14ac:dyDescent="0.25">
      <c r="A250">
        <v>249</v>
      </c>
      <c r="B250">
        <v>170</v>
      </c>
      <c r="C250" t="s">
        <v>45</v>
      </c>
      <c r="D250" t="s">
        <v>35</v>
      </c>
      <c r="E250" t="s">
        <v>49</v>
      </c>
      <c r="F250" t="s">
        <v>19</v>
      </c>
      <c r="G250" t="s">
        <v>20</v>
      </c>
      <c r="H250" t="s">
        <v>21</v>
      </c>
      <c r="I250" t="s">
        <v>88</v>
      </c>
      <c r="J250" t="s">
        <v>23</v>
      </c>
      <c r="K250">
        <v>2121</v>
      </c>
      <c r="L250" s="4">
        <v>16.8394735</v>
      </c>
      <c r="M250" s="4">
        <v>208.9495924565671</v>
      </c>
      <c r="N250" s="4">
        <v>379.20597216030097</v>
      </c>
      <c r="O250" s="1" t="str">
        <f>HYPERLINK(".\sm_car_250601_0524\sm_car_250601_0524_249_Ca170TrN_MaCPU_ode23t_1.png","figure")</f>
        <v>figure</v>
      </c>
      <c r="P250" t="s">
        <v>15</v>
      </c>
    </row>
    <row r="251" spans="1:16" x14ac:dyDescent="0.25">
      <c r="A251">
        <v>250</v>
      </c>
      <c r="B251">
        <v>170</v>
      </c>
      <c r="C251" t="s">
        <v>45</v>
      </c>
      <c r="D251" t="s">
        <v>35</v>
      </c>
      <c r="E251" t="s">
        <v>49</v>
      </c>
      <c r="F251" t="s">
        <v>19</v>
      </c>
      <c r="G251" t="s">
        <v>20</v>
      </c>
      <c r="H251" t="s">
        <v>21</v>
      </c>
      <c r="I251" t="s">
        <v>89</v>
      </c>
      <c r="J251" t="s">
        <v>23</v>
      </c>
      <c r="K251">
        <v>2618</v>
      </c>
      <c r="L251" s="4">
        <v>18.638756300000001</v>
      </c>
      <c r="M251" s="4">
        <v>183.04804445463856</v>
      </c>
      <c r="N251" s="4">
        <v>-170.2184320723245</v>
      </c>
      <c r="O251" s="1" t="str">
        <f>HYPERLINK(".\sm_car_250601_0524\sm_car_250601_0524_250_Ca170TrN_MaCPD_ode23t_1.png","figure")</f>
        <v>figure</v>
      </c>
      <c r="P251" t="s">
        <v>15</v>
      </c>
    </row>
    <row r="252" spans="1:16" x14ac:dyDescent="0.25">
      <c r="A252">
        <v>251</v>
      </c>
      <c r="B252">
        <v>202</v>
      </c>
      <c r="C252" t="s">
        <v>45</v>
      </c>
      <c r="D252" t="s">
        <v>35</v>
      </c>
      <c r="E252" t="s">
        <v>107</v>
      </c>
      <c r="F252" t="s">
        <v>19</v>
      </c>
      <c r="G252" t="s">
        <v>20</v>
      </c>
      <c r="H252" t="s">
        <v>21</v>
      </c>
      <c r="I252" t="s">
        <v>79</v>
      </c>
      <c r="J252" t="s">
        <v>23</v>
      </c>
      <c r="K252">
        <v>1833</v>
      </c>
      <c r="L252" s="4">
        <v>4.3039136999999998</v>
      </c>
      <c r="M252" s="4">
        <v>-5.9998732496390836</v>
      </c>
      <c r="N252" s="4">
        <v>2.8468722228137296E-3</v>
      </c>
      <c r="O252" s="1" t="str">
        <f>HYPERLINK(".\sm_car_250601_0524\sm_car_250601_0524_251_Ca202TrN_MaCMF_ode23t_1.png","figure")</f>
        <v>figure</v>
      </c>
      <c r="P252" t="s">
        <v>15</v>
      </c>
    </row>
    <row r="253" spans="1:16" x14ac:dyDescent="0.25">
      <c r="A253">
        <v>252</v>
      </c>
      <c r="B253">
        <v>202</v>
      </c>
      <c r="C253" t="s">
        <v>45</v>
      </c>
      <c r="D253" t="s">
        <v>35</v>
      </c>
      <c r="E253" t="s">
        <v>107</v>
      </c>
      <c r="F253" t="s">
        <v>19</v>
      </c>
      <c r="G253" t="s">
        <v>20</v>
      </c>
      <c r="H253" t="s">
        <v>21</v>
      </c>
      <c r="I253" t="s">
        <v>80</v>
      </c>
      <c r="J253" t="s">
        <v>23</v>
      </c>
      <c r="K253">
        <v>4520</v>
      </c>
      <c r="L253" s="4">
        <v>25.197559300000002</v>
      </c>
      <c r="M253" s="4">
        <v>-329.50960629737659</v>
      </c>
      <c r="N253" s="4">
        <v>6.0635256556973651</v>
      </c>
      <c r="O253" s="1" t="str">
        <f>HYPERLINK(".\sm_car_250601_0524\sm_car_250601_0524_252_Ca202TrN_MaMPO_ode23t_1.png","figure")</f>
        <v>figure</v>
      </c>
      <c r="P253" t="s">
        <v>15</v>
      </c>
    </row>
    <row r="254" spans="1:16" x14ac:dyDescent="0.25">
      <c r="A254">
        <v>253</v>
      </c>
      <c r="B254">
        <v>202</v>
      </c>
      <c r="C254" t="s">
        <v>45</v>
      </c>
      <c r="D254" t="s">
        <v>35</v>
      </c>
      <c r="E254" t="s">
        <v>107</v>
      </c>
      <c r="F254" t="s">
        <v>19</v>
      </c>
      <c r="G254" t="s">
        <v>20</v>
      </c>
      <c r="H254" t="s">
        <v>21</v>
      </c>
      <c r="I254" t="s">
        <v>81</v>
      </c>
      <c r="J254" t="s">
        <v>23</v>
      </c>
      <c r="K254">
        <v>1186</v>
      </c>
      <c r="L254" s="4">
        <v>7.3039787</v>
      </c>
      <c r="M254" s="4">
        <v>-13.901255139462535</v>
      </c>
      <c r="N254" s="4">
        <v>0.20539839522638204</v>
      </c>
      <c r="O254" s="1" t="str">
        <f>HYPERLINK(".\sm_car_250601_0524\sm_car_250601_0524_253_Ca202TrN_MaMCI_ode23t_1.png","figure")</f>
        <v>figure</v>
      </c>
      <c r="P254" t="s">
        <v>15</v>
      </c>
    </row>
    <row r="255" spans="1:16" x14ac:dyDescent="0.25">
      <c r="A255">
        <v>254</v>
      </c>
      <c r="B255">
        <v>202</v>
      </c>
      <c r="C255" t="s">
        <v>45</v>
      </c>
      <c r="D255" t="s">
        <v>35</v>
      </c>
      <c r="E255" t="s">
        <v>107</v>
      </c>
      <c r="F255" t="s">
        <v>19</v>
      </c>
      <c r="G255" t="s">
        <v>20</v>
      </c>
      <c r="H255" t="s">
        <v>21</v>
      </c>
      <c r="I255" t="s">
        <v>83</v>
      </c>
      <c r="J255" t="s">
        <v>23</v>
      </c>
      <c r="K255">
        <v>3612</v>
      </c>
      <c r="L255" s="4">
        <v>9.3328834000000001</v>
      </c>
      <c r="M255" s="4">
        <v>-5.9848157648670526</v>
      </c>
      <c r="N255" s="4">
        <v>-7.2622555751085602E-3</v>
      </c>
      <c r="O255" s="1" t="str">
        <f>HYPERLINK(".\sm_car_250601_0524\sm_car_250601_0524_254_Ca202TrN_MaCKF_ode23t_1.png","figure")</f>
        <v>figure</v>
      </c>
      <c r="P255" t="s">
        <v>15</v>
      </c>
    </row>
    <row r="256" spans="1:16" x14ac:dyDescent="0.25">
      <c r="A256">
        <v>255</v>
      </c>
      <c r="B256">
        <v>202</v>
      </c>
      <c r="C256" t="s">
        <v>45</v>
      </c>
      <c r="D256" t="s">
        <v>35</v>
      </c>
      <c r="E256" t="s">
        <v>107</v>
      </c>
      <c r="F256" t="s">
        <v>19</v>
      </c>
      <c r="G256" t="s">
        <v>20</v>
      </c>
      <c r="H256" t="s">
        <v>21</v>
      </c>
      <c r="I256" t="s">
        <v>85</v>
      </c>
      <c r="J256" t="s">
        <v>23</v>
      </c>
      <c r="K256">
        <v>10216</v>
      </c>
      <c r="L256" s="4">
        <v>108.9160794</v>
      </c>
      <c r="M256" s="4">
        <v>-8.9983501348666941</v>
      </c>
      <c r="N256" s="4">
        <v>4.7045862021596836E-2</v>
      </c>
      <c r="O256" s="1" t="str">
        <f>HYPERLINK(".\sm_car_250601_0524\sm_car_250601_0524_255_Ca202TrN_MaCNF_ode23t_1.png","figure")</f>
        <v>figure</v>
      </c>
      <c r="P256" t="s">
        <v>15</v>
      </c>
    </row>
    <row r="257" spans="1:16" x14ac:dyDescent="0.25">
      <c r="A257">
        <v>256</v>
      </c>
      <c r="B257">
        <v>202</v>
      </c>
      <c r="C257" t="s">
        <v>45</v>
      </c>
      <c r="D257" t="s">
        <v>35</v>
      </c>
      <c r="E257" t="s">
        <v>107</v>
      </c>
      <c r="F257" t="s">
        <v>19</v>
      </c>
      <c r="G257" t="s">
        <v>20</v>
      </c>
      <c r="H257" t="s">
        <v>21</v>
      </c>
      <c r="I257" t="s">
        <v>87</v>
      </c>
      <c r="J257" t="s">
        <v>23</v>
      </c>
      <c r="K257">
        <v>5700</v>
      </c>
      <c r="L257" s="4">
        <v>46.629086399999998</v>
      </c>
      <c r="M257" s="4">
        <v>-8.9411784928542826</v>
      </c>
      <c r="N257" s="4">
        <v>9.7887336023808249E-3</v>
      </c>
      <c r="O257" s="1" t="str">
        <f>HYPERLINK(".\sm_car_250601_0524\sm_car_250601_0524_256_Ca202TrN_MaCSF_ode23t_1.png","figure")</f>
        <v>figure</v>
      </c>
      <c r="P257" t="s">
        <v>15</v>
      </c>
    </row>
    <row r="258" spans="1:16" x14ac:dyDescent="0.25">
      <c r="A258">
        <v>257</v>
      </c>
      <c r="B258">
        <v>202</v>
      </c>
      <c r="C258" t="s">
        <v>45</v>
      </c>
      <c r="D258" t="s">
        <v>35</v>
      </c>
      <c r="E258" t="s">
        <v>107</v>
      </c>
      <c r="F258" t="s">
        <v>19</v>
      </c>
      <c r="G258" t="s">
        <v>20</v>
      </c>
      <c r="H258" t="s">
        <v>21</v>
      </c>
      <c r="I258" t="s">
        <v>78</v>
      </c>
      <c r="J258" t="s">
        <v>23</v>
      </c>
      <c r="K258">
        <v>5418</v>
      </c>
      <c r="L258" s="4">
        <v>18.5745653</v>
      </c>
      <c r="M258" s="4">
        <v>-5.9983358173080195</v>
      </c>
      <c r="N258" s="4">
        <v>2.8693451140565465E-3</v>
      </c>
      <c r="O258" s="1" t="str">
        <f>HYPERLINK(".\sm_car_250601_0524\sm_car_250601_0524_257_Ca202TrN_MaCMP_ode23t_1.png","figure")</f>
        <v>figure</v>
      </c>
      <c r="P258" t="s">
        <v>15</v>
      </c>
    </row>
    <row r="259" spans="1:16" x14ac:dyDescent="0.25">
      <c r="A259">
        <v>258</v>
      </c>
      <c r="B259">
        <v>202</v>
      </c>
      <c r="C259" t="s">
        <v>45</v>
      </c>
      <c r="D259" t="s">
        <v>35</v>
      </c>
      <c r="E259" t="s">
        <v>107</v>
      </c>
      <c r="F259" t="s">
        <v>19</v>
      </c>
      <c r="G259" t="s">
        <v>20</v>
      </c>
      <c r="H259" t="s">
        <v>21</v>
      </c>
      <c r="I259" t="s">
        <v>82</v>
      </c>
      <c r="J259" t="s">
        <v>23</v>
      </c>
      <c r="K259">
        <v>15100</v>
      </c>
      <c r="L259" s="4">
        <v>54.616596299999998</v>
      </c>
      <c r="M259" s="4">
        <v>-5.9969681406710587</v>
      </c>
      <c r="N259" s="4">
        <v>-8.9665438868697152E-3</v>
      </c>
      <c r="O259" s="1" t="str">
        <f>HYPERLINK(".\sm_car_250601_0524\sm_car_250601_0524_258_Ca202TrN_MaCKY_ode23t_1.png","figure")</f>
        <v>figure</v>
      </c>
      <c r="P259" t="s">
        <v>15</v>
      </c>
    </row>
    <row r="260" spans="1:16" x14ac:dyDescent="0.25">
      <c r="A260">
        <v>259</v>
      </c>
      <c r="B260">
        <v>202</v>
      </c>
      <c r="C260" t="s">
        <v>45</v>
      </c>
      <c r="D260" t="s">
        <v>35</v>
      </c>
      <c r="E260" t="s">
        <v>107</v>
      </c>
      <c r="F260" t="s">
        <v>19</v>
      </c>
      <c r="G260" t="s">
        <v>20</v>
      </c>
      <c r="H260" t="s">
        <v>21</v>
      </c>
      <c r="I260" t="s">
        <v>75</v>
      </c>
      <c r="J260" t="s">
        <v>23</v>
      </c>
      <c r="K260">
        <v>454</v>
      </c>
      <c r="L260" s="4">
        <v>2.5879045999999999</v>
      </c>
      <c r="M260" s="4">
        <v>381.04324619338598</v>
      </c>
      <c r="N260" s="4">
        <v>0.33348601137820216</v>
      </c>
      <c r="O260" s="1" t="str">
        <f>HYPERLINK(".\sm_car_250601_0524\sm_car_250601_0524_259_Ca202TrN_MaCPL_ode23t_1.png","figure")</f>
        <v>figure</v>
      </c>
      <c r="P260" t="s">
        <v>15</v>
      </c>
    </row>
    <row r="261" spans="1:16" x14ac:dyDescent="0.25">
      <c r="A261">
        <v>260</v>
      </c>
      <c r="B261">
        <v>140</v>
      </c>
      <c r="C261" t="s">
        <v>45</v>
      </c>
      <c r="D261" t="s">
        <v>17</v>
      </c>
      <c r="E261" t="s">
        <v>49</v>
      </c>
      <c r="F261" t="s">
        <v>19</v>
      </c>
      <c r="G261" t="s">
        <v>26</v>
      </c>
      <c r="H261" t="s">
        <v>21</v>
      </c>
      <c r="I261" t="s">
        <v>112</v>
      </c>
      <c r="J261" t="s">
        <v>23</v>
      </c>
      <c r="K261">
        <v>2726</v>
      </c>
      <c r="L261" s="4">
        <v>42.132389400000001</v>
      </c>
      <c r="M261" s="4">
        <v>176.27748700155635</v>
      </c>
      <c r="N261" s="4">
        <v>6.9668956358596111E-4</v>
      </c>
      <c r="O261" s="1" t="str">
        <f>HYPERLINK(".\sm_car_250601_0524\sm_car_250601_0524_260_Ca140TrN_MaCRR_ode23t_1.png","figure")</f>
        <v>figure</v>
      </c>
      <c r="P261" t="s">
        <v>15</v>
      </c>
    </row>
    <row r="262" spans="1:16" x14ac:dyDescent="0.25">
      <c r="A262">
        <v>261</v>
      </c>
      <c r="B262">
        <v>189</v>
      </c>
      <c r="C262" t="s">
        <v>45</v>
      </c>
      <c r="D262" t="s">
        <v>17</v>
      </c>
      <c r="E262" t="s">
        <v>107</v>
      </c>
      <c r="F262" t="s">
        <v>19</v>
      </c>
      <c r="G262" t="s">
        <v>26</v>
      </c>
      <c r="H262" t="s">
        <v>21</v>
      </c>
      <c r="I262" t="s">
        <v>112</v>
      </c>
      <c r="J262" t="s">
        <v>23</v>
      </c>
      <c r="K262">
        <v>3344</v>
      </c>
      <c r="L262" s="4">
        <v>38.892849900000002</v>
      </c>
      <c r="M262" s="4">
        <v>176.34212687620521</v>
      </c>
      <c r="N262" s="4">
        <v>7.6507921352538422E-4</v>
      </c>
      <c r="O262" s="1" t="str">
        <f>HYPERLINK(".\sm_car_250601_0524\sm_car_250601_0524_261_Ca189TrN_MaCRR_ode23t_1.png","figure")</f>
        <v>figure</v>
      </c>
      <c r="P262" t="s">
        <v>15</v>
      </c>
    </row>
    <row r="263" spans="1:16" x14ac:dyDescent="0.25">
      <c r="A263">
        <v>262</v>
      </c>
      <c r="B263">
        <v>173</v>
      </c>
      <c r="C263" t="s">
        <v>45</v>
      </c>
      <c r="D263" t="s">
        <v>35</v>
      </c>
      <c r="E263" t="s">
        <v>49</v>
      </c>
      <c r="F263" t="s">
        <v>19</v>
      </c>
      <c r="G263" t="s">
        <v>90</v>
      </c>
      <c r="H263" t="s">
        <v>21</v>
      </c>
      <c r="I263" t="s">
        <v>91</v>
      </c>
      <c r="J263" t="s">
        <v>92</v>
      </c>
      <c r="K263">
        <v>1646</v>
      </c>
      <c r="L263" s="4">
        <v>66.473556200000004</v>
      </c>
      <c r="M263" s="4">
        <v>51.298870179838786</v>
      </c>
      <c r="N263" s="4">
        <v>9.1602747821765505E-3</v>
      </c>
      <c r="O263" s="1" t="str">
        <f>HYPERLINK(".\sm_car_250601_0524\sm_car_250601_0524_262_Ca173TrN_MaDCA_daessc_1.png","figure")</f>
        <v>figure</v>
      </c>
      <c r="P263" t="s">
        <v>15</v>
      </c>
    </row>
    <row r="264" spans="1:16" x14ac:dyDescent="0.25">
      <c r="A264">
        <v>263</v>
      </c>
      <c r="B264">
        <v>173</v>
      </c>
      <c r="C264" t="s">
        <v>45</v>
      </c>
      <c r="D264" t="s">
        <v>35</v>
      </c>
      <c r="E264" t="s">
        <v>49</v>
      </c>
      <c r="F264" t="s">
        <v>19</v>
      </c>
      <c r="G264" t="s">
        <v>90</v>
      </c>
      <c r="H264" t="s">
        <v>21</v>
      </c>
      <c r="I264" t="s">
        <v>93</v>
      </c>
      <c r="J264" t="s">
        <v>92</v>
      </c>
      <c r="K264">
        <v>4008</v>
      </c>
      <c r="L264" s="4">
        <v>98.983619599999997</v>
      </c>
      <c r="M264" s="4">
        <v>980.46444399001393</v>
      </c>
      <c r="N264" s="4">
        <v>0.73513428578853457</v>
      </c>
      <c r="O264" s="1" t="str">
        <f>HYPERLINK(".\sm_car_250601_0524\sm_car_250601_0524_263_Ca173TrN_MaDC1_daessc_1.png","figure")</f>
        <v>figure</v>
      </c>
      <c r="P264" t="s">
        <v>15</v>
      </c>
    </row>
    <row r="265" spans="1:16" x14ac:dyDescent="0.25">
      <c r="A265">
        <v>264</v>
      </c>
      <c r="B265">
        <v>165</v>
      </c>
      <c r="C265" t="s">
        <v>45</v>
      </c>
      <c r="D265" t="s">
        <v>35</v>
      </c>
      <c r="E265" t="s">
        <v>49</v>
      </c>
      <c r="F265" t="s">
        <v>19</v>
      </c>
      <c r="G265" t="s">
        <v>26</v>
      </c>
      <c r="H265" t="s">
        <v>21</v>
      </c>
      <c r="I265" t="s">
        <v>91</v>
      </c>
      <c r="J265" t="s">
        <v>23</v>
      </c>
      <c r="K265">
        <v>339</v>
      </c>
      <c r="L265" s="4">
        <v>3.8873916999999998</v>
      </c>
      <c r="M265" s="4">
        <v>53.509376150093935</v>
      </c>
      <c r="N265" s="4">
        <v>1.0035705277318549E-2</v>
      </c>
      <c r="O265" s="1" t="str">
        <f>HYPERLINK(".\sm_car_250601_0524\sm_car_250601_0524_264_Ca165TrN_MaDCA_ode23t_1.png","figure")</f>
        <v>figure</v>
      </c>
      <c r="P265" t="s">
        <v>15</v>
      </c>
    </row>
    <row r="266" spans="1:16" x14ac:dyDescent="0.25">
      <c r="A266">
        <v>265</v>
      </c>
      <c r="B266">
        <v>165</v>
      </c>
      <c r="C266" t="s">
        <v>45</v>
      </c>
      <c r="D266" t="s">
        <v>35</v>
      </c>
      <c r="E266" t="s">
        <v>49</v>
      </c>
      <c r="F266" t="s">
        <v>19</v>
      </c>
      <c r="G266" t="s">
        <v>26</v>
      </c>
      <c r="H266" t="s">
        <v>21</v>
      </c>
      <c r="I266" t="s">
        <v>93</v>
      </c>
      <c r="J266" t="s">
        <v>23</v>
      </c>
      <c r="K266">
        <v>1207</v>
      </c>
      <c r="L266" s="4">
        <v>8.7779851999999998</v>
      </c>
      <c r="M266" s="4">
        <v>992.654485634754</v>
      </c>
      <c r="N266" s="4">
        <v>0.79549574249739963</v>
      </c>
      <c r="O266" s="1" t="str">
        <f>HYPERLINK(".\sm_car_250601_0524\sm_car_250601_0524_265_Ca165TrN_MaDC1_ode23t_1.png","figure")</f>
        <v>figure</v>
      </c>
      <c r="P266" t="s">
        <v>15</v>
      </c>
    </row>
    <row r="267" spans="1:16" x14ac:dyDescent="0.25">
      <c r="A267">
        <v>266</v>
      </c>
      <c r="B267">
        <v>196</v>
      </c>
      <c r="C267" t="s">
        <v>45</v>
      </c>
      <c r="D267" t="s">
        <v>35</v>
      </c>
      <c r="E267" t="s">
        <v>107</v>
      </c>
      <c r="F267" t="s">
        <v>19</v>
      </c>
      <c r="G267" t="s">
        <v>90</v>
      </c>
      <c r="H267" t="s">
        <v>21</v>
      </c>
      <c r="I267" t="s">
        <v>93</v>
      </c>
      <c r="J267" t="s">
        <v>92</v>
      </c>
      <c r="K267">
        <v>4022</v>
      </c>
      <c r="L267" s="4">
        <v>49.127629599999999</v>
      </c>
      <c r="M267" s="4">
        <v>980.46028757740328</v>
      </c>
      <c r="N267" s="4">
        <v>0.73502674079686858</v>
      </c>
      <c r="O267" s="1" t="str">
        <f>HYPERLINK(".\sm_car_250601_0524\sm_car_250601_0524_266_Ca196TrN_MaDC1_daessc_1.png","figure")</f>
        <v>figure</v>
      </c>
      <c r="P267" t="s">
        <v>15</v>
      </c>
    </row>
    <row r="268" spans="1:16" x14ac:dyDescent="0.25">
      <c r="A268">
        <v>267</v>
      </c>
      <c r="B268">
        <v>179</v>
      </c>
      <c r="C268" t="s">
        <v>45</v>
      </c>
      <c r="D268" t="s">
        <v>57</v>
      </c>
      <c r="E268" t="s">
        <v>18</v>
      </c>
      <c r="F268" t="s">
        <v>19</v>
      </c>
      <c r="G268" t="s">
        <v>26</v>
      </c>
      <c r="H268" t="s">
        <v>21</v>
      </c>
      <c r="I268" t="s">
        <v>22</v>
      </c>
      <c r="J268" t="s">
        <v>23</v>
      </c>
      <c r="K268">
        <v>496</v>
      </c>
      <c r="L268" s="4">
        <v>5.7629412000000002</v>
      </c>
      <c r="M268" s="4">
        <v>147.79865131692094</v>
      </c>
      <c r="N268" s="4">
        <v>9.6248882512430925E-2</v>
      </c>
      <c r="O268" s="1" t="str">
        <f>HYPERLINK(".\sm_car_250601_0524\sm_car_250601_0524_267_Ca179TrN_MaWOT_ode23t_1.png","figure")</f>
        <v>figure</v>
      </c>
      <c r="P268" t="s">
        <v>15</v>
      </c>
    </row>
    <row r="269" spans="1:16" x14ac:dyDescent="0.25">
      <c r="A269">
        <v>268</v>
      </c>
      <c r="B269">
        <v>180</v>
      </c>
      <c r="C269" t="s">
        <v>45</v>
      </c>
      <c r="D269" t="s">
        <v>57</v>
      </c>
      <c r="E269" t="s">
        <v>49</v>
      </c>
      <c r="F269" t="s">
        <v>19</v>
      </c>
      <c r="G269" t="s">
        <v>26</v>
      </c>
      <c r="H269" t="s">
        <v>21</v>
      </c>
      <c r="I269" t="s">
        <v>22</v>
      </c>
      <c r="J269" t="s">
        <v>23</v>
      </c>
      <c r="K269">
        <v>508</v>
      </c>
      <c r="L269" s="4">
        <v>7.6094781999999999</v>
      </c>
      <c r="M269" s="4">
        <v>147.84980069908957</v>
      </c>
      <c r="N269" s="4">
        <v>9.6055684122092713E-2</v>
      </c>
      <c r="O269" s="1" t="str">
        <f>HYPERLINK(".\sm_car_250601_0524\sm_car_250601_0524_268_Ca180TrN_MaWOT_ode23t_1.png","figure")</f>
        <v>figure</v>
      </c>
      <c r="P269" t="s">
        <v>15</v>
      </c>
    </row>
    <row r="270" spans="1:16" x14ac:dyDescent="0.25">
      <c r="A270">
        <v>269</v>
      </c>
      <c r="B270">
        <v>197</v>
      </c>
      <c r="C270" t="s">
        <v>45</v>
      </c>
      <c r="D270" t="s">
        <v>57</v>
      </c>
      <c r="E270" t="s">
        <v>107</v>
      </c>
      <c r="F270" t="s">
        <v>19</v>
      </c>
      <c r="G270" t="s">
        <v>26</v>
      </c>
      <c r="H270" t="s">
        <v>21</v>
      </c>
      <c r="I270" t="s">
        <v>22</v>
      </c>
      <c r="J270" t="s">
        <v>23</v>
      </c>
      <c r="K270">
        <v>447</v>
      </c>
      <c r="L270" s="4">
        <v>2.2449476000000002</v>
      </c>
      <c r="M270" s="4">
        <v>147.84351449980025</v>
      </c>
      <c r="N270" s="4">
        <v>9.6075589788014074E-2</v>
      </c>
      <c r="O270" s="1" t="str">
        <f>HYPERLINK(".\sm_car_250601_0524\sm_car_250601_0524_269_Ca197TrN_MaWOT_ode23t_1.png","figure")</f>
        <v>figure</v>
      </c>
      <c r="P270" t="s">
        <v>15</v>
      </c>
    </row>
    <row r="271" spans="1:16" x14ac:dyDescent="0.25">
      <c r="A271">
        <v>270</v>
      </c>
      <c r="B271">
        <v>182</v>
      </c>
      <c r="C271" t="s">
        <v>45</v>
      </c>
      <c r="D271" t="s">
        <v>17</v>
      </c>
      <c r="E271" t="s">
        <v>49</v>
      </c>
      <c r="F271" t="s">
        <v>19</v>
      </c>
      <c r="G271" t="s">
        <v>26</v>
      </c>
      <c r="H271" t="s">
        <v>21</v>
      </c>
      <c r="I271" t="s">
        <v>64</v>
      </c>
      <c r="J271" t="s">
        <v>23</v>
      </c>
      <c r="K271">
        <v>425</v>
      </c>
      <c r="L271" s="4">
        <v>13.3622134</v>
      </c>
      <c r="M271" s="4">
        <v>62.247790880992</v>
      </c>
      <c r="N271" s="4">
        <v>-24.541572966824855</v>
      </c>
      <c r="O271" s="1" t="str">
        <f>HYPERLINK(".\sm_car_250601_0524\sm_car_250601_0524_270_Ca182TrN_MaTUR_ode23t_1.png","figure")</f>
        <v>figure</v>
      </c>
      <c r="P271" t="s">
        <v>15</v>
      </c>
    </row>
    <row r="272" spans="1:16" x14ac:dyDescent="0.25">
      <c r="A272">
        <v>271</v>
      </c>
      <c r="B272">
        <v>203</v>
      </c>
      <c r="C272" t="s">
        <v>45</v>
      </c>
      <c r="D272" t="s">
        <v>17</v>
      </c>
      <c r="E272" t="s">
        <v>107</v>
      </c>
      <c r="F272" t="s">
        <v>19</v>
      </c>
      <c r="G272" t="s">
        <v>26</v>
      </c>
      <c r="H272" t="s">
        <v>21</v>
      </c>
      <c r="I272" t="s">
        <v>64</v>
      </c>
      <c r="J272" t="s">
        <v>23</v>
      </c>
      <c r="K272">
        <v>368</v>
      </c>
      <c r="L272" s="4">
        <v>4.6914731999999999</v>
      </c>
      <c r="M272" s="4">
        <v>62.254814014817171</v>
      </c>
      <c r="N272" s="4">
        <v>-24.556623537306013</v>
      </c>
      <c r="O272" s="1" t="str">
        <f>HYPERLINK(".\sm_car_250601_0524\sm_car_250601_0524_271_Ca203TrN_MaTUR_ode23t_1.png","figure")</f>
        <v>figure</v>
      </c>
      <c r="P272" t="s">
        <v>15</v>
      </c>
    </row>
    <row r="273" spans="1:16" x14ac:dyDescent="0.25">
      <c r="A273">
        <v>272</v>
      </c>
      <c r="B273">
        <v>185</v>
      </c>
      <c r="C273" t="s">
        <v>45</v>
      </c>
      <c r="D273" t="s">
        <v>17</v>
      </c>
      <c r="E273" t="s">
        <v>18</v>
      </c>
      <c r="F273" t="s">
        <v>19</v>
      </c>
      <c r="G273" t="s">
        <v>26</v>
      </c>
      <c r="H273" t="s">
        <v>21</v>
      </c>
      <c r="I273" t="s">
        <v>64</v>
      </c>
      <c r="J273" t="s">
        <v>23</v>
      </c>
      <c r="K273">
        <v>515</v>
      </c>
      <c r="L273" s="4">
        <v>22.721608100000001</v>
      </c>
      <c r="M273" s="4">
        <v>112.7068315345371</v>
      </c>
      <c r="N273" s="4">
        <v>-79.241208826314192</v>
      </c>
      <c r="O273" s="1" t="str">
        <f>HYPERLINK(".\sm_car_250601_0524\sm_car_250601_0524_272_Ca185TrN_MaTUR_ode23t_1.png","figure")</f>
        <v>figure</v>
      </c>
      <c r="P273" t="s">
        <v>15</v>
      </c>
    </row>
    <row r="274" spans="1:16" x14ac:dyDescent="0.25">
      <c r="A274">
        <v>273</v>
      </c>
      <c r="B274">
        <v>188</v>
      </c>
      <c r="C274" t="s">
        <v>45</v>
      </c>
      <c r="D274" t="s">
        <v>113</v>
      </c>
      <c r="E274" t="s">
        <v>49</v>
      </c>
      <c r="F274" t="s">
        <v>19</v>
      </c>
      <c r="G274" t="s">
        <v>26</v>
      </c>
      <c r="H274" t="s">
        <v>21</v>
      </c>
      <c r="I274" t="s">
        <v>64</v>
      </c>
      <c r="J274" t="s">
        <v>23</v>
      </c>
      <c r="K274">
        <v>538</v>
      </c>
      <c r="L274" s="4">
        <v>7.6679719999999998</v>
      </c>
      <c r="M274" s="4">
        <v>140.60859017668929</v>
      </c>
      <c r="N274" s="4">
        <v>-71.740086664623803</v>
      </c>
      <c r="O274" s="1" t="str">
        <f>HYPERLINK(".\sm_car_250601_0524\sm_car_250601_0524_273_Ca188TrN_MaTUR_ode23t_1.png","figure")</f>
        <v>figure</v>
      </c>
      <c r="P274" t="s">
        <v>15</v>
      </c>
    </row>
    <row r="275" spans="1:16" x14ac:dyDescent="0.25">
      <c r="A275">
        <v>274</v>
      </c>
      <c r="B275" t="s">
        <v>94</v>
      </c>
      <c r="C275" t="s">
        <v>95</v>
      </c>
      <c r="D275" t="s">
        <v>35</v>
      </c>
      <c r="E275" t="s">
        <v>18</v>
      </c>
      <c r="F275" t="s">
        <v>19</v>
      </c>
      <c r="G275" t="s">
        <v>96</v>
      </c>
      <c r="H275" t="s">
        <v>21</v>
      </c>
      <c r="I275" t="s">
        <v>22</v>
      </c>
      <c r="J275" t="s">
        <v>23</v>
      </c>
      <c r="K275">
        <v>441</v>
      </c>
      <c r="L275" s="4">
        <v>14.0160445</v>
      </c>
      <c r="M275" s="4">
        <v>79.220922629445354</v>
      </c>
      <c r="N275" s="4">
        <v>-0.33365900389598846</v>
      </c>
      <c r="O275" s="1" t="str">
        <f>HYPERLINK(".\sm_car_250601_0524\sm_car_Axle3_250601_0524_274_CaAxle3_000TrN_MaWOT_ode23t_1.png","figure")</f>
        <v>figure</v>
      </c>
      <c r="P275" t="s">
        <v>15</v>
      </c>
    </row>
    <row r="276" spans="1:16" x14ac:dyDescent="0.25">
      <c r="A276">
        <v>275</v>
      </c>
      <c r="B276" t="s">
        <v>99</v>
      </c>
      <c r="C276" t="s">
        <v>100</v>
      </c>
      <c r="D276" t="s">
        <v>35</v>
      </c>
      <c r="E276" t="s">
        <v>18</v>
      </c>
      <c r="F276" t="s">
        <v>19</v>
      </c>
      <c r="G276" t="s">
        <v>96</v>
      </c>
      <c r="H276" t="s">
        <v>21</v>
      </c>
      <c r="I276" t="s">
        <v>22</v>
      </c>
      <c r="J276" t="s">
        <v>23</v>
      </c>
      <c r="K276">
        <v>476</v>
      </c>
      <c r="L276" s="4">
        <v>12.775450299999999</v>
      </c>
      <c r="M276" s="4">
        <v>68.926561662831958</v>
      </c>
      <c r="N276" s="4">
        <v>8.3279586275803619E-2</v>
      </c>
      <c r="O276" s="1" t="str">
        <f>HYPERLINK(".\sm_car_250601_0524\sm_car_Axle3_250601_0524_275_CaAxle3_008TrN_MaWOT_ode23t_1.png","figure")</f>
        <v>figure</v>
      </c>
      <c r="P276" t="s">
        <v>15</v>
      </c>
    </row>
    <row r="277" spans="1:16" x14ac:dyDescent="0.25">
      <c r="A277">
        <v>276</v>
      </c>
      <c r="B277" t="s">
        <v>97</v>
      </c>
      <c r="C277" t="s">
        <v>95</v>
      </c>
      <c r="D277" t="s">
        <v>35</v>
      </c>
      <c r="E277" t="s">
        <v>49</v>
      </c>
      <c r="F277" t="s">
        <v>19</v>
      </c>
      <c r="G277" t="s">
        <v>98</v>
      </c>
      <c r="H277" t="s">
        <v>21</v>
      </c>
      <c r="I277" t="s">
        <v>22</v>
      </c>
      <c r="J277" t="s">
        <v>23</v>
      </c>
      <c r="K277">
        <v>426</v>
      </c>
      <c r="L277" s="4">
        <v>13.572889099999999</v>
      </c>
      <c r="M277" s="4">
        <v>79.265706861750871</v>
      </c>
      <c r="N277" s="4">
        <v>-0.31323883463624247</v>
      </c>
      <c r="O277" s="1" t="str">
        <f>HYPERLINK(".\sm_car_250601_0524\sm_car_Axle3_250601_0524_276_CaAxle3_003TrN_MaWOT_ode23t_1.png","figure")</f>
        <v>figure</v>
      </c>
      <c r="P277" t="s">
        <v>15</v>
      </c>
    </row>
    <row r="278" spans="1:16" x14ac:dyDescent="0.25">
      <c r="A278">
        <v>277</v>
      </c>
      <c r="B278" t="s">
        <v>114</v>
      </c>
      <c r="C278" t="s">
        <v>95</v>
      </c>
      <c r="D278" t="s">
        <v>35</v>
      </c>
      <c r="E278" t="s">
        <v>107</v>
      </c>
      <c r="F278" t="s">
        <v>19</v>
      </c>
      <c r="G278" t="s">
        <v>98</v>
      </c>
      <c r="H278" t="s">
        <v>21</v>
      </c>
      <c r="I278" t="s">
        <v>22</v>
      </c>
      <c r="J278" t="s">
        <v>23</v>
      </c>
      <c r="K278">
        <v>427</v>
      </c>
      <c r="L278" s="4">
        <v>2.1590785000000001</v>
      </c>
      <c r="M278" s="4">
        <v>80.145520056216895</v>
      </c>
      <c r="N278" s="4">
        <v>-0.31945069771391377</v>
      </c>
      <c r="O278" s="1" t="str">
        <f>HYPERLINK(".\sm_car_250601_0524\sm_car_Axle3_250601_0524_277_CaAxle3_017TrN_MaWOT_ode23t_1.png","figure")</f>
        <v>figure</v>
      </c>
      <c r="P278" t="s">
        <v>15</v>
      </c>
    </row>
    <row r="279" spans="1:16" x14ac:dyDescent="0.25">
      <c r="A279">
        <v>278</v>
      </c>
      <c r="B279" t="s">
        <v>101</v>
      </c>
      <c r="C279" t="s">
        <v>100</v>
      </c>
      <c r="D279" t="s">
        <v>35</v>
      </c>
      <c r="E279" t="s">
        <v>49</v>
      </c>
      <c r="F279" t="s">
        <v>19</v>
      </c>
      <c r="G279" t="s">
        <v>96</v>
      </c>
      <c r="H279" t="s">
        <v>102</v>
      </c>
      <c r="I279" t="s">
        <v>22</v>
      </c>
      <c r="J279" t="s">
        <v>23</v>
      </c>
      <c r="K279">
        <v>389</v>
      </c>
      <c r="L279" s="4">
        <v>34.504472499999999</v>
      </c>
      <c r="M279" s="4">
        <v>23.441197642076311</v>
      </c>
      <c r="N279" s="4">
        <v>2.5338231217298043E-3</v>
      </c>
      <c r="O279" s="1" t="str">
        <f>HYPERLINK(".\sm_car_250601_0524\sm_car_Axle3_250601_0524_278_CaAxle3_010TrK_MaWOT_ode23t_1.png","figure")</f>
        <v>figure</v>
      </c>
      <c r="P279" t="s">
        <v>15</v>
      </c>
    </row>
    <row r="280" spans="1:16" x14ac:dyDescent="0.25">
      <c r="A280">
        <v>279</v>
      </c>
      <c r="B280" t="s">
        <v>101</v>
      </c>
      <c r="C280" t="s">
        <v>100</v>
      </c>
      <c r="D280" t="s">
        <v>35</v>
      </c>
      <c r="E280" t="s">
        <v>49</v>
      </c>
      <c r="F280" t="s">
        <v>19</v>
      </c>
      <c r="G280" t="s">
        <v>96</v>
      </c>
      <c r="H280" t="s">
        <v>102</v>
      </c>
      <c r="I280" t="s">
        <v>22</v>
      </c>
      <c r="J280" t="s">
        <v>23</v>
      </c>
      <c r="K280">
        <v>408</v>
      </c>
      <c r="L280" s="4">
        <v>32.811312200000003</v>
      </c>
      <c r="M280" s="4">
        <v>23.429999926382738</v>
      </c>
      <c r="N280" s="4">
        <v>2.5300522592802965E-3</v>
      </c>
      <c r="O280" s="1" t="str">
        <f>HYPERLINK(".\sm_car_250601_0524\sm_car_Axle3_250601_0524_279_CaAxle3_010TrK_MaWOT_ode23t_1.png","figure")</f>
        <v>figure</v>
      </c>
      <c r="P280" t="s">
        <v>15</v>
      </c>
    </row>
    <row r="281" spans="1:16" x14ac:dyDescent="0.25">
      <c r="A281">
        <v>280</v>
      </c>
      <c r="B281" t="s">
        <v>115</v>
      </c>
      <c r="C281" t="s">
        <v>100</v>
      </c>
      <c r="D281" t="s">
        <v>35</v>
      </c>
      <c r="E281" t="s">
        <v>107</v>
      </c>
      <c r="F281" t="s">
        <v>19</v>
      </c>
      <c r="G281" t="s">
        <v>96</v>
      </c>
      <c r="H281" t="s">
        <v>102</v>
      </c>
      <c r="I281" t="s">
        <v>22</v>
      </c>
      <c r="J281" t="s">
        <v>23</v>
      </c>
      <c r="K281">
        <v>398</v>
      </c>
      <c r="L281" s="4">
        <v>2.7672691</v>
      </c>
      <c r="M281" s="4">
        <v>26.938643279552089</v>
      </c>
      <c r="N281" s="4">
        <v>3.6338408759568099E-3</v>
      </c>
      <c r="O281" s="1" t="str">
        <f>HYPERLINK(".\sm_car_250601_0524\sm_car_Axle3_250601_0524_280_CaAxle3_019TrK_MaWOT_ode23t_1.png","figure")</f>
        <v>figure</v>
      </c>
      <c r="P281" t="s">
        <v>15</v>
      </c>
    </row>
    <row r="282" spans="1:16" x14ac:dyDescent="0.25">
      <c r="A282">
        <v>281</v>
      </c>
      <c r="B282" t="s">
        <v>115</v>
      </c>
      <c r="C282" t="s">
        <v>100</v>
      </c>
      <c r="D282" t="s">
        <v>35</v>
      </c>
      <c r="E282" t="s">
        <v>107</v>
      </c>
      <c r="F282" t="s">
        <v>19</v>
      </c>
      <c r="G282" t="s">
        <v>96</v>
      </c>
      <c r="H282" t="s">
        <v>102</v>
      </c>
      <c r="I282" t="s">
        <v>22</v>
      </c>
      <c r="J282" t="s">
        <v>23</v>
      </c>
      <c r="K282">
        <v>407</v>
      </c>
      <c r="L282" s="4">
        <v>3.5108131</v>
      </c>
      <c r="M282" s="4">
        <v>26.922858662192844</v>
      </c>
      <c r="N282" s="4">
        <v>3.6250774264289382E-3</v>
      </c>
      <c r="O282" s="1" t="str">
        <f>HYPERLINK(".\sm_car_250601_0524\sm_car_Axle3_250601_0524_281_CaAxle3_019TrK_MaWOT_ode23t_1.png","figure")</f>
        <v>figure</v>
      </c>
      <c r="P282" t="s">
        <v>15</v>
      </c>
    </row>
    <row r="283" spans="1:16" x14ac:dyDescent="0.25">
      <c r="A283">
        <v>282</v>
      </c>
      <c r="B283" t="s">
        <v>115</v>
      </c>
      <c r="C283" t="s">
        <v>100</v>
      </c>
      <c r="D283" t="s">
        <v>35</v>
      </c>
      <c r="E283" t="s">
        <v>107</v>
      </c>
      <c r="F283" t="s">
        <v>19</v>
      </c>
      <c r="G283" t="s">
        <v>96</v>
      </c>
      <c r="H283" t="s">
        <v>102</v>
      </c>
      <c r="I283" t="s">
        <v>53</v>
      </c>
      <c r="J283" t="s">
        <v>23</v>
      </c>
      <c r="K283">
        <v>699</v>
      </c>
      <c r="L283" s="4">
        <v>4.3572104999999999</v>
      </c>
      <c r="M283" s="4">
        <v>253.8556991047754</v>
      </c>
      <c r="N283" s="4">
        <v>-0.1003578589398777</v>
      </c>
      <c r="O283" s="1" t="str">
        <f>HYPERLINK(".\sm_car_250601_0524\sm_car_Axle3_250601_0524_282_CaAxle3_019TrK_MaDLC_ode23t_1.png","figure")</f>
        <v>figure</v>
      </c>
      <c r="P283" t="s">
        <v>15</v>
      </c>
    </row>
    <row r="284" spans="1:16" x14ac:dyDescent="0.25">
      <c r="A284">
        <v>283</v>
      </c>
      <c r="B284" t="s">
        <v>115</v>
      </c>
      <c r="C284" t="s">
        <v>100</v>
      </c>
      <c r="D284" t="s">
        <v>35</v>
      </c>
      <c r="E284" t="s">
        <v>107</v>
      </c>
      <c r="F284" t="s">
        <v>19</v>
      </c>
      <c r="G284" t="s">
        <v>96</v>
      </c>
      <c r="H284" t="s">
        <v>102</v>
      </c>
      <c r="I284" t="s">
        <v>53</v>
      </c>
      <c r="J284" t="s">
        <v>23</v>
      </c>
      <c r="K284">
        <v>792</v>
      </c>
      <c r="L284" s="4">
        <v>4.6467004000000003</v>
      </c>
      <c r="M284" s="4">
        <v>253.88657778432434</v>
      </c>
      <c r="N284" s="4">
        <v>-9.979001224493933E-2</v>
      </c>
      <c r="O284" s="1" t="str">
        <f>HYPERLINK(".\sm_car_250601_0524\sm_car_Axle3_250601_0524_283_CaAxle3_019TrK_MaDLC_ode23t_1.png","figure")</f>
        <v>figure</v>
      </c>
      <c r="P284" t="s">
        <v>15</v>
      </c>
    </row>
    <row r="285" spans="1:16" x14ac:dyDescent="0.25">
      <c r="A285">
        <v>284</v>
      </c>
      <c r="B285" t="s">
        <v>115</v>
      </c>
      <c r="C285" t="s">
        <v>100</v>
      </c>
      <c r="D285" t="s">
        <v>35</v>
      </c>
      <c r="E285" t="s">
        <v>107</v>
      </c>
      <c r="F285" t="s">
        <v>19</v>
      </c>
      <c r="G285" t="s">
        <v>96</v>
      </c>
      <c r="H285" t="s">
        <v>102</v>
      </c>
      <c r="I285" t="s">
        <v>53</v>
      </c>
      <c r="J285" t="s">
        <v>23</v>
      </c>
      <c r="K285">
        <v>685</v>
      </c>
      <c r="L285" s="4">
        <v>4.9831450999999998</v>
      </c>
      <c r="M285" s="4">
        <v>253.29241354191851</v>
      </c>
      <c r="N285" s="4">
        <v>-9.7803536102109234E-2</v>
      </c>
      <c r="O285" s="1" t="str">
        <f>HYPERLINK(".\sm_car_250601_0524\sm_car_Axle3_250601_0524_284_CaAxle3_019TrK_MaDLC_ode23t_1.png","figure")</f>
        <v>figure</v>
      </c>
      <c r="P285" t="s">
        <v>15</v>
      </c>
    </row>
    <row r="286" spans="1:16" x14ac:dyDescent="0.25">
      <c r="A286">
        <v>285</v>
      </c>
      <c r="B286" t="s">
        <v>115</v>
      </c>
      <c r="C286" t="s">
        <v>100</v>
      </c>
      <c r="D286" t="s">
        <v>35</v>
      </c>
      <c r="E286" t="s">
        <v>107</v>
      </c>
      <c r="F286" t="s">
        <v>19</v>
      </c>
      <c r="G286" t="s">
        <v>96</v>
      </c>
      <c r="H286" t="s">
        <v>102</v>
      </c>
      <c r="I286" t="s">
        <v>53</v>
      </c>
      <c r="J286" t="s">
        <v>23</v>
      </c>
      <c r="K286">
        <v>927</v>
      </c>
      <c r="L286" s="4">
        <v>5.2460417000000001</v>
      </c>
      <c r="M286" s="4">
        <v>253.5116829518314</v>
      </c>
      <c r="N286" s="4">
        <v>-9.2942379766003391E-2</v>
      </c>
      <c r="O286" s="1" t="str">
        <f>HYPERLINK(".\sm_car_250601_0524\sm_car_Axle3_250601_0524_285_CaAxle3_019TrK_MaDLC_ode23t_1.png","figure")</f>
        <v>figure</v>
      </c>
      <c r="P286" t="s">
        <v>15</v>
      </c>
    </row>
    <row r="287" spans="1:16" x14ac:dyDescent="0.25">
      <c r="A287">
        <v>286</v>
      </c>
      <c r="B287" t="s">
        <v>138</v>
      </c>
      <c r="C287" t="s">
        <v>139</v>
      </c>
      <c r="D287" t="s">
        <v>35</v>
      </c>
      <c r="E287" t="s">
        <v>49</v>
      </c>
      <c r="F287" t="s">
        <v>19</v>
      </c>
      <c r="G287" t="s">
        <v>96</v>
      </c>
      <c r="H287" t="s">
        <v>102</v>
      </c>
      <c r="I287" t="s">
        <v>22</v>
      </c>
      <c r="J287" t="s">
        <v>23</v>
      </c>
      <c r="K287">
        <v>343</v>
      </c>
      <c r="L287" s="4">
        <v>2.9190380999999999</v>
      </c>
      <c r="M287" s="4">
        <v>85.288195958658449</v>
      </c>
      <c r="N287" s="4">
        <v>7.0137742407776954E-2</v>
      </c>
      <c r="O287" s="1" t="str">
        <f>HYPERLINK(".\sm_car_250601_0524\sm_car_Axle3_250601_0524_286_CaAxle3_023TrK_MaWOT_ode23t_1.png","figure")</f>
        <v>figure</v>
      </c>
      <c r="P287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940E-6E58-4EB5-BA59-0D87B25D3EA0}">
  <dimension ref="A1:Y287"/>
  <sheetViews>
    <sheetView zoomScaleNormal="100" workbookViewId="0">
      <selection activeCell="V1" sqref="V1:Y1048576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s="2" t="s">
        <v>142</v>
      </c>
    </row>
    <row r="2" spans="1:25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423</v>
      </c>
      <c r="L2">
        <v>7.2315772999999997</v>
      </c>
      <c r="M2">
        <v>231.2177424405688</v>
      </c>
      <c r="N2">
        <v>-4.8384781673831328E-3</v>
      </c>
      <c r="O2" s="1" t="str">
        <f>HYPERLINK(".\sm_car_250531_2225\sm_car_250531_2225_001_Ca000TrN_MaWOT_ode23t.png","figure")</f>
        <v>figure</v>
      </c>
      <c r="P2" t="s">
        <v>15</v>
      </c>
      <c r="R2" s="2" t="s">
        <v>116</v>
      </c>
      <c r="V2">
        <f>K2-'2022a_250601_0524'!K2</f>
        <v>0</v>
      </c>
      <c r="W2" s="11">
        <f>V2/'2022a_250601_0524'!K2</f>
        <v>0</v>
      </c>
      <c r="X2">
        <f>L2-'2022a_250601_0524'!L2</f>
        <v>0.52589099999999966</v>
      </c>
      <c r="Y2" s="11">
        <f>X2/'2022a_250601_0524'!L2</f>
        <v>7.8424634925138043E-2</v>
      </c>
    </row>
    <row r="3" spans="1:25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24</v>
      </c>
      <c r="J3" t="s">
        <v>23</v>
      </c>
      <c r="K3">
        <v>533</v>
      </c>
      <c r="L3">
        <v>7.6079540999999997</v>
      </c>
      <c r="M3">
        <v>71.236125327442352</v>
      </c>
      <c r="N3">
        <v>-0.53981194400981525</v>
      </c>
      <c r="O3" s="1" t="str">
        <f>HYPERLINK(".\sm_car_250531_2225\sm_car_250531_2225_002_Ca000TrN_MaLSS_ode23t.png","figure")</f>
        <v>figure</v>
      </c>
      <c r="P3" t="s">
        <v>15</v>
      </c>
      <c r="R3" s="2" t="s">
        <v>117</v>
      </c>
      <c r="V3">
        <f>K3-'2022a_250601_0524'!K3</f>
        <v>0</v>
      </c>
      <c r="W3" s="11">
        <f>V3/'2022a_250601_0524'!K3</f>
        <v>0</v>
      </c>
      <c r="X3">
        <f>L3-'2022a_250601_0524'!L3</f>
        <v>0.35022209999999987</v>
      </c>
      <c r="Y3" s="11">
        <f>X3/'2022a_250601_0524'!L3</f>
        <v>4.8255033390596384E-2</v>
      </c>
    </row>
    <row r="4" spans="1:25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21</v>
      </c>
      <c r="I4" t="s">
        <v>22</v>
      </c>
      <c r="J4" t="s">
        <v>23</v>
      </c>
      <c r="K4">
        <v>421</v>
      </c>
      <c r="L4">
        <v>7.2703644000000001</v>
      </c>
      <c r="M4">
        <v>230.31073710127711</v>
      </c>
      <c r="N4">
        <v>-1.2513166869400516E-2</v>
      </c>
      <c r="O4" s="1" t="str">
        <f>HYPERLINK(".\sm_car_250531_2225\sm_car_250531_2225_003_Ca001TrN_MaWOT_ode23t.png","figure")</f>
        <v>figure</v>
      </c>
      <c r="P4" t="s">
        <v>15</v>
      </c>
      <c r="R4" s="2" t="s">
        <v>118</v>
      </c>
      <c r="V4">
        <f>K4-'2022a_250601_0524'!K4</f>
        <v>0</v>
      </c>
      <c r="W4" s="11">
        <f>V4/'2022a_250601_0524'!K4</f>
        <v>0</v>
      </c>
      <c r="X4">
        <f>L4-'2022a_250601_0524'!L4</f>
        <v>9.6471000000000195E-2</v>
      </c>
      <c r="Y4" s="11">
        <f>X4/'2022a_250601_0524'!L4</f>
        <v>1.3447509548998902E-2</v>
      </c>
    </row>
    <row r="5" spans="1:25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25</v>
      </c>
      <c r="H5" t="s">
        <v>21</v>
      </c>
      <c r="I5" t="s">
        <v>24</v>
      </c>
      <c r="J5" t="s">
        <v>23</v>
      </c>
      <c r="K5">
        <v>522</v>
      </c>
      <c r="L5">
        <v>8.1872918000000006</v>
      </c>
      <c r="M5">
        <v>70.961988299975928</v>
      </c>
      <c r="N5">
        <v>-0.53536836924365883</v>
      </c>
      <c r="O5" s="1" t="str">
        <f>HYPERLINK(".\sm_car_250531_2225\sm_car_250531_2225_004_Ca001TrN_MaLSS_ode23t.png","figure")</f>
        <v>figure</v>
      </c>
      <c r="P5" t="s">
        <v>15</v>
      </c>
      <c r="R5" t="s">
        <v>143</v>
      </c>
      <c r="V5">
        <f>K5-'2022a_250601_0524'!K5</f>
        <v>0</v>
      </c>
      <c r="W5" s="11">
        <f>V5/'2022a_250601_0524'!K5</f>
        <v>0</v>
      </c>
      <c r="X5">
        <f>L5-'2022a_250601_0524'!L5</f>
        <v>0.23229370000000049</v>
      </c>
      <c r="Y5" s="11">
        <f>X5/'2022a_250601_0524'!L5</f>
        <v>2.9200974919151832E-2</v>
      </c>
    </row>
    <row r="6" spans="1:25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26</v>
      </c>
      <c r="H6" t="s">
        <v>21</v>
      </c>
      <c r="I6" t="s">
        <v>22</v>
      </c>
      <c r="J6" t="s">
        <v>23</v>
      </c>
      <c r="K6">
        <v>431</v>
      </c>
      <c r="L6">
        <v>10.6463258</v>
      </c>
      <c r="M6">
        <v>230.39353132088564</v>
      </c>
      <c r="N6">
        <v>5.3633281204426446E-2</v>
      </c>
      <c r="O6" s="1" t="str">
        <f>HYPERLINK(".\sm_car_250531_2225\sm_car_250531_2225_005_Ca002TrN_MaWOT_ode23t.png","figure")</f>
        <v>figure</v>
      </c>
      <c r="P6" t="s">
        <v>15</v>
      </c>
      <c r="V6">
        <f>K6-'2022a_250601_0524'!K6</f>
        <v>0</v>
      </c>
      <c r="W6" s="11">
        <f>V6/'2022a_250601_0524'!K6</f>
        <v>0</v>
      </c>
      <c r="X6">
        <f>L6-'2022a_250601_0524'!L6</f>
        <v>0.39841359999999959</v>
      </c>
      <c r="Y6" s="11">
        <f>X6/'2022a_250601_0524'!L6</f>
        <v>3.887753839264934E-2</v>
      </c>
    </row>
    <row r="7" spans="1:25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26</v>
      </c>
      <c r="H7" t="s">
        <v>21</v>
      </c>
      <c r="I7" t="s">
        <v>24</v>
      </c>
      <c r="J7" t="s">
        <v>23</v>
      </c>
      <c r="K7">
        <v>526</v>
      </c>
      <c r="L7">
        <v>11.0606691</v>
      </c>
      <c r="M7">
        <v>70.960569189103424</v>
      </c>
      <c r="N7">
        <v>-0.52803158816223184</v>
      </c>
      <c r="O7" s="1" t="str">
        <f>HYPERLINK(".\sm_car_250531_2225\sm_car_250531_2225_006_Ca002TrN_MaLSS_ode23t.png","figure")</f>
        <v>figure</v>
      </c>
      <c r="P7" t="s">
        <v>15</v>
      </c>
      <c r="V7">
        <f>K7-'2022a_250601_0524'!K7</f>
        <v>0</v>
      </c>
      <c r="W7" s="11">
        <f>V7/'2022a_250601_0524'!K7</f>
        <v>0</v>
      </c>
      <c r="X7">
        <f>L7-'2022a_250601_0524'!L7</f>
        <v>9.553660000000086E-2</v>
      </c>
      <c r="Y7" s="11">
        <f>X7/'2022a_250601_0524'!L7</f>
        <v>8.7127629328693345E-3</v>
      </c>
    </row>
    <row r="8" spans="1:25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27</v>
      </c>
      <c r="H8" t="s">
        <v>21</v>
      </c>
      <c r="I8" t="s">
        <v>22</v>
      </c>
      <c r="J8" t="s">
        <v>23</v>
      </c>
      <c r="K8">
        <v>495</v>
      </c>
      <c r="L8">
        <v>12.174690099999999</v>
      </c>
      <c r="M8">
        <v>229.89357544752883</v>
      </c>
      <c r="N8">
        <v>6.2849007069600255E-2</v>
      </c>
      <c r="O8" s="1" t="str">
        <f>HYPERLINK(".\sm_car_250531_2225\sm_car_250531_2225_007_Ca003TrN_MaWOT_ode23t.png","figure")</f>
        <v>figure</v>
      </c>
      <c r="P8" t="s">
        <v>15</v>
      </c>
      <c r="V8">
        <f>K8-'2022a_250601_0524'!K8</f>
        <v>0</v>
      </c>
      <c r="W8" s="11">
        <f>V8/'2022a_250601_0524'!K8</f>
        <v>0</v>
      </c>
      <c r="X8">
        <f>L8-'2022a_250601_0524'!L8</f>
        <v>0.37959530000000008</v>
      </c>
      <c r="Y8" s="11">
        <f>X8/'2022a_250601_0524'!L8</f>
        <v>3.2182471310022887E-2</v>
      </c>
    </row>
    <row r="9" spans="1:25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27</v>
      </c>
      <c r="H9" t="s">
        <v>21</v>
      </c>
      <c r="I9" t="s">
        <v>24</v>
      </c>
      <c r="J9" t="s">
        <v>23</v>
      </c>
      <c r="K9">
        <v>547</v>
      </c>
      <c r="L9">
        <v>11.916495400000001</v>
      </c>
      <c r="M9">
        <v>70.819478815268269</v>
      </c>
      <c r="N9">
        <v>-0.52802651899205089</v>
      </c>
      <c r="O9" s="1" t="str">
        <f>HYPERLINK(".\sm_car_250531_2225\sm_car_250531_2225_008_Ca003TrN_MaLSS_ode23t.png","figure")</f>
        <v>figure</v>
      </c>
      <c r="P9" t="s">
        <v>15</v>
      </c>
      <c r="V9">
        <f>K9-'2022a_250601_0524'!K9</f>
        <v>0</v>
      </c>
      <c r="W9" s="11">
        <f>V9/'2022a_250601_0524'!K9</f>
        <v>0</v>
      </c>
      <c r="X9">
        <f>L9-'2022a_250601_0524'!L9</f>
        <v>0.31836570000000108</v>
      </c>
      <c r="Y9" s="11">
        <f>X9/'2022a_250601_0524'!L9</f>
        <v>2.7449744763589003E-2</v>
      </c>
    </row>
    <row r="10" spans="1:25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20</v>
      </c>
      <c r="H10" t="s">
        <v>21</v>
      </c>
      <c r="I10" t="s">
        <v>22</v>
      </c>
      <c r="J10" t="s">
        <v>23</v>
      </c>
      <c r="K10">
        <v>1085</v>
      </c>
      <c r="L10">
        <v>11.0059301</v>
      </c>
      <c r="M10">
        <v>231.35048401278598</v>
      </c>
      <c r="N10">
        <v>-4.0514741091662787E-3</v>
      </c>
      <c r="O10" s="1" t="str">
        <f>HYPERLINK(".\sm_car_250531_2225\sm_car_250531_2225_009_Ca004TrN_MaWOT_ode23t.png","figure")</f>
        <v>figure</v>
      </c>
      <c r="P10" t="s">
        <v>15</v>
      </c>
      <c r="V10">
        <f>K10-'2022a_250601_0524'!K10</f>
        <v>0</v>
      </c>
      <c r="W10" s="11">
        <f>V10/'2022a_250601_0524'!K10</f>
        <v>0</v>
      </c>
      <c r="X10">
        <f>L10-'2022a_250601_0524'!L10</f>
        <v>0.3244056000000004</v>
      </c>
      <c r="Y10" s="11">
        <f>X10/'2022a_250601_0524'!L10</f>
        <v>3.0370720958417537E-2</v>
      </c>
    </row>
    <row r="11" spans="1:25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20</v>
      </c>
      <c r="H11" t="s">
        <v>21</v>
      </c>
      <c r="I11" t="s">
        <v>24</v>
      </c>
      <c r="J11" t="s">
        <v>23</v>
      </c>
      <c r="K11">
        <v>1206</v>
      </c>
      <c r="L11">
        <v>12.634627</v>
      </c>
      <c r="M11">
        <v>71.24565934260167</v>
      </c>
      <c r="N11">
        <v>-0.54254908395302193</v>
      </c>
      <c r="O11" s="1" t="str">
        <f>HYPERLINK(".\sm_car_250531_2225\sm_car_250531_2225_010_Ca004TrN_MaLSS_ode23t.png","figure")</f>
        <v>figure</v>
      </c>
      <c r="P11" t="s">
        <v>15</v>
      </c>
      <c r="V11">
        <f>K11-'2022a_250601_0524'!K11</f>
        <v>0</v>
      </c>
      <c r="W11" s="11">
        <f>V11/'2022a_250601_0524'!K11</f>
        <v>0</v>
      </c>
      <c r="X11">
        <f>L11-'2022a_250601_0524'!L11</f>
        <v>0.38559749999999937</v>
      </c>
      <c r="Y11" s="11">
        <f>X11/'2022a_250601_0524'!L11</f>
        <v>3.1479840913110652E-2</v>
      </c>
    </row>
    <row r="12" spans="1:25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25</v>
      </c>
      <c r="H12" t="s">
        <v>21</v>
      </c>
      <c r="I12" t="s">
        <v>22</v>
      </c>
      <c r="J12" t="s">
        <v>23</v>
      </c>
      <c r="K12">
        <v>1124</v>
      </c>
      <c r="L12">
        <v>13.025202800000001</v>
      </c>
      <c r="M12">
        <v>230.28632888358879</v>
      </c>
      <c r="N12">
        <v>-1.3535337425784914E-2</v>
      </c>
      <c r="O12" s="1" t="str">
        <f>HYPERLINK(".\sm_car_250531_2225\sm_car_250531_2225_011_Ca005TrN_MaWOT_ode23t.png","figure")</f>
        <v>figure</v>
      </c>
      <c r="P12" t="s">
        <v>15</v>
      </c>
      <c r="V12">
        <f>K12-'2022a_250601_0524'!K12</f>
        <v>0</v>
      </c>
      <c r="W12" s="11">
        <f>V12/'2022a_250601_0524'!K12</f>
        <v>0</v>
      </c>
      <c r="X12">
        <f>L12-'2022a_250601_0524'!L12</f>
        <v>0.24280480000000004</v>
      </c>
      <c r="Y12" s="11">
        <f>X12/'2022a_250601_0524'!L12</f>
        <v>1.8995246431851052E-2</v>
      </c>
    </row>
    <row r="13" spans="1:25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25</v>
      </c>
      <c r="H13" t="s">
        <v>21</v>
      </c>
      <c r="I13" t="s">
        <v>24</v>
      </c>
      <c r="J13" t="s">
        <v>23</v>
      </c>
      <c r="K13">
        <v>1240</v>
      </c>
      <c r="L13">
        <v>14.425249000000001</v>
      </c>
      <c r="M13">
        <v>70.963484438638275</v>
      </c>
      <c r="N13">
        <v>-0.53562428490382352</v>
      </c>
      <c r="O13" s="1" t="str">
        <f>HYPERLINK(".\sm_car_250531_2225\sm_car_250531_2225_012_Ca005TrN_MaLSS_ode23t.png","figure")</f>
        <v>figure</v>
      </c>
      <c r="P13" t="s">
        <v>15</v>
      </c>
      <c r="V13">
        <f>K13-'2022a_250601_0524'!K13</f>
        <v>0</v>
      </c>
      <c r="W13" s="11">
        <f>V13/'2022a_250601_0524'!K13</f>
        <v>0</v>
      </c>
      <c r="X13">
        <f>L13-'2022a_250601_0524'!L13</f>
        <v>0.23267960000000087</v>
      </c>
      <c r="Y13" s="11">
        <f>X13/'2022a_250601_0524'!L13</f>
        <v>1.639446624795091E-2</v>
      </c>
    </row>
    <row r="14" spans="1:25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26</v>
      </c>
      <c r="H14" t="s">
        <v>21</v>
      </c>
      <c r="I14" t="s">
        <v>22</v>
      </c>
      <c r="J14" t="s">
        <v>23</v>
      </c>
      <c r="K14">
        <v>1192</v>
      </c>
      <c r="L14">
        <v>16.7547532</v>
      </c>
      <c r="M14">
        <v>230.31971790422389</v>
      </c>
      <c r="N14">
        <v>5.5554848513428533E-2</v>
      </c>
      <c r="O14" s="1" t="str">
        <f>HYPERLINK(".\sm_car_250531_2225\sm_car_250531_2225_013_Ca006TrN_MaWOT_ode23t.png","figure")</f>
        <v>figure</v>
      </c>
      <c r="P14" t="s">
        <v>15</v>
      </c>
      <c r="V14">
        <f>K14-'2022a_250601_0524'!K14</f>
        <v>0</v>
      </c>
      <c r="W14" s="11">
        <f>V14/'2022a_250601_0524'!K14</f>
        <v>0</v>
      </c>
      <c r="X14">
        <f>L14-'2022a_250601_0524'!L14</f>
        <v>0.62710350000000048</v>
      </c>
      <c r="Y14" s="11">
        <f>X14/'2022a_250601_0524'!L14</f>
        <v>3.8883750060617978E-2</v>
      </c>
    </row>
    <row r="15" spans="1:25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26</v>
      </c>
      <c r="H15" t="s">
        <v>21</v>
      </c>
      <c r="I15" t="s">
        <v>24</v>
      </c>
      <c r="J15" t="s">
        <v>23</v>
      </c>
      <c r="K15">
        <v>1291</v>
      </c>
      <c r="L15">
        <v>16.6843477</v>
      </c>
      <c r="M15">
        <v>70.956870710847156</v>
      </c>
      <c r="N15">
        <v>-0.53363311785478917</v>
      </c>
      <c r="O15" s="1" t="str">
        <f>HYPERLINK(".\sm_car_250531_2225\sm_car_250531_2225_014_Ca006TrN_MaLSS_ode23t.png","figure")</f>
        <v>figure</v>
      </c>
      <c r="P15" t="s">
        <v>15</v>
      </c>
      <c r="V15">
        <f>K15-'2022a_250601_0524'!K15</f>
        <v>0</v>
      </c>
      <c r="W15" s="11">
        <f>V15/'2022a_250601_0524'!K15</f>
        <v>0</v>
      </c>
      <c r="X15">
        <f>L15-'2022a_250601_0524'!L15</f>
        <v>1.6813426000000007</v>
      </c>
      <c r="Y15" s="11">
        <f>X15/'2022a_250601_0524'!L15</f>
        <v>0.11206705515283739</v>
      </c>
    </row>
    <row r="16" spans="1:25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27</v>
      </c>
      <c r="H16" t="s">
        <v>21</v>
      </c>
      <c r="I16" t="s">
        <v>22</v>
      </c>
      <c r="J16" t="s">
        <v>23</v>
      </c>
      <c r="K16">
        <v>1208</v>
      </c>
      <c r="L16">
        <v>19.7686615</v>
      </c>
      <c r="M16">
        <v>229.90338511131827</v>
      </c>
      <c r="N16">
        <v>5.2787602454037671E-2</v>
      </c>
      <c r="O16" s="1" t="str">
        <f>HYPERLINK(".\sm_car_250531_2225\sm_car_250531_2225_015_Ca007TrN_MaWOT_ode23t.png","figure")</f>
        <v>figure</v>
      </c>
      <c r="P16" t="s">
        <v>15</v>
      </c>
      <c r="V16">
        <f>K16-'2022a_250601_0524'!K16</f>
        <v>0</v>
      </c>
      <c r="W16" s="11">
        <f>V16/'2022a_250601_0524'!K16</f>
        <v>0</v>
      </c>
      <c r="X16">
        <f>L16-'2022a_250601_0524'!L16</f>
        <v>2.6785214999999987</v>
      </c>
      <c r="Y16" s="11">
        <f>X16/'2022a_250601_0524'!L16</f>
        <v>0.15672905546707039</v>
      </c>
    </row>
    <row r="17" spans="1:25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27</v>
      </c>
      <c r="H17" t="s">
        <v>21</v>
      </c>
      <c r="I17" t="s">
        <v>24</v>
      </c>
      <c r="J17" t="s">
        <v>23</v>
      </c>
      <c r="K17">
        <v>1285</v>
      </c>
      <c r="L17">
        <v>21.189663800000002</v>
      </c>
      <c r="M17">
        <v>70.837615888645956</v>
      </c>
      <c r="N17">
        <v>-0.52847431114254728</v>
      </c>
      <c r="O17" s="1" t="str">
        <f>HYPERLINK(".\sm_car_250531_2225\sm_car_250531_2225_016_Ca007TrN_MaLSS_ode23t.png","figure")</f>
        <v>figure</v>
      </c>
      <c r="P17" t="s">
        <v>15</v>
      </c>
      <c r="V17">
        <f>K17-'2022a_250601_0524'!K17</f>
        <v>0</v>
      </c>
      <c r="W17" s="11">
        <f>V17/'2022a_250601_0524'!K17</f>
        <v>0</v>
      </c>
      <c r="X17">
        <f>L17-'2022a_250601_0524'!L17</f>
        <v>4.5593795000000021</v>
      </c>
      <c r="Y17" s="11">
        <f>X17/'2022a_250601_0524'!L17</f>
        <v>0.27416124810325715</v>
      </c>
    </row>
    <row r="18" spans="1:25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>
        <v>408</v>
      </c>
      <c r="L18">
        <v>5.9500283999999999</v>
      </c>
      <c r="M18">
        <v>231.97852932808041</v>
      </c>
      <c r="N18">
        <v>-7.1781087628563625E-2</v>
      </c>
      <c r="O18" s="1" t="str">
        <f>HYPERLINK(".\sm_car_250531_2225\sm_car_250531_2225_017_Ca016TrN_MaWOT_ode23t.png","figure")</f>
        <v>figure</v>
      </c>
      <c r="P18" t="s">
        <v>15</v>
      </c>
      <c r="V18">
        <f>K18-'2022a_250601_0524'!K18</f>
        <v>0</v>
      </c>
      <c r="W18" s="11">
        <f>V18/'2022a_250601_0524'!K18</f>
        <v>0</v>
      </c>
      <c r="X18">
        <f>L18-'2022a_250601_0524'!L18</f>
        <v>0.21858310000000003</v>
      </c>
      <c r="Y18" s="11">
        <f>X18/'2022a_250601_0524'!L18</f>
        <v>3.813751829752262E-2</v>
      </c>
    </row>
    <row r="19" spans="1:25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20</v>
      </c>
      <c r="H19" t="s">
        <v>21</v>
      </c>
      <c r="I19" t="s">
        <v>24</v>
      </c>
      <c r="J19" t="s">
        <v>23</v>
      </c>
      <c r="K19">
        <v>495</v>
      </c>
      <c r="L19">
        <v>6.7732685000000004</v>
      </c>
      <c r="M19">
        <v>71.52744135360156</v>
      </c>
      <c r="N19">
        <v>-2.1637557861086024E-2</v>
      </c>
      <c r="O19" s="1" t="str">
        <f>HYPERLINK(".\sm_car_250531_2225\sm_car_250531_2225_018_Ca016TrN_MaLSS_ode23t.png","figure")</f>
        <v>figure</v>
      </c>
      <c r="P19" t="s">
        <v>15</v>
      </c>
      <c r="V19">
        <f>K19-'2022a_250601_0524'!K19</f>
        <v>0</v>
      </c>
      <c r="W19" s="11">
        <f>V19/'2022a_250601_0524'!K19</f>
        <v>0</v>
      </c>
      <c r="X19">
        <f>L19-'2022a_250601_0524'!L19</f>
        <v>0.75988699999999998</v>
      </c>
      <c r="Y19" s="11">
        <f>X19/'2022a_250601_0524'!L19</f>
        <v>0.12636600554945665</v>
      </c>
    </row>
    <row r="20" spans="1:25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>
        <v>414</v>
      </c>
      <c r="L20">
        <v>9.1008241999999999</v>
      </c>
      <c r="M20">
        <v>231.38140972375047</v>
      </c>
      <c r="N20">
        <v>7.0624016378307069E-3</v>
      </c>
      <c r="O20" s="1" t="str">
        <f>HYPERLINK(".\sm_car_250531_2225\sm_car_250531_2225_019_Ca032TrN_MaWOT_ode23t.png","figure")</f>
        <v>figure</v>
      </c>
      <c r="P20" t="s">
        <v>15</v>
      </c>
      <c r="V20">
        <f>K20-'2022a_250601_0524'!K20</f>
        <v>0</v>
      </c>
      <c r="W20" s="11">
        <f>V20/'2022a_250601_0524'!K20</f>
        <v>0</v>
      </c>
      <c r="X20">
        <f>L20-'2022a_250601_0524'!L20</f>
        <v>0.4140631999999993</v>
      </c>
      <c r="Y20" s="11">
        <f>X20/'2022a_250601_0524'!L20</f>
        <v>4.7666005775915704E-2</v>
      </c>
    </row>
    <row r="21" spans="1:25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20</v>
      </c>
      <c r="H21" t="s">
        <v>21</v>
      </c>
      <c r="I21" t="s">
        <v>24</v>
      </c>
      <c r="J21" t="s">
        <v>23</v>
      </c>
      <c r="K21">
        <v>517</v>
      </c>
      <c r="L21">
        <v>9.0096092999999993</v>
      </c>
      <c r="M21">
        <v>71.24958534660685</v>
      </c>
      <c r="N21">
        <v>-0.52146089401407703</v>
      </c>
      <c r="O21" s="1" t="str">
        <f>HYPERLINK(".\sm_car_250531_2225\sm_car_250531_2225_020_Ca032TrN_MaLSS_ode23t.png","figure")</f>
        <v>figure</v>
      </c>
      <c r="P21" t="s">
        <v>15</v>
      </c>
      <c r="V21">
        <f>K21-'2022a_250601_0524'!K21</f>
        <v>0</v>
      </c>
      <c r="W21" s="11">
        <f>V21/'2022a_250601_0524'!K21</f>
        <v>0</v>
      </c>
      <c r="X21">
        <f>L21-'2022a_250601_0524'!L21</f>
        <v>0.53087039999999952</v>
      </c>
      <c r="Y21" s="11">
        <f>X21/'2022a_250601_0524'!L21</f>
        <v>6.2611952822370739E-2</v>
      </c>
    </row>
    <row r="22" spans="1:25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>
        <v>406</v>
      </c>
      <c r="L22">
        <v>8.4411503000000003</v>
      </c>
      <c r="M22">
        <v>231.3220912823418</v>
      </c>
      <c r="N22">
        <v>-1.7328937509722402E-2</v>
      </c>
      <c r="O22" s="1" t="str">
        <f>HYPERLINK(".\sm_car_250531_2225\sm_car_250531_2225_021_Ca048TrN_MaWOT_ode23t.png","figure")</f>
        <v>figure</v>
      </c>
      <c r="P22" t="s">
        <v>15</v>
      </c>
      <c r="V22">
        <f>K22-'2022a_250601_0524'!K22</f>
        <v>0</v>
      </c>
      <c r="W22" s="11">
        <f>V22/'2022a_250601_0524'!K22</f>
        <v>0</v>
      </c>
      <c r="X22">
        <f>L22-'2022a_250601_0524'!L22</f>
        <v>0.54405340000000013</v>
      </c>
      <c r="Y22" s="11">
        <f>X22/'2022a_250601_0524'!L22</f>
        <v>6.889283579640515E-2</v>
      </c>
    </row>
    <row r="23" spans="1:25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20</v>
      </c>
      <c r="H23" t="s">
        <v>21</v>
      </c>
      <c r="I23" t="s">
        <v>24</v>
      </c>
      <c r="J23" t="s">
        <v>23</v>
      </c>
      <c r="K23">
        <v>532</v>
      </c>
      <c r="L23">
        <v>10.0093809</v>
      </c>
      <c r="M23">
        <v>71.252885645468695</v>
      </c>
      <c r="N23">
        <v>-0.52884314345820704</v>
      </c>
      <c r="O23" s="1" t="str">
        <f>HYPERLINK(".\sm_car_250531_2225\sm_car_250531_2225_022_Ca048TrN_MaLSS_ode23t.png","figure")</f>
        <v>figure</v>
      </c>
      <c r="P23" t="s">
        <v>15</v>
      </c>
      <c r="V23">
        <f>K23-'2022a_250601_0524'!K23</f>
        <v>0</v>
      </c>
      <c r="W23" s="11">
        <f>V23/'2022a_250601_0524'!K23</f>
        <v>0</v>
      </c>
      <c r="X23">
        <f>L23-'2022a_250601_0524'!L23</f>
        <v>0.51907600000000009</v>
      </c>
      <c r="Y23" s="11">
        <f>X23/'2022a_250601_0524'!L23</f>
        <v>5.4695397615728877E-2</v>
      </c>
    </row>
    <row r="24" spans="1:25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 t="s">
        <v>23</v>
      </c>
      <c r="K24">
        <v>411</v>
      </c>
      <c r="L24">
        <v>8.8837139999999994</v>
      </c>
      <c r="M24">
        <v>231.29335429993066</v>
      </c>
      <c r="N24">
        <v>9.3446067893205604E-3</v>
      </c>
      <c r="O24" s="1" t="str">
        <f>HYPERLINK(".\sm_car_250531_2225\sm_car_250531_2225_023_Ca064TrN_MaWOT_ode23t.png","figure")</f>
        <v>figure</v>
      </c>
      <c r="P24" t="s">
        <v>15</v>
      </c>
      <c r="V24">
        <f>K24-'2022a_250601_0524'!K24</f>
        <v>0</v>
      </c>
      <c r="W24" s="11">
        <f>V24/'2022a_250601_0524'!K24</f>
        <v>0</v>
      </c>
      <c r="X24">
        <f>L24-'2022a_250601_0524'!L24</f>
        <v>0.35948769999999897</v>
      </c>
      <c r="Y24" s="11">
        <f>X24/'2022a_250601_0524'!L24</f>
        <v>4.2172472591441988E-2</v>
      </c>
    </row>
    <row r="25" spans="1:25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20</v>
      </c>
      <c r="H25" t="s">
        <v>21</v>
      </c>
      <c r="I25" t="s">
        <v>24</v>
      </c>
      <c r="J25" t="s">
        <v>23</v>
      </c>
      <c r="K25">
        <v>526</v>
      </c>
      <c r="L25">
        <v>9.2034059999999993</v>
      </c>
      <c r="M25">
        <v>71.251970603665541</v>
      </c>
      <c r="N25">
        <v>-0.51781248972730687</v>
      </c>
      <c r="O25" s="1" t="str">
        <f>HYPERLINK(".\sm_car_250531_2225\sm_car_250531_2225_024_Ca064TrN_MaLSS_ode23t.png","figure")</f>
        <v>figure</v>
      </c>
      <c r="P25" t="s">
        <v>15</v>
      </c>
      <c r="V25">
        <f>K25-'2022a_250601_0524'!K25</f>
        <v>0</v>
      </c>
      <c r="W25" s="11">
        <f>V25/'2022a_250601_0524'!K25</f>
        <v>0</v>
      </c>
      <c r="X25">
        <f>L25-'2022a_250601_0524'!L25</f>
        <v>0.37624570000000013</v>
      </c>
      <c r="Y25" s="11">
        <f>X25/'2022a_250601_0524'!L25</f>
        <v>4.2623639677190427E-2</v>
      </c>
    </row>
    <row r="26" spans="1:25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23</v>
      </c>
      <c r="K26">
        <v>398</v>
      </c>
      <c r="L26">
        <v>9.5897494000000005</v>
      </c>
      <c r="M26">
        <v>231.28238490853892</v>
      </c>
      <c r="N26">
        <v>-2.0507259671197455E-2</v>
      </c>
      <c r="O26" s="1" t="str">
        <f>HYPERLINK(".\sm_car_250531_2225\sm_car_250531_2225_025_Ca080TrN_MaWOT_ode23t.png","figure")</f>
        <v>figure</v>
      </c>
      <c r="P26" t="s">
        <v>15</v>
      </c>
      <c r="V26">
        <f>K26-'2022a_250601_0524'!K26</f>
        <v>0</v>
      </c>
      <c r="W26" s="11">
        <f>V26/'2022a_250601_0524'!K26</f>
        <v>0</v>
      </c>
      <c r="X26">
        <f>L26-'2022a_250601_0524'!L26</f>
        <v>0.5785613000000005</v>
      </c>
      <c r="Y26" s="11">
        <f>X26/'2022a_250601_0524'!L26</f>
        <v>6.4204774506926618E-2</v>
      </c>
    </row>
    <row r="27" spans="1:25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20</v>
      </c>
      <c r="H27" t="s">
        <v>21</v>
      </c>
      <c r="I27" t="s">
        <v>24</v>
      </c>
      <c r="J27" t="s">
        <v>23</v>
      </c>
      <c r="K27">
        <v>507</v>
      </c>
      <c r="L27">
        <v>8.9793155000000002</v>
      </c>
      <c r="M27">
        <v>71.24692585665106</v>
      </c>
      <c r="N27">
        <v>-0.52526631553924674</v>
      </c>
      <c r="O27" s="1" t="str">
        <f>HYPERLINK(".\sm_car_250531_2225\sm_car_250531_2225_026_Ca080TrN_MaLSS_ode23t.png","figure")</f>
        <v>figure</v>
      </c>
      <c r="P27" t="s">
        <v>15</v>
      </c>
      <c r="V27">
        <f>K27-'2022a_250601_0524'!K27</f>
        <v>0</v>
      </c>
      <c r="W27" s="11">
        <f>V27/'2022a_250601_0524'!K27</f>
        <v>0</v>
      </c>
      <c r="X27">
        <f>L27-'2022a_250601_0524'!L27</f>
        <v>0.36318520000000021</v>
      </c>
      <c r="Y27" s="11">
        <f>X27/'2022a_250601_0524'!L27</f>
        <v>4.2151776650824348E-2</v>
      </c>
    </row>
    <row r="28" spans="1:25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23</v>
      </c>
      <c r="K28">
        <v>409</v>
      </c>
      <c r="L28">
        <v>6.9626659000000002</v>
      </c>
      <c r="M28">
        <v>233.07854766852083</v>
      </c>
      <c r="N28">
        <v>2.0066921471783239E-2</v>
      </c>
      <c r="O28" s="1" t="str">
        <f>HYPERLINK(".\sm_car_250531_2225\sm_car_250531_2225_027_Ca096TrN_MaWOT_ode23t.png","figure")</f>
        <v>figure</v>
      </c>
      <c r="P28" t="s">
        <v>15</v>
      </c>
      <c r="V28">
        <f>K28-'2022a_250601_0524'!K28</f>
        <v>0</v>
      </c>
      <c r="W28" s="11">
        <f>V28/'2022a_250601_0524'!K28</f>
        <v>0</v>
      </c>
      <c r="X28">
        <f>L28-'2022a_250601_0524'!L28</f>
        <v>-0.12426699999999968</v>
      </c>
      <c r="Y28" s="11">
        <f>X28/'2022a_250601_0524'!L28</f>
        <v>-1.7534665807263348E-2</v>
      </c>
    </row>
    <row r="29" spans="1:25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20</v>
      </c>
      <c r="H29" t="s">
        <v>21</v>
      </c>
      <c r="I29" t="s">
        <v>24</v>
      </c>
      <c r="J29" t="s">
        <v>23</v>
      </c>
      <c r="K29">
        <v>522</v>
      </c>
      <c r="L29">
        <v>7.4197806000000002</v>
      </c>
      <c r="M29">
        <v>71.763515381239785</v>
      </c>
      <c r="N29">
        <v>-0.52889785164942793</v>
      </c>
      <c r="O29" s="1" t="str">
        <f>HYPERLINK(".\sm_car_250531_2225\sm_car_250531_2225_028_Ca096TrN_MaLSS_ode23t.png","figure")</f>
        <v>figure</v>
      </c>
      <c r="P29" t="s">
        <v>15</v>
      </c>
      <c r="V29">
        <f>K29-'2022a_250601_0524'!K29</f>
        <v>0</v>
      </c>
      <c r="W29" s="11">
        <f>V29/'2022a_250601_0524'!K29</f>
        <v>0</v>
      </c>
      <c r="X29">
        <f>L29-'2022a_250601_0524'!L29</f>
        <v>0.44112200000000001</v>
      </c>
      <c r="Y29" s="11">
        <f>X29/'2022a_250601_0524'!L29</f>
        <v>6.3210141845884249E-2</v>
      </c>
    </row>
    <row r="30" spans="1:25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 t="s">
        <v>23</v>
      </c>
      <c r="K30">
        <v>371</v>
      </c>
      <c r="L30">
        <v>2.8821864000000001</v>
      </c>
      <c r="M30">
        <v>242.6385086934819</v>
      </c>
      <c r="N30">
        <v>0.23540517481115167</v>
      </c>
      <c r="O30" s="1" t="str">
        <f>HYPERLINK(".\sm_car_250531_2225\sm_car_250531_2225_029_Ca112TrN_MaWOT_ode23t.png","figure")</f>
        <v>figure</v>
      </c>
      <c r="P30" t="s">
        <v>15</v>
      </c>
      <c r="V30">
        <f>K30-'2022a_250601_0524'!K30</f>
        <v>0</v>
      </c>
      <c r="W30" s="11">
        <f>V30/'2022a_250601_0524'!K30</f>
        <v>0</v>
      </c>
      <c r="X30">
        <f>L30-'2022a_250601_0524'!L30</f>
        <v>0.11991280000000026</v>
      </c>
      <c r="Y30" s="11">
        <f>X30/'2022a_250601_0524'!L30</f>
        <v>4.3410906146299291E-2</v>
      </c>
    </row>
    <row r="31" spans="1:25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20</v>
      </c>
      <c r="H31" t="s">
        <v>21</v>
      </c>
      <c r="I31" t="s">
        <v>24</v>
      </c>
      <c r="J31" t="s">
        <v>23</v>
      </c>
      <c r="K31">
        <v>484</v>
      </c>
      <c r="L31">
        <v>3.0747920999999998</v>
      </c>
      <c r="M31">
        <v>74.671083334168515</v>
      </c>
      <c r="N31">
        <v>-0.3369934257717313</v>
      </c>
      <c r="O31" s="1" t="str">
        <f>HYPERLINK(".\sm_car_250531_2225\sm_car_250531_2225_030_Ca112TrN_MaLSS_ode23t.png","figure")</f>
        <v>figure</v>
      </c>
      <c r="P31" t="s">
        <v>15</v>
      </c>
      <c r="V31">
        <f>K31-'2022a_250601_0524'!K31</f>
        <v>0</v>
      </c>
      <c r="W31" s="11">
        <f>V31/'2022a_250601_0524'!K31</f>
        <v>0</v>
      </c>
      <c r="X31">
        <f>L31-'2022a_250601_0524'!L31</f>
        <v>0.19147919999999985</v>
      </c>
      <c r="Y31" s="11">
        <f>X31/'2022a_250601_0524'!L31</f>
        <v>6.6409441722401985E-2</v>
      </c>
    </row>
    <row r="32" spans="1:25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25</v>
      </c>
      <c r="H32" t="s">
        <v>21</v>
      </c>
      <c r="I32" t="s">
        <v>22</v>
      </c>
      <c r="J32" t="s">
        <v>23</v>
      </c>
      <c r="K32">
        <v>376</v>
      </c>
      <c r="L32">
        <v>3.1727254</v>
      </c>
      <c r="M32">
        <v>241.62953780953444</v>
      </c>
      <c r="N32">
        <v>0.23230223293694249</v>
      </c>
      <c r="O32" s="1" t="str">
        <f>HYPERLINK(".\sm_car_250531_2225\sm_car_250531_2225_031_Ca113TrN_MaWOT_ode23t.png","figure")</f>
        <v>figure</v>
      </c>
      <c r="P32" t="s">
        <v>15</v>
      </c>
      <c r="V32">
        <f>K32-'2022a_250601_0524'!K32</f>
        <v>0</v>
      </c>
      <c r="W32" s="11">
        <f>V32/'2022a_250601_0524'!K32</f>
        <v>0</v>
      </c>
      <c r="X32">
        <f>L32-'2022a_250601_0524'!L32</f>
        <v>0.20059840000000007</v>
      </c>
      <c r="Y32" s="11">
        <f>X32/'2022a_250601_0524'!L32</f>
        <v>6.7493212773209244E-2</v>
      </c>
    </row>
    <row r="33" spans="1:25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25</v>
      </c>
      <c r="H33" t="s">
        <v>21</v>
      </c>
      <c r="I33" t="s">
        <v>24</v>
      </c>
      <c r="J33" t="s">
        <v>23</v>
      </c>
      <c r="K33">
        <v>484</v>
      </c>
      <c r="L33">
        <v>3.2577807999999999</v>
      </c>
      <c r="M33">
        <v>74.340098687509567</v>
      </c>
      <c r="N33">
        <v>-0.33372692734011278</v>
      </c>
      <c r="O33" s="1" t="str">
        <f>HYPERLINK(".\sm_car_250531_2225\sm_car_250531_2225_032_Ca113TrN_MaLSS_ode23t.png","figure")</f>
        <v>figure</v>
      </c>
      <c r="P33" t="s">
        <v>15</v>
      </c>
      <c r="V33">
        <f>K33-'2022a_250601_0524'!K33</f>
        <v>0</v>
      </c>
      <c r="W33" s="11">
        <f>V33/'2022a_250601_0524'!K33</f>
        <v>0</v>
      </c>
      <c r="X33">
        <f>L33-'2022a_250601_0524'!L33</f>
        <v>0.15299789999999991</v>
      </c>
      <c r="Y33" s="11">
        <f>X33/'2022a_250601_0524'!L33</f>
        <v>4.9278131491899128E-2</v>
      </c>
    </row>
    <row r="34" spans="1:25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26</v>
      </c>
      <c r="H34" t="s">
        <v>21</v>
      </c>
      <c r="I34" t="s">
        <v>22</v>
      </c>
      <c r="J34" t="s">
        <v>23</v>
      </c>
      <c r="K34">
        <v>365</v>
      </c>
      <c r="L34">
        <v>3.5410401</v>
      </c>
      <c r="M34">
        <v>241.54135549521669</v>
      </c>
      <c r="N34">
        <v>0.23257023722638706</v>
      </c>
      <c r="O34" s="1" t="str">
        <f>HYPERLINK(".\sm_car_250531_2225\sm_car_250531_2225_033_Ca114TrN_MaWOT_ode23t.png","figure")</f>
        <v>figure</v>
      </c>
      <c r="P34" t="s">
        <v>15</v>
      </c>
      <c r="V34">
        <f>K34-'2022a_250601_0524'!K34</f>
        <v>0</v>
      </c>
      <c r="W34" s="11">
        <f>V34/'2022a_250601_0524'!K34</f>
        <v>0</v>
      </c>
      <c r="X34">
        <f>L34-'2022a_250601_0524'!L34</f>
        <v>0.31224739999999995</v>
      </c>
      <c r="Y34" s="11">
        <f>X34/'2022a_250601_0524'!L34</f>
        <v>9.6707168595865547E-2</v>
      </c>
    </row>
    <row r="35" spans="1:25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26</v>
      </c>
      <c r="H35" t="s">
        <v>21</v>
      </c>
      <c r="I35" t="s">
        <v>24</v>
      </c>
      <c r="J35" t="s">
        <v>23</v>
      </c>
      <c r="K35">
        <v>474</v>
      </c>
      <c r="L35">
        <v>3.7672363</v>
      </c>
      <c r="M35">
        <v>74.357376080465997</v>
      </c>
      <c r="N35">
        <v>-0.33401217897315755</v>
      </c>
      <c r="O35" s="1" t="str">
        <f>HYPERLINK(".\sm_car_250531_2225\sm_car_250531_2225_034_Ca114TrN_MaLSS_ode23t.png","figure")</f>
        <v>figure</v>
      </c>
      <c r="P35" t="s">
        <v>15</v>
      </c>
      <c r="V35">
        <f>K35-'2022a_250601_0524'!K35</f>
        <v>0</v>
      </c>
      <c r="W35" s="11">
        <f>V35/'2022a_250601_0524'!K35</f>
        <v>0</v>
      </c>
      <c r="X35">
        <f>L35-'2022a_250601_0524'!L35</f>
        <v>0.19022050000000013</v>
      </c>
      <c r="Y35" s="11">
        <f>X35/'2022a_250601_0524'!L35</f>
        <v>5.3178546206030214E-2</v>
      </c>
    </row>
    <row r="36" spans="1:25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27</v>
      </c>
      <c r="H36" t="s">
        <v>21</v>
      </c>
      <c r="I36" t="s">
        <v>22</v>
      </c>
      <c r="J36" t="s">
        <v>23</v>
      </c>
      <c r="K36">
        <v>402</v>
      </c>
      <c r="L36">
        <v>3.4584025999999999</v>
      </c>
      <c r="M36">
        <v>241.25491004899072</v>
      </c>
      <c r="N36">
        <v>0.23086755550324103</v>
      </c>
      <c r="O36" s="1" t="str">
        <f>HYPERLINK(".\sm_car_250531_2225\sm_car_250531_2225_035_Ca115TrN_MaWOT_ode23t.png","figure")</f>
        <v>figure</v>
      </c>
      <c r="P36" t="s">
        <v>15</v>
      </c>
      <c r="V36">
        <f>K36-'2022a_250601_0524'!K36</f>
        <v>0</v>
      </c>
      <c r="W36" s="11">
        <f>V36/'2022a_250601_0524'!K36</f>
        <v>0</v>
      </c>
      <c r="X36">
        <f>L36-'2022a_250601_0524'!L36</f>
        <v>-1.6854100000000205E-2</v>
      </c>
      <c r="Y36" s="11">
        <f>X36/'2022a_250601_0524'!L36</f>
        <v>-4.8497424665062024E-3</v>
      </c>
    </row>
    <row r="37" spans="1:25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27</v>
      </c>
      <c r="H37" t="s">
        <v>21</v>
      </c>
      <c r="I37" t="s">
        <v>24</v>
      </c>
      <c r="J37" t="s">
        <v>23</v>
      </c>
      <c r="K37">
        <v>505</v>
      </c>
      <c r="L37">
        <v>3.7073257000000002</v>
      </c>
      <c r="M37">
        <v>74.216397484708779</v>
      </c>
      <c r="N37">
        <v>-0.33149412046077237</v>
      </c>
      <c r="O37" s="1" t="str">
        <f>HYPERLINK(".\sm_car_250531_2225\sm_car_250531_2225_036_Ca115TrN_MaLSS_ode23t.png","figure")</f>
        <v>figure</v>
      </c>
      <c r="P37" t="s">
        <v>15</v>
      </c>
      <c r="V37">
        <f>K37-'2022a_250601_0524'!K37</f>
        <v>0</v>
      </c>
      <c r="W37" s="11">
        <f>V37/'2022a_250601_0524'!K37</f>
        <v>0</v>
      </c>
      <c r="X37">
        <f>L37-'2022a_250601_0524'!L37</f>
        <v>0.20055449999999997</v>
      </c>
      <c r="Y37" s="11">
        <f>X37/'2022a_250601_0524'!L37</f>
        <v>5.7190643062199197E-2</v>
      </c>
    </row>
    <row r="38" spans="1:25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20</v>
      </c>
      <c r="H38" t="s">
        <v>21</v>
      </c>
      <c r="I38" t="s">
        <v>22</v>
      </c>
      <c r="J38" t="s">
        <v>23</v>
      </c>
      <c r="K38">
        <v>917</v>
      </c>
      <c r="L38">
        <v>5.1050218999999997</v>
      </c>
      <c r="M38">
        <v>242.55284377109695</v>
      </c>
      <c r="N38">
        <v>0.23659137482604095</v>
      </c>
      <c r="O38" s="1" t="str">
        <f>HYPERLINK(".\sm_car_250531_2225\sm_car_250531_2225_037_Ca116TrN_MaWOT_ode23t.png","figure")</f>
        <v>figure</v>
      </c>
      <c r="P38" t="s">
        <v>15</v>
      </c>
      <c r="V38">
        <f>K38-'2022a_250601_0524'!K38</f>
        <v>0</v>
      </c>
      <c r="W38" s="11">
        <f>V38/'2022a_250601_0524'!K38</f>
        <v>0</v>
      </c>
      <c r="X38">
        <f>L38-'2022a_250601_0524'!L38</f>
        <v>0.55474449999999997</v>
      </c>
      <c r="Y38" s="11">
        <f>X38/'2022a_250601_0524'!L38</f>
        <v>0.12191443537046774</v>
      </c>
    </row>
    <row r="39" spans="1:25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20</v>
      </c>
      <c r="H39" t="s">
        <v>21</v>
      </c>
      <c r="I39" t="s">
        <v>24</v>
      </c>
      <c r="J39" t="s">
        <v>23</v>
      </c>
      <c r="K39">
        <v>1057</v>
      </c>
      <c r="L39">
        <v>5.3249217</v>
      </c>
      <c r="M39">
        <v>74.662659723869751</v>
      </c>
      <c r="N39">
        <v>-0.3401055901651473</v>
      </c>
      <c r="O39" s="1" t="str">
        <f>HYPERLINK(".\sm_car_250531_2225\sm_car_250531_2225_038_Ca116TrN_MaLSS_ode23t.png","figure")</f>
        <v>figure</v>
      </c>
      <c r="P39" t="s">
        <v>15</v>
      </c>
      <c r="V39">
        <f>K39-'2022a_250601_0524'!K39</f>
        <v>0</v>
      </c>
      <c r="W39" s="11">
        <f>V39/'2022a_250601_0524'!K39</f>
        <v>0</v>
      </c>
      <c r="X39">
        <f>L39-'2022a_250601_0524'!L39</f>
        <v>2.4851599999999863E-2</v>
      </c>
      <c r="Y39" s="11">
        <f>X39/'2022a_250601_0524'!L39</f>
        <v>4.6889191144848935E-3</v>
      </c>
    </row>
    <row r="40" spans="1:25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25</v>
      </c>
      <c r="H40" t="s">
        <v>21</v>
      </c>
      <c r="I40" t="s">
        <v>22</v>
      </c>
      <c r="J40" t="s">
        <v>23</v>
      </c>
      <c r="K40">
        <v>963</v>
      </c>
      <c r="L40">
        <v>5.3799093999999998</v>
      </c>
      <c r="M40">
        <v>241.50229099389202</v>
      </c>
      <c r="N40">
        <v>0.23261616238238711</v>
      </c>
      <c r="O40" s="1" t="str">
        <f>HYPERLINK(".\sm_car_250531_2225\sm_car_250531_2225_039_Ca117TrN_MaWOT_ode23t.png","figure")</f>
        <v>figure</v>
      </c>
      <c r="P40" t="s">
        <v>15</v>
      </c>
      <c r="V40">
        <f>K40-'2022a_250601_0524'!K40</f>
        <v>0</v>
      </c>
      <c r="W40" s="11">
        <f>V40/'2022a_250601_0524'!K40</f>
        <v>0</v>
      </c>
      <c r="X40">
        <f>L40-'2022a_250601_0524'!L40</f>
        <v>0.31520249999999983</v>
      </c>
      <c r="Y40" s="11">
        <f>X40/'2022a_250601_0524'!L40</f>
        <v>6.2235092024772419E-2</v>
      </c>
    </row>
    <row r="41" spans="1:25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25</v>
      </c>
      <c r="H41" t="s">
        <v>21</v>
      </c>
      <c r="I41" t="s">
        <v>24</v>
      </c>
      <c r="J41" t="s">
        <v>23</v>
      </c>
      <c r="K41">
        <v>1063</v>
      </c>
      <c r="L41">
        <v>6.0657703999999999</v>
      </c>
      <c r="M41">
        <v>74.339005108528042</v>
      </c>
      <c r="N41">
        <v>-0.33658754453363837</v>
      </c>
      <c r="O41" s="1" t="str">
        <f>HYPERLINK(".\sm_car_250531_2225\sm_car_250531_2225_040_Ca117TrN_MaLSS_ode23t.png","figure")</f>
        <v>figure</v>
      </c>
      <c r="P41" t="s">
        <v>15</v>
      </c>
      <c r="V41">
        <f>K41-'2022a_250601_0524'!K41</f>
        <v>0</v>
      </c>
      <c r="W41" s="11">
        <f>V41/'2022a_250601_0524'!K41</f>
        <v>0</v>
      </c>
      <c r="X41">
        <f>L41-'2022a_250601_0524'!L41</f>
        <v>0.36561529999999998</v>
      </c>
      <c r="Y41" s="11">
        <f>X41/'2022a_250601_0524'!L41</f>
        <v>6.4141289769466092E-2</v>
      </c>
    </row>
    <row r="42" spans="1:25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26</v>
      </c>
      <c r="H42" t="s">
        <v>21</v>
      </c>
      <c r="I42" t="s">
        <v>22</v>
      </c>
      <c r="J42" t="s">
        <v>23</v>
      </c>
      <c r="K42">
        <v>947</v>
      </c>
      <c r="L42">
        <v>5.5381980999999998</v>
      </c>
      <c r="M42">
        <v>241.23064820859912</v>
      </c>
      <c r="N42">
        <v>0.23252480072032861</v>
      </c>
      <c r="O42" s="1" t="str">
        <f>HYPERLINK(".\sm_car_250531_2225\sm_car_250531_2225_041_Ca118TrN_MaWOT_ode23t.png","figure")</f>
        <v>figure</v>
      </c>
      <c r="P42" t="s">
        <v>15</v>
      </c>
      <c r="V42">
        <f>K42-'2022a_250601_0524'!K42</f>
        <v>0</v>
      </c>
      <c r="W42" s="11">
        <f>V42/'2022a_250601_0524'!K42</f>
        <v>0</v>
      </c>
      <c r="X42">
        <f>L42-'2022a_250601_0524'!L42</f>
        <v>-0.12569750000000024</v>
      </c>
      <c r="Y42" s="11">
        <f>X42/'2022a_250601_0524'!L42</f>
        <v>-2.2192764287533872E-2</v>
      </c>
    </row>
    <row r="43" spans="1:25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26</v>
      </c>
      <c r="H43" t="s">
        <v>21</v>
      </c>
      <c r="I43" t="s">
        <v>24</v>
      </c>
      <c r="J43" t="s">
        <v>23</v>
      </c>
      <c r="K43">
        <v>1083</v>
      </c>
      <c r="L43">
        <v>6.4303682999999996</v>
      </c>
      <c r="M43">
        <v>74.337064431350825</v>
      </c>
      <c r="N43">
        <v>-0.33611418080232897</v>
      </c>
      <c r="O43" s="1" t="str">
        <f>HYPERLINK(".\sm_car_250531_2225\sm_car_250531_2225_042_Ca118TrN_MaLSS_ode23t.png","figure")</f>
        <v>figure</v>
      </c>
      <c r="P43" t="s">
        <v>15</v>
      </c>
      <c r="V43">
        <f>K43-'2022a_250601_0524'!K43</f>
        <v>0</v>
      </c>
      <c r="W43" s="11">
        <f>V43/'2022a_250601_0524'!K43</f>
        <v>0</v>
      </c>
      <c r="X43">
        <f>L43-'2022a_250601_0524'!L43</f>
        <v>0.2434258999999992</v>
      </c>
      <c r="Y43" s="11">
        <f>X43/'2022a_250601_0524'!L43</f>
        <v>3.9345105265566914E-2</v>
      </c>
    </row>
    <row r="44" spans="1:25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27</v>
      </c>
      <c r="H44" t="s">
        <v>21</v>
      </c>
      <c r="I44" t="s">
        <v>22</v>
      </c>
      <c r="J44" t="s">
        <v>23</v>
      </c>
      <c r="K44">
        <v>996</v>
      </c>
      <c r="L44">
        <v>6.0064447000000003</v>
      </c>
      <c r="M44">
        <v>240.99456068308641</v>
      </c>
      <c r="N44">
        <v>0.23171030835918666</v>
      </c>
      <c r="O44" s="1" t="str">
        <f>HYPERLINK(".\sm_car_250531_2225\sm_car_250531_2225_043_Ca119TrN_MaWOT_ode23t.png","figure")</f>
        <v>figure</v>
      </c>
      <c r="P44" t="s">
        <v>15</v>
      </c>
      <c r="V44">
        <f>K44-'2022a_250601_0524'!K44</f>
        <v>0</v>
      </c>
      <c r="W44" s="11">
        <f>V44/'2022a_250601_0524'!K44</f>
        <v>0</v>
      </c>
      <c r="X44">
        <f>L44-'2022a_250601_0524'!L44</f>
        <v>-0.1966663999999998</v>
      </c>
      <c r="Y44" s="11">
        <f>X44/'2022a_250601_0524'!L44</f>
        <v>-3.1704478096482878E-2</v>
      </c>
    </row>
    <row r="45" spans="1:25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27</v>
      </c>
      <c r="H45" t="s">
        <v>21</v>
      </c>
      <c r="I45" t="s">
        <v>24</v>
      </c>
      <c r="J45" t="s">
        <v>23</v>
      </c>
      <c r="K45">
        <v>1100</v>
      </c>
      <c r="L45">
        <v>6.4487148000000003</v>
      </c>
      <c r="M45">
        <v>74.191759012097194</v>
      </c>
      <c r="N45">
        <v>-0.33397949475133454</v>
      </c>
      <c r="O45" s="1" t="str">
        <f>HYPERLINK(".\sm_car_250531_2225\sm_car_250531_2225_044_Ca119TrN_MaLSS_ode23t.png","figure")</f>
        <v>figure</v>
      </c>
      <c r="P45" t="s">
        <v>15</v>
      </c>
      <c r="V45">
        <f>K45-'2022a_250601_0524'!K45</f>
        <v>0</v>
      </c>
      <c r="W45" s="11">
        <f>V45/'2022a_250601_0524'!K45</f>
        <v>0</v>
      </c>
      <c r="X45">
        <f>L45-'2022a_250601_0524'!L45</f>
        <v>9.4430400000000247E-2</v>
      </c>
      <c r="Y45" s="11">
        <f>X45/'2022a_250601_0524'!L45</f>
        <v>1.4860902354323368E-2</v>
      </c>
    </row>
    <row r="46" spans="1:25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23</v>
      </c>
      <c r="K46">
        <v>324</v>
      </c>
      <c r="L46">
        <v>6.8010973000000003</v>
      </c>
      <c r="M46">
        <v>99.814061262987821</v>
      </c>
      <c r="N46">
        <v>-1.7632181555593908E-2</v>
      </c>
      <c r="O46" s="1" t="str">
        <f>HYPERLINK(".\sm_car_250531_2225\sm_car_250531_2225_045_Ca128TrN_MaWOT_ode23t.png","figure")</f>
        <v>figure</v>
      </c>
      <c r="P46" t="s">
        <v>15</v>
      </c>
      <c r="V46">
        <f>K46-'2022a_250601_0524'!K46</f>
        <v>0</v>
      </c>
      <c r="W46" s="11">
        <f>V46/'2022a_250601_0524'!K46</f>
        <v>0</v>
      </c>
      <c r="X46">
        <f>L46-'2022a_250601_0524'!L46</f>
        <v>0.81107930000000028</v>
      </c>
      <c r="Y46" s="11">
        <f>X46/'2022a_250601_0524'!L46</f>
        <v>0.13540515237182932</v>
      </c>
    </row>
    <row r="47" spans="1:25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23</v>
      </c>
      <c r="K47">
        <v>445</v>
      </c>
      <c r="L47">
        <v>8.2171897999999999</v>
      </c>
      <c r="M47">
        <v>36.975822320565428</v>
      </c>
      <c r="N47">
        <v>-0.13066798550488262</v>
      </c>
      <c r="O47" s="1" t="str">
        <f>HYPERLINK(".\sm_car_250531_2225\sm_car_250531_2225_046_Ca128TrN_MaLSS_ode23t.png","figure")</f>
        <v>figure</v>
      </c>
      <c r="P47" t="s">
        <v>15</v>
      </c>
      <c r="V47">
        <f>K47-'2022a_250601_0524'!K47</f>
        <v>0</v>
      </c>
      <c r="W47" s="11">
        <f>V47/'2022a_250601_0524'!K47</f>
        <v>0</v>
      </c>
      <c r="X47">
        <f>L47-'2022a_250601_0524'!L47</f>
        <v>0.27839879999999972</v>
      </c>
      <c r="Y47" s="11">
        <f>X47/'2022a_250601_0524'!L47</f>
        <v>3.5068160882431559E-2</v>
      </c>
    </row>
    <row r="48" spans="1:25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23</v>
      </c>
      <c r="K48">
        <v>334</v>
      </c>
      <c r="L48">
        <v>7.2523806000000004</v>
      </c>
      <c r="M48">
        <v>229.19402805463122</v>
      </c>
      <c r="N48">
        <v>5.9025754166514316E-2</v>
      </c>
      <c r="O48" s="1" t="str">
        <f>HYPERLINK(".\sm_car_250531_2225\sm_car_250531_2225_047_Ca129TrN_MaWOT_ode23t.png","figure")</f>
        <v>figure</v>
      </c>
      <c r="P48" t="s">
        <v>15</v>
      </c>
      <c r="V48">
        <f>K48-'2022a_250601_0524'!K48</f>
        <v>-6</v>
      </c>
      <c r="W48" s="11">
        <f>V48/'2022a_250601_0524'!K48</f>
        <v>-1.7647058823529412E-2</v>
      </c>
      <c r="X48">
        <f>L48-'2022a_250601_0524'!L48</f>
        <v>-0.30156389999999966</v>
      </c>
      <c r="Y48" s="11">
        <f>X48/'2022a_250601_0524'!L48</f>
        <v>-3.9921381471627132E-2</v>
      </c>
    </row>
    <row r="49" spans="1:25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23</v>
      </c>
      <c r="K49">
        <v>476</v>
      </c>
      <c r="L49">
        <v>9.0660205999999999</v>
      </c>
      <c r="M49">
        <v>70.691307362227775</v>
      </c>
      <c r="N49">
        <v>-0.52162300544705675</v>
      </c>
      <c r="O49" s="1" t="str">
        <f>HYPERLINK(".\sm_car_250531_2225\sm_car_250531_2225_048_Ca129TrN_MaLSS_ode23t.png","figure")</f>
        <v>figure</v>
      </c>
      <c r="P49" t="s">
        <v>15</v>
      </c>
      <c r="V49">
        <f>K49-'2022a_250601_0524'!K49</f>
        <v>-4</v>
      </c>
      <c r="W49" s="11">
        <f>V49/'2022a_250601_0524'!K49</f>
        <v>-8.3333333333333332E-3</v>
      </c>
      <c r="X49">
        <f>L49-'2022a_250601_0524'!L49</f>
        <v>0.38555239999999991</v>
      </c>
      <c r="Y49" s="11">
        <f>X49/'2022a_250601_0524'!L49</f>
        <v>4.4416083455037586E-2</v>
      </c>
    </row>
    <row r="50" spans="1:25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23</v>
      </c>
      <c r="K50">
        <v>800</v>
      </c>
      <c r="L50">
        <v>24.931540099999999</v>
      </c>
      <c r="M50">
        <v>217.28170793130232</v>
      </c>
      <c r="N50">
        <v>-1.5362249648371662</v>
      </c>
      <c r="O50" s="1" t="str">
        <f>HYPERLINK(".\sm_car_250531_2225\sm_car_250531_2225_049_Ca130TrN_MaWOT_ode23t.png","figure")</f>
        <v>figure</v>
      </c>
      <c r="P50" t="s">
        <v>15</v>
      </c>
      <c r="V50">
        <f>K50-'2022a_250601_0524'!K50</f>
        <v>0</v>
      </c>
      <c r="W50" s="11">
        <f>V50/'2022a_250601_0524'!K50</f>
        <v>0</v>
      </c>
      <c r="X50">
        <f>L50-'2022a_250601_0524'!L50</f>
        <v>1.7401036999999988</v>
      </c>
      <c r="Y50" s="11">
        <f>X50/'2022a_250601_0524'!L50</f>
        <v>7.5032165752354982E-2</v>
      </c>
    </row>
    <row r="51" spans="1:25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23</v>
      </c>
      <c r="K51">
        <v>779</v>
      </c>
      <c r="L51">
        <v>22.9258351</v>
      </c>
      <c r="M51">
        <v>68.779505776194313</v>
      </c>
      <c r="N51">
        <v>-0.5440557391299784</v>
      </c>
      <c r="O51" s="1" t="str">
        <f>HYPERLINK(".\sm_car_250531_2225\sm_car_250531_2225_050_Ca130TrN_MaLSS_ode23t.png","figure")</f>
        <v>figure</v>
      </c>
      <c r="P51" t="s">
        <v>15</v>
      </c>
      <c r="V51">
        <f>K51-'2022a_250601_0524'!K51</f>
        <v>0</v>
      </c>
      <c r="W51" s="11">
        <f>V51/'2022a_250601_0524'!K51</f>
        <v>0</v>
      </c>
      <c r="X51">
        <f>L51-'2022a_250601_0524'!L51</f>
        <v>1.6544841000000012</v>
      </c>
      <c r="Y51" s="11">
        <f>X51/'2022a_250601_0524'!L51</f>
        <v>7.7779925685021192E-2</v>
      </c>
    </row>
    <row r="52" spans="1:25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23</v>
      </c>
      <c r="K52">
        <v>363</v>
      </c>
      <c r="L52">
        <v>5.1865164999999998</v>
      </c>
      <c r="M52">
        <v>230.10132280490575</v>
      </c>
      <c r="N52">
        <v>-4.1828478662908848E-2</v>
      </c>
      <c r="O52" s="1" t="str">
        <f>HYPERLINK(".\sm_car_250531_2225\sm_car_250531_2225_051_Ca131TrN_MaWOT_ode23t.png","figure")</f>
        <v>figure</v>
      </c>
      <c r="P52" t="s">
        <v>15</v>
      </c>
      <c r="V52">
        <f>K52-'2022a_250601_0524'!K52</f>
        <v>0</v>
      </c>
      <c r="W52" s="11">
        <f>V52/'2022a_250601_0524'!K52</f>
        <v>0</v>
      </c>
      <c r="X52">
        <f>L52-'2022a_250601_0524'!L52</f>
        <v>-1.6002300000000247E-2</v>
      </c>
      <c r="Y52" s="11">
        <f>X52/'2022a_250601_0524'!L52</f>
        <v>-3.0758754778551201E-3</v>
      </c>
    </row>
    <row r="53" spans="1:25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23</v>
      </c>
      <c r="K53">
        <v>497</v>
      </c>
      <c r="L53">
        <v>5.7974294999999998</v>
      </c>
      <c r="M53">
        <v>70.962308130153446</v>
      </c>
      <c r="N53">
        <v>-0.54092331374709235</v>
      </c>
      <c r="O53" s="1" t="str">
        <f>HYPERLINK(".\sm_car_250531_2225\sm_car_250531_2225_052_Ca131TrN_MaLSS_ode23t.png","figure")</f>
        <v>figure</v>
      </c>
      <c r="P53" t="s">
        <v>15</v>
      </c>
      <c r="V53">
        <f>K53-'2022a_250601_0524'!K53</f>
        <v>0</v>
      </c>
      <c r="W53" s="11">
        <f>V53/'2022a_250601_0524'!K53</f>
        <v>0</v>
      </c>
      <c r="X53">
        <f>L53-'2022a_250601_0524'!L53</f>
        <v>0.21935679999999991</v>
      </c>
      <c r="Y53" s="11">
        <f>X53/'2022a_250601_0524'!L53</f>
        <v>3.9324837053486217E-2</v>
      </c>
    </row>
    <row r="54" spans="1:25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23</v>
      </c>
      <c r="K54">
        <v>367</v>
      </c>
      <c r="L54">
        <v>5.1347223</v>
      </c>
      <c r="M54">
        <v>230.40589816124253</v>
      </c>
      <c r="N54">
        <v>-9.096984734319408E-3</v>
      </c>
      <c r="O54" s="1" t="str">
        <f>HYPERLINK(".\sm_car_250531_2225\sm_car_250531_2225_053_Ca132TrN_MaWOT_ode23t.png","figure")</f>
        <v>figure</v>
      </c>
      <c r="P54" t="s">
        <v>15</v>
      </c>
      <c r="V54">
        <f>K54-'2022a_250601_0524'!K54</f>
        <v>0</v>
      </c>
      <c r="W54" s="11">
        <f>V54/'2022a_250601_0524'!K54</f>
        <v>0</v>
      </c>
      <c r="X54">
        <f>L54-'2022a_250601_0524'!L54</f>
        <v>5.9434699999999729E-2</v>
      </c>
      <c r="Y54" s="11">
        <f>X54/'2022a_250601_0524'!L54</f>
        <v>1.1710607296421927E-2</v>
      </c>
    </row>
    <row r="55" spans="1:25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23</v>
      </c>
      <c r="K55">
        <v>493</v>
      </c>
      <c r="L55">
        <v>5.8369470000000003</v>
      </c>
      <c r="M55">
        <v>70.960602131367693</v>
      </c>
      <c r="N55">
        <v>-0.53634738852393293</v>
      </c>
      <c r="O55" s="1" t="str">
        <f>HYPERLINK(".\sm_car_250531_2225\sm_car_250531_2225_054_Ca132TrN_MaLSS_ode23t.png","figure")</f>
        <v>figure</v>
      </c>
      <c r="P55" t="s">
        <v>15</v>
      </c>
      <c r="V55">
        <f>K55-'2022a_250601_0524'!K55</f>
        <v>0</v>
      </c>
      <c r="W55" s="11">
        <f>V55/'2022a_250601_0524'!K55</f>
        <v>0</v>
      </c>
      <c r="X55">
        <f>L55-'2022a_250601_0524'!L55</f>
        <v>0.13359630000000067</v>
      </c>
      <c r="Y55" s="11">
        <f>X55/'2022a_250601_0524'!L55</f>
        <v>2.3424177650517033E-2</v>
      </c>
    </row>
    <row r="56" spans="1:25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23</v>
      </c>
      <c r="K56">
        <v>354</v>
      </c>
      <c r="L56">
        <v>4.9395458999999997</v>
      </c>
      <c r="M56">
        <v>230.38890124053427</v>
      </c>
      <c r="N56">
        <v>-7.5062799287146644E-3</v>
      </c>
      <c r="O56" s="1" t="str">
        <f>HYPERLINK(".\sm_car_250531_2225\sm_car_250531_2225_055_Ca133TrN_MaWOT_ode23t.png","figure")</f>
        <v>figure</v>
      </c>
      <c r="P56" t="s">
        <v>15</v>
      </c>
      <c r="V56">
        <f>K56-'2022a_250601_0524'!K56</f>
        <v>0</v>
      </c>
      <c r="W56" s="11">
        <f>V56/'2022a_250601_0524'!K56</f>
        <v>0</v>
      </c>
      <c r="X56">
        <f>L56-'2022a_250601_0524'!L56</f>
        <v>-0.51791419999999988</v>
      </c>
      <c r="Y56" s="11">
        <f>X56/'2022a_250601_0524'!L56</f>
        <v>-9.4900226572430635E-2</v>
      </c>
    </row>
    <row r="57" spans="1:25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23</v>
      </c>
      <c r="K57">
        <v>497</v>
      </c>
      <c r="L57">
        <v>5.8479577999999997</v>
      </c>
      <c r="M57">
        <v>70.970673316838216</v>
      </c>
      <c r="N57">
        <v>-0.52834200882352278</v>
      </c>
      <c r="O57" s="1" t="str">
        <f>HYPERLINK(".\sm_car_250531_2225\sm_car_250531_2225_056_Ca133TrN_MaLSS_ode23t.png","figure")</f>
        <v>figure</v>
      </c>
      <c r="P57" t="s">
        <v>15</v>
      </c>
      <c r="V57">
        <f>K57-'2022a_250601_0524'!K57</f>
        <v>0</v>
      </c>
      <c r="W57" s="11">
        <f>V57/'2022a_250601_0524'!K57</f>
        <v>0</v>
      </c>
      <c r="X57">
        <f>L57-'2022a_250601_0524'!L57</f>
        <v>0.21690619999999949</v>
      </c>
      <c r="Y57" s="11">
        <f>X57/'2022a_250601_0524'!L57</f>
        <v>3.8519661229884573E-2</v>
      </c>
    </row>
    <row r="58" spans="1:25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23</v>
      </c>
      <c r="K58">
        <v>358</v>
      </c>
      <c r="L58">
        <v>5.3880295</v>
      </c>
      <c r="M58">
        <v>230.38627969123687</v>
      </c>
      <c r="N58">
        <v>-1.2699869487549548E-2</v>
      </c>
      <c r="O58" s="1" t="str">
        <f>HYPERLINK(".\sm_car_250531_2225\sm_car_250531_2225_057_Ca134TrN_MaWOT_ode23t.png","figure")</f>
        <v>figure</v>
      </c>
      <c r="P58" t="s">
        <v>15</v>
      </c>
      <c r="V58">
        <f>K58-'2022a_250601_0524'!K58</f>
        <v>0</v>
      </c>
      <c r="W58" s="11">
        <f>V58/'2022a_250601_0524'!K58</f>
        <v>0</v>
      </c>
      <c r="X58">
        <f>L58-'2022a_250601_0524'!L58</f>
        <v>0.27392039999999973</v>
      </c>
      <c r="Y58" s="11">
        <f>X58/'2022a_250601_0524'!L58</f>
        <v>5.3561704422770279E-2</v>
      </c>
    </row>
    <row r="59" spans="1:25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23</v>
      </c>
      <c r="K59">
        <v>502</v>
      </c>
      <c r="L59">
        <v>6.0876443</v>
      </c>
      <c r="M59">
        <v>70.976515589972053</v>
      </c>
      <c r="N59">
        <v>-0.534342537793145</v>
      </c>
      <c r="O59" s="1" t="str">
        <f>HYPERLINK(".\sm_car_250531_2225\sm_car_250531_2225_058_Ca134TrN_MaLSS_ode23t.png","figure")</f>
        <v>figure</v>
      </c>
      <c r="P59" t="s">
        <v>15</v>
      </c>
      <c r="V59">
        <f>K59-'2022a_250601_0524'!K59</f>
        <v>0</v>
      </c>
      <c r="W59" s="11">
        <f>V59/'2022a_250601_0524'!K59</f>
        <v>0</v>
      </c>
      <c r="X59">
        <f>L59-'2022a_250601_0524'!L59</f>
        <v>0.32950540000000039</v>
      </c>
      <c r="Y59" s="11">
        <f>X59/'2022a_250601_0524'!L59</f>
        <v>5.7224288215763676E-2</v>
      </c>
    </row>
    <row r="60" spans="1:25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23</v>
      </c>
      <c r="K60">
        <v>346</v>
      </c>
      <c r="L60">
        <v>4.7944266000000004</v>
      </c>
      <c r="M60">
        <v>230.39182221946751</v>
      </c>
      <c r="N60">
        <v>-1.1090319417731176E-2</v>
      </c>
      <c r="O60" s="1" t="str">
        <f>HYPERLINK(".\sm_car_250531_2225\sm_car_250531_2225_059_Ca135TrN_MaWOT_ode23t.png","figure")</f>
        <v>figure</v>
      </c>
      <c r="P60" t="s">
        <v>15</v>
      </c>
      <c r="V60">
        <f>K60-'2022a_250601_0524'!K60</f>
        <v>0</v>
      </c>
      <c r="W60" s="11">
        <f>V60/'2022a_250601_0524'!K60</f>
        <v>0</v>
      </c>
      <c r="X60">
        <f>L60-'2022a_250601_0524'!L60</f>
        <v>-0.10964789999999969</v>
      </c>
      <c r="Y60" s="11">
        <f>X60/'2022a_250601_0524'!L60</f>
        <v>-2.2358530646302312E-2</v>
      </c>
    </row>
    <row r="61" spans="1:25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23</v>
      </c>
      <c r="K61">
        <v>490</v>
      </c>
      <c r="L61">
        <v>5.7420454000000003</v>
      </c>
      <c r="M61">
        <v>70.979964543448673</v>
      </c>
      <c r="N61">
        <v>-0.52629443401147824</v>
      </c>
      <c r="O61" s="1" t="str">
        <f>HYPERLINK(".\sm_car_250531_2225\sm_car_250531_2225_060_Ca135TrN_MaLSS_ode23t.png","figure")</f>
        <v>figure</v>
      </c>
      <c r="P61" t="s">
        <v>15</v>
      </c>
      <c r="V61">
        <f>K61-'2022a_250601_0524'!K61</f>
        <v>0</v>
      </c>
      <c r="W61" s="11">
        <f>V61/'2022a_250601_0524'!K61</f>
        <v>0</v>
      </c>
      <c r="X61">
        <f>L61-'2022a_250601_0524'!L61</f>
        <v>0.31762020000000035</v>
      </c>
      <c r="Y61" s="11">
        <f>X61/'2022a_250601_0524'!L61</f>
        <v>5.855370629868771E-2</v>
      </c>
    </row>
    <row r="62" spans="1:25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23</v>
      </c>
      <c r="K62">
        <v>363</v>
      </c>
      <c r="L62">
        <v>5.8083992999999996</v>
      </c>
      <c r="M62">
        <v>230.28749129544778</v>
      </c>
      <c r="N62">
        <v>5.7437038867938522E-2</v>
      </c>
      <c r="O62" s="1" t="str">
        <f>HYPERLINK(".\sm_car_250531_2225\sm_car_250531_2225_061_Ca136TrN_MaWOT_ode23t.png","figure")</f>
        <v>figure</v>
      </c>
      <c r="P62" t="s">
        <v>15</v>
      </c>
      <c r="V62">
        <f>K62-'2022a_250601_0524'!K62</f>
        <v>0</v>
      </c>
      <c r="W62" s="11">
        <f>V62/'2022a_250601_0524'!K62</f>
        <v>0</v>
      </c>
      <c r="X62">
        <f>L62-'2022a_250601_0524'!L62</f>
        <v>0.1464269999999992</v>
      </c>
      <c r="Y62" s="11">
        <f>X62/'2022a_250601_0524'!L62</f>
        <v>2.5861482932369555E-2</v>
      </c>
    </row>
    <row r="63" spans="1:25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23</v>
      </c>
      <c r="K63">
        <v>491</v>
      </c>
      <c r="L63">
        <v>7.1122188</v>
      </c>
      <c r="M63">
        <v>70.970897178997788</v>
      </c>
      <c r="N63">
        <v>-0.52998807998681552</v>
      </c>
      <c r="O63" s="1" t="str">
        <f>HYPERLINK(".\sm_car_250531_2225\sm_car_250531_2225_062_Ca136TrN_MaLSS_ode23t.png","figure")</f>
        <v>figure</v>
      </c>
      <c r="P63" t="s">
        <v>15</v>
      </c>
      <c r="V63">
        <f>K63-'2022a_250601_0524'!K63</f>
        <v>0</v>
      </c>
      <c r="W63" s="11">
        <f>V63/'2022a_250601_0524'!K63</f>
        <v>0</v>
      </c>
      <c r="X63">
        <f>L63-'2022a_250601_0524'!L63</f>
        <v>0.55614709999999956</v>
      </c>
      <c r="Y63" s="11">
        <f>X63/'2022a_250601_0524'!L63</f>
        <v>8.4829319362080727E-2</v>
      </c>
    </row>
    <row r="64" spans="1:25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23</v>
      </c>
      <c r="K64">
        <v>322</v>
      </c>
      <c r="L64">
        <v>4.1095908000000003</v>
      </c>
      <c r="M64">
        <v>231.13056882651293</v>
      </c>
      <c r="N64">
        <v>0.14153927036018177</v>
      </c>
      <c r="O64" s="1" t="str">
        <f>HYPERLINK(".\sm_car_250531_2225\sm_car_250531_2225_063_Ca137TrN_MaWOT_ode23t.png","figure")</f>
        <v>figure</v>
      </c>
      <c r="P64" t="s">
        <v>15</v>
      </c>
      <c r="V64">
        <f>K64-'2022a_250601_0524'!K64</f>
        <v>0</v>
      </c>
      <c r="W64" s="11">
        <f>V64/'2022a_250601_0524'!K64</f>
        <v>0</v>
      </c>
      <c r="X64">
        <f>L64-'2022a_250601_0524'!L64</f>
        <v>0.1807979000000004</v>
      </c>
      <c r="Y64" s="11">
        <f>X64/'2022a_250601_0524'!L64</f>
        <v>4.6018689353669012E-2</v>
      </c>
    </row>
    <row r="65" spans="1:25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23</v>
      </c>
      <c r="K65">
        <v>480</v>
      </c>
      <c r="L65">
        <v>5.2563187999999998</v>
      </c>
      <c r="M65">
        <v>71.239976441046863</v>
      </c>
      <c r="N65">
        <v>-0.51296852072698151</v>
      </c>
      <c r="O65" s="1" t="str">
        <f>HYPERLINK(".\sm_car_250531_2225\sm_car_250531_2225_064_Ca137TrN_MaLSS_ode23t.png","figure")</f>
        <v>figure</v>
      </c>
      <c r="P65" t="s">
        <v>15</v>
      </c>
      <c r="V65">
        <f>K65-'2022a_250601_0524'!K65</f>
        <v>0</v>
      </c>
      <c r="W65" s="11">
        <f>V65/'2022a_250601_0524'!K65</f>
        <v>0</v>
      </c>
      <c r="X65">
        <f>L65-'2022a_250601_0524'!L65</f>
        <v>0.34038370000000029</v>
      </c>
      <c r="Y65" s="11">
        <f>X65/'2022a_250601_0524'!L65</f>
        <v>6.9240885625198825E-2</v>
      </c>
    </row>
    <row r="66" spans="1:25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23</v>
      </c>
      <c r="K66">
        <v>330</v>
      </c>
      <c r="L66">
        <v>7.3379655000000001</v>
      </c>
      <c r="M66">
        <v>231.04126857060766</v>
      </c>
      <c r="N66">
        <v>0.14657344627996305</v>
      </c>
      <c r="O66" s="1" t="str">
        <f>HYPERLINK(".\sm_car_250531_2225\sm_car_250531_2225_065_Ca138TrN_MaWOT_ode23t.png","figure")</f>
        <v>figure</v>
      </c>
      <c r="P66" t="s">
        <v>15</v>
      </c>
      <c r="V66">
        <f>K66-'2022a_250601_0524'!K66</f>
        <v>0</v>
      </c>
      <c r="W66" s="11">
        <f>V66/'2022a_250601_0524'!K66</f>
        <v>0</v>
      </c>
      <c r="X66">
        <f>L66-'2022a_250601_0524'!L66</f>
        <v>-0.22047219999999967</v>
      </c>
      <c r="Y66" s="11">
        <f>X66/'2022a_250601_0524'!L66</f>
        <v>-2.9169017295730265E-2</v>
      </c>
    </row>
    <row r="67" spans="1:25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23</v>
      </c>
      <c r="K67">
        <v>495</v>
      </c>
      <c r="L67">
        <v>7.2152832</v>
      </c>
      <c r="M67">
        <v>71.130252783663053</v>
      </c>
      <c r="N67">
        <v>-0.82600072700020344</v>
      </c>
      <c r="O67" s="1" t="str">
        <f>HYPERLINK(".\sm_car_250531_2225\sm_car_250531_2225_066_Ca138TrN_MaLSS_ode23t.png","figure")</f>
        <v>figure</v>
      </c>
      <c r="P67" t="s">
        <v>15</v>
      </c>
      <c r="V67">
        <f>K67-'2022a_250601_0524'!K67</f>
        <v>0</v>
      </c>
      <c r="W67" s="11">
        <f>V67/'2022a_250601_0524'!K67</f>
        <v>0</v>
      </c>
      <c r="X67">
        <f>L67-'2022a_250601_0524'!L67</f>
        <v>0.50397680000000022</v>
      </c>
      <c r="Y67" s="11">
        <f>X67/'2022a_250601_0524'!L67</f>
        <v>7.5093695617890463E-2</v>
      </c>
    </row>
    <row r="68" spans="1:25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23</v>
      </c>
      <c r="K68">
        <v>652</v>
      </c>
      <c r="L68">
        <v>27.987462399999998</v>
      </c>
      <c r="M68">
        <v>405.34282971654443</v>
      </c>
      <c r="N68">
        <v>1.6363409677673066</v>
      </c>
      <c r="O68" s="1" t="str">
        <f>HYPERLINK(".\sm_car_250531_2225\sm_car_250531_2225_067_Ca139TrN_MaWOT_ode23t.png","figure")</f>
        <v>figure</v>
      </c>
      <c r="P68" t="s">
        <v>15</v>
      </c>
      <c r="V68">
        <f>K68-'2022a_250601_0524'!K68</f>
        <v>0</v>
      </c>
      <c r="W68" s="11">
        <f>V68/'2022a_250601_0524'!K68</f>
        <v>0</v>
      </c>
      <c r="X68">
        <f>L68-'2022a_250601_0524'!L68</f>
        <v>1.1384456999999983</v>
      </c>
      <c r="Y68" s="11">
        <f>X68/'2022a_250601_0524'!L68</f>
        <v>4.2401765126839762E-2</v>
      </c>
    </row>
    <row r="69" spans="1:25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23</v>
      </c>
      <c r="K69">
        <v>652</v>
      </c>
      <c r="L69">
        <v>18.483859599999999</v>
      </c>
      <c r="M69">
        <v>154.37158532024651</v>
      </c>
      <c r="N69">
        <v>-0.58868509825025073</v>
      </c>
      <c r="O69" s="1" t="str">
        <f>HYPERLINK(".\sm_car_250531_2225\sm_car_250531_2225_068_Ca139TrN_MaLSS_ode23t.png","figure")</f>
        <v>figure</v>
      </c>
      <c r="P69" t="s">
        <v>15</v>
      </c>
      <c r="V69">
        <f>K69-'2022a_250601_0524'!K69</f>
        <v>0</v>
      </c>
      <c r="W69" s="11">
        <f>V69/'2022a_250601_0524'!K69</f>
        <v>0</v>
      </c>
      <c r="X69">
        <f>L69-'2022a_250601_0524'!L69</f>
        <v>1.1126965999999996</v>
      </c>
      <c r="Y69" s="11">
        <f>X69/'2022a_250601_0524'!L69</f>
        <v>6.405423747391005E-2</v>
      </c>
    </row>
    <row r="70" spans="1:25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23</v>
      </c>
      <c r="K70">
        <v>2021</v>
      </c>
      <c r="L70">
        <v>38.963150499999998</v>
      </c>
      <c r="M70">
        <v>405.28004150776576</v>
      </c>
      <c r="N70">
        <v>1.6695322531781871</v>
      </c>
      <c r="O70" s="1" t="str">
        <f>HYPERLINK(".\sm_car_250531_2225\sm_car_250531_2225_069_Ca141TrN_MaWOT_ode23t.png","figure")</f>
        <v>figure</v>
      </c>
      <c r="P70" t="s">
        <v>15</v>
      </c>
      <c r="V70">
        <f>K70-'2022a_250601_0524'!K70</f>
        <v>0</v>
      </c>
      <c r="W70" s="11">
        <f>V70/'2022a_250601_0524'!K70</f>
        <v>0</v>
      </c>
      <c r="X70">
        <f>L70-'2022a_250601_0524'!L70</f>
        <v>1.5309813000000005</v>
      </c>
      <c r="Y70" s="11">
        <f>X70/'2022a_250601_0524'!L70</f>
        <v>4.090014906216017E-2</v>
      </c>
    </row>
    <row r="71" spans="1:25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23</v>
      </c>
      <c r="K71">
        <v>1895</v>
      </c>
      <c r="L71">
        <v>37.141779100000001</v>
      </c>
      <c r="M71">
        <v>154.40028044949671</v>
      </c>
      <c r="N71">
        <v>-0.57175726874626087</v>
      </c>
      <c r="O71" s="1" t="str">
        <f>HYPERLINK(".\sm_car_250531_2225\sm_car_250531_2225_070_Ca141TrN_MaLSS_ode23t.png","figure")</f>
        <v>figure</v>
      </c>
      <c r="P71" t="s">
        <v>15</v>
      </c>
      <c r="V71">
        <f>K71-'2022a_250601_0524'!K71</f>
        <v>0</v>
      </c>
      <c r="W71" s="11">
        <f>V71/'2022a_250601_0524'!K71</f>
        <v>0</v>
      </c>
      <c r="X71">
        <f>L71-'2022a_250601_0524'!L71</f>
        <v>10.1880363</v>
      </c>
      <c r="Y71" s="11">
        <f>X71/'2022a_250601_0524'!L71</f>
        <v>0.37798224816480774</v>
      </c>
    </row>
    <row r="72" spans="1:25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23</v>
      </c>
      <c r="K72">
        <v>353</v>
      </c>
      <c r="L72">
        <v>22.358053200000001</v>
      </c>
      <c r="M72">
        <v>95.821673801111075</v>
      </c>
      <c r="N72">
        <v>-3.1658773256693203E-2</v>
      </c>
      <c r="O72" s="1" t="str">
        <f>HYPERLINK(".\sm_car_250531_2225\sm_car_250531_2225_071_Ca143TrN_MaWOT_ode23t.png","figure")</f>
        <v>figure</v>
      </c>
      <c r="P72" t="s">
        <v>15</v>
      </c>
      <c r="V72">
        <f>K72-'2022a_250601_0524'!K72</f>
        <v>0</v>
      </c>
      <c r="W72" s="11">
        <f>V72/'2022a_250601_0524'!K72</f>
        <v>0</v>
      </c>
      <c r="X72">
        <f>L72-'2022a_250601_0524'!L72</f>
        <v>1.074440899999999</v>
      </c>
      <c r="Y72" s="11">
        <f>X72/'2022a_250601_0524'!L72</f>
        <v>5.0482074417414514E-2</v>
      </c>
    </row>
    <row r="73" spans="1:25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23</v>
      </c>
      <c r="K73">
        <v>448</v>
      </c>
      <c r="L73">
        <v>23.304949799999999</v>
      </c>
      <c r="M73">
        <v>25.014681132040707</v>
      </c>
      <c r="N73">
        <v>-5.2905397861808416E-2</v>
      </c>
      <c r="O73" s="1" t="str">
        <f>HYPERLINK(".\sm_car_250531_2225\sm_car_250531_2225_072_Ca143TrN_MaLSS_ode23t.png","figure")</f>
        <v>figure</v>
      </c>
      <c r="P73" t="s">
        <v>15</v>
      </c>
      <c r="V73">
        <f>K73-'2022a_250601_0524'!K73</f>
        <v>0</v>
      </c>
      <c r="W73" s="11">
        <f>V73/'2022a_250601_0524'!K73</f>
        <v>0</v>
      </c>
      <c r="X73">
        <f>L73-'2022a_250601_0524'!L73</f>
        <v>0.21681809999999757</v>
      </c>
      <c r="Y73" s="11">
        <f>X73/'2022a_250601_0524'!L73</f>
        <v>9.3908897790979575E-3</v>
      </c>
    </row>
    <row r="74" spans="1:25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23</v>
      </c>
      <c r="K74">
        <v>354</v>
      </c>
      <c r="L74">
        <v>15.5502603</v>
      </c>
      <c r="M74">
        <v>114.02109667338847</v>
      </c>
      <c r="N74">
        <v>0.52989003843524995</v>
      </c>
      <c r="O74" s="1" t="str">
        <f>HYPERLINK(".\sm_car_250531_2225\sm_car_250531_2225_073_Ca144TrN_MaWOT_ode23t.png","figure")</f>
        <v>figure</v>
      </c>
      <c r="P74" t="s">
        <v>15</v>
      </c>
      <c r="V74">
        <f>K74-'2022a_250601_0524'!K74</f>
        <v>0</v>
      </c>
      <c r="W74" s="11">
        <f>V74/'2022a_250601_0524'!K74</f>
        <v>0</v>
      </c>
      <c r="X74">
        <f>L74-'2022a_250601_0524'!L74</f>
        <v>-1.3075026999999988</v>
      </c>
      <c r="Y74" s="11">
        <f>X74/'2022a_250601_0524'!L74</f>
        <v>-7.7560866171863904E-2</v>
      </c>
    </row>
    <row r="75" spans="1:25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23</v>
      </c>
      <c r="K75">
        <v>460</v>
      </c>
      <c r="L75">
        <v>11.811054499999999</v>
      </c>
      <c r="M75">
        <v>35.600217061292902</v>
      </c>
      <c r="N75">
        <v>-3.1094151198819833E-2</v>
      </c>
      <c r="O75" s="1" t="str">
        <f>HYPERLINK(".\sm_car_250531_2225\sm_car_250531_2225_074_Ca144TrN_MaLSS_ode23t.png","figure")</f>
        <v>figure</v>
      </c>
      <c r="P75" t="s">
        <v>15</v>
      </c>
      <c r="V75">
        <f>K75-'2022a_250601_0524'!K75</f>
        <v>0</v>
      </c>
      <c r="W75" s="11">
        <f>V75/'2022a_250601_0524'!K75</f>
        <v>0</v>
      </c>
      <c r="X75">
        <f>L75-'2022a_250601_0524'!L75</f>
        <v>-4.5757199000000011</v>
      </c>
      <c r="Y75" s="11">
        <f>X75/'2022a_250601_0524'!L75</f>
        <v>-0.27923249495642055</v>
      </c>
    </row>
    <row r="76" spans="1:25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23</v>
      </c>
      <c r="K76">
        <v>2380</v>
      </c>
      <c r="L76">
        <v>28.303329999999999</v>
      </c>
      <c r="M76">
        <v>399.81124753603279</v>
      </c>
      <c r="N76">
        <v>-16.045456112949136</v>
      </c>
      <c r="O76" s="1" t="str">
        <f>HYPERLINK(".\sm_car_250531_2225\sm_car_250531_2225_075_Ca147TrN_MaWOT_ode23t.png","figure")</f>
        <v>figure</v>
      </c>
      <c r="P76" t="s">
        <v>15</v>
      </c>
      <c r="V76">
        <f>K76-'2022a_250601_0524'!K76</f>
        <v>0</v>
      </c>
      <c r="W76" s="11">
        <f>V76/'2022a_250601_0524'!K76</f>
        <v>0</v>
      </c>
      <c r="X76">
        <f>L76-'2022a_250601_0524'!L76</f>
        <v>0.59383589999999842</v>
      </c>
      <c r="Y76" s="11">
        <f>X76/'2022a_250601_0524'!L76</f>
        <v>2.1430773793881659E-2</v>
      </c>
    </row>
    <row r="77" spans="1:25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23</v>
      </c>
      <c r="K77">
        <v>1289</v>
      </c>
      <c r="L77">
        <v>18.816823299999999</v>
      </c>
      <c r="M77">
        <v>151.95045176866967</v>
      </c>
      <c r="N77">
        <v>-2.37086492899404</v>
      </c>
      <c r="O77" s="1" t="str">
        <f>HYPERLINK(".\sm_car_250531_2225\sm_car_250531_2225_076_Ca147TrN_MaLSS_ode23t.png","figure")</f>
        <v>figure</v>
      </c>
      <c r="P77" t="s">
        <v>15</v>
      </c>
      <c r="V77">
        <f>K77-'2022a_250601_0524'!K77</f>
        <v>0</v>
      </c>
      <c r="W77" s="11">
        <f>V77/'2022a_250601_0524'!K77</f>
        <v>0</v>
      </c>
      <c r="X77">
        <f>L77-'2022a_250601_0524'!L77</f>
        <v>0.44311839999999947</v>
      </c>
      <c r="Y77" s="11">
        <f>X77/'2022a_250601_0524'!L77</f>
        <v>2.4116986879439837E-2</v>
      </c>
    </row>
    <row r="78" spans="1:25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23</v>
      </c>
      <c r="K78">
        <v>312</v>
      </c>
      <c r="L78">
        <v>8.3625401000000004</v>
      </c>
      <c r="M78">
        <v>229.67542025612829</v>
      </c>
      <c r="N78">
        <v>5.5980890335133957E-3</v>
      </c>
      <c r="O78" s="1" t="str">
        <f>HYPERLINK(".\sm_car_250531_2225\sm_car_250531_2225_077_Ca215TrN_MaWOT_ode23t.png","figure")</f>
        <v>figure</v>
      </c>
      <c r="P78" t="s">
        <v>15</v>
      </c>
      <c r="V78">
        <f>K78-'2022a_250601_0524'!K78</f>
        <v>0</v>
      </c>
      <c r="W78" s="11">
        <f>V78/'2022a_250601_0524'!K78</f>
        <v>0</v>
      </c>
      <c r="X78">
        <f>L78-'2022a_250601_0524'!L78</f>
        <v>-0.14792429999999968</v>
      </c>
      <c r="Y78" s="11">
        <f>X78/'2022a_250601_0524'!L78</f>
        <v>-1.7381460405380425E-2</v>
      </c>
    </row>
    <row r="79" spans="1:25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23</v>
      </c>
      <c r="K79">
        <v>471</v>
      </c>
      <c r="L79">
        <v>8.5705890999999994</v>
      </c>
      <c r="M79">
        <v>81.26828189226714</v>
      </c>
      <c r="N79">
        <v>-0.22189443475888274</v>
      </c>
      <c r="O79" s="1" t="str">
        <f>HYPERLINK(".\sm_car_250531_2225\sm_car_250531_2225_078_Ca215TrN_MaLSS_ode23t.png","figure")</f>
        <v>figure</v>
      </c>
      <c r="P79" t="s">
        <v>15</v>
      </c>
      <c r="V79">
        <f>K79-'2022a_250601_0524'!K79</f>
        <v>0</v>
      </c>
      <c r="W79" s="11">
        <f>V79/'2022a_250601_0524'!K79</f>
        <v>0</v>
      </c>
      <c r="X79">
        <f>L79-'2022a_250601_0524'!L79</f>
        <v>1.6448999999999714E-2</v>
      </c>
      <c r="Y79" s="11">
        <f>X79/'2022a_250601_0524'!L79</f>
        <v>1.9229285243995144E-3</v>
      </c>
    </row>
    <row r="80" spans="1:25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26</v>
      </c>
      <c r="H80" t="s">
        <v>21</v>
      </c>
      <c r="I80" t="s">
        <v>22</v>
      </c>
      <c r="J80" t="s">
        <v>23</v>
      </c>
      <c r="K80">
        <v>373</v>
      </c>
      <c r="L80">
        <v>4.8527073999999999</v>
      </c>
      <c r="M80">
        <v>230.22411712835432</v>
      </c>
      <c r="N80">
        <v>0.17085345839859131</v>
      </c>
      <c r="O80" s="1" t="str">
        <f>HYPERLINK(".\sm_car_250531_2225\sm_car_250531_2225_079_Ca218TrN_MaWOT_ode23t.png","figure")</f>
        <v>figure</v>
      </c>
      <c r="P80" t="s">
        <v>15</v>
      </c>
      <c r="V80">
        <f>K80-'2022a_250601_0524'!K80</f>
        <v>0</v>
      </c>
      <c r="W80" s="11">
        <f>V80/'2022a_250601_0524'!K80</f>
        <v>0</v>
      </c>
      <c r="X80">
        <f>L80-'2022a_250601_0524'!L80</f>
        <v>-0.15644680000000033</v>
      </c>
      <c r="Y80" s="11">
        <f>X80/'2022a_250601_0524'!L80</f>
        <v>-3.1232178877623754E-2</v>
      </c>
    </row>
    <row r="81" spans="1:25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26</v>
      </c>
      <c r="H81" t="s">
        <v>21</v>
      </c>
      <c r="I81" t="s">
        <v>24</v>
      </c>
      <c r="J81" t="s">
        <v>23</v>
      </c>
      <c r="K81">
        <v>481</v>
      </c>
      <c r="L81">
        <v>5.9659829000000002</v>
      </c>
      <c r="M81">
        <v>70.964788723088489</v>
      </c>
      <c r="N81">
        <v>-0.51904376443984857</v>
      </c>
      <c r="O81" s="1" t="str">
        <f>HYPERLINK(".\sm_car_250531_2225\sm_car_250531_2225_080_Ca218TrN_MaLSS_ode23t.png","figure")</f>
        <v>figure</v>
      </c>
      <c r="P81" t="s">
        <v>15</v>
      </c>
      <c r="V81">
        <f>K81-'2022a_250601_0524'!K81</f>
        <v>0</v>
      </c>
      <c r="W81" s="11">
        <f>V81/'2022a_250601_0524'!K81</f>
        <v>0</v>
      </c>
      <c r="X81">
        <f>L81-'2022a_250601_0524'!L81</f>
        <v>-4.0290000000009485E-4</v>
      </c>
      <c r="Y81" s="11">
        <f>X81/'2022a_250601_0524'!L81</f>
        <v>-6.7528318400076441E-5</v>
      </c>
    </row>
    <row r="82" spans="1:25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26</v>
      </c>
      <c r="H82" t="s">
        <v>21</v>
      </c>
      <c r="I82" t="s">
        <v>22</v>
      </c>
      <c r="J82" t="s">
        <v>23</v>
      </c>
      <c r="K82">
        <v>390</v>
      </c>
      <c r="L82">
        <v>7.6028998000000003</v>
      </c>
      <c r="M82">
        <v>229.44962048659602</v>
      </c>
      <c r="N82">
        <v>0.1715956450809871</v>
      </c>
      <c r="O82" s="1" t="str">
        <f>HYPERLINK(".\sm_car_250531_2225\sm_car_250531_2225_081_Ca219TrN_MaWOT_ode23t.png","figure")</f>
        <v>figure</v>
      </c>
      <c r="P82" t="s">
        <v>15</v>
      </c>
      <c r="V82">
        <f>K82-'2022a_250601_0524'!K82</f>
        <v>0</v>
      </c>
      <c r="W82" s="11">
        <f>V82/'2022a_250601_0524'!K82</f>
        <v>0</v>
      </c>
      <c r="X82">
        <f>L82-'2022a_250601_0524'!L82</f>
        <v>0.55962400000000034</v>
      </c>
      <c r="Y82" s="11">
        <f>X82/'2022a_250601_0524'!L82</f>
        <v>7.9455074015417709E-2</v>
      </c>
    </row>
    <row r="83" spans="1:25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26</v>
      </c>
      <c r="H83" t="s">
        <v>21</v>
      </c>
      <c r="I83" t="s">
        <v>24</v>
      </c>
      <c r="J83" t="s">
        <v>23</v>
      </c>
      <c r="K83">
        <v>496</v>
      </c>
      <c r="L83">
        <v>8.0846114</v>
      </c>
      <c r="M83">
        <v>70.786943112679353</v>
      </c>
      <c r="N83">
        <v>-0.55859333283835977</v>
      </c>
      <c r="O83" s="1" t="str">
        <f>HYPERLINK(".\sm_car_250531_2225\sm_car_250531_2225_082_Ca219TrN_MaLSS_ode23t.png","figure")</f>
        <v>figure</v>
      </c>
      <c r="P83" t="s">
        <v>15</v>
      </c>
      <c r="V83">
        <f>K83-'2022a_250601_0524'!K83</f>
        <v>0</v>
      </c>
      <c r="W83" s="11">
        <f>V83/'2022a_250601_0524'!K83</f>
        <v>0</v>
      </c>
      <c r="X83">
        <f>L83-'2022a_250601_0524'!L83</f>
        <v>-4.8094900000000607E-2</v>
      </c>
      <c r="Y83" s="11">
        <f>X83/'2022a_250601_0524'!L83</f>
        <v>-5.9137632942678139E-3</v>
      </c>
    </row>
    <row r="84" spans="1:25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26</v>
      </c>
      <c r="H84" t="s">
        <v>21</v>
      </c>
      <c r="I84" t="s">
        <v>22</v>
      </c>
      <c r="J84" t="s">
        <v>23</v>
      </c>
      <c r="K84">
        <v>932</v>
      </c>
      <c r="L84">
        <v>31.7905713</v>
      </c>
      <c r="M84">
        <v>223.94171462069443</v>
      </c>
      <c r="N84">
        <v>-1.2147688594958139</v>
      </c>
      <c r="O84" s="1" t="str">
        <f>HYPERLINK(".\sm_car_250531_2225\sm_car_250531_2225_083_Ca220TrN_MaWOT_ode23t.png","figure")</f>
        <v>figure</v>
      </c>
      <c r="P84" t="s">
        <v>15</v>
      </c>
      <c r="V84">
        <f>K84-'2022a_250601_0524'!K84</f>
        <v>0</v>
      </c>
      <c r="W84" s="11">
        <f>V84/'2022a_250601_0524'!K84</f>
        <v>0</v>
      </c>
      <c r="X84">
        <f>L84-'2022a_250601_0524'!L84</f>
        <v>0.19282289999999946</v>
      </c>
      <c r="Y84" s="11">
        <f>X84/'2022a_250601_0524'!L84</f>
        <v>6.1024253234448645E-3</v>
      </c>
    </row>
    <row r="85" spans="1:25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26</v>
      </c>
      <c r="H85" t="s">
        <v>21</v>
      </c>
      <c r="I85" t="s">
        <v>24</v>
      </c>
      <c r="J85" t="s">
        <v>23</v>
      </c>
      <c r="K85">
        <v>1080</v>
      </c>
      <c r="L85">
        <v>38.431281900000002</v>
      </c>
      <c r="M85">
        <v>69.476996389491319</v>
      </c>
      <c r="N85">
        <v>-1.503324317865119</v>
      </c>
      <c r="O85" s="1" t="str">
        <f>HYPERLINK(".\sm_car_250531_2225\sm_car_250531_2225_084_Ca220TrN_MaLSS_ode23t.png","figure")</f>
        <v>figure</v>
      </c>
      <c r="P85" t="s">
        <v>15</v>
      </c>
      <c r="V85">
        <f>K85-'2022a_250601_0524'!K85</f>
        <v>0</v>
      </c>
      <c r="W85" s="11">
        <f>V85/'2022a_250601_0524'!K85</f>
        <v>0</v>
      </c>
      <c r="X85">
        <f>L85-'2022a_250601_0524'!L85</f>
        <v>5.1303000000004317E-2</v>
      </c>
      <c r="Y85" s="11">
        <f>X85/'2022a_250601_0524'!L85</f>
        <v>1.3367125639562121E-3</v>
      </c>
    </row>
    <row r="86" spans="1:25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23</v>
      </c>
      <c r="K86">
        <v>468</v>
      </c>
      <c r="L86">
        <v>7.8579948999999996</v>
      </c>
      <c r="M86">
        <v>293.16432845264791</v>
      </c>
      <c r="N86">
        <v>5.2423235952798494E-5</v>
      </c>
      <c r="O86" s="1" t="str">
        <f>HYPERLINK(".\sm_car_250531_2225\sm_car_250531_2225_085_Ca223TrN_MaWOT_ode23t.png","figure")</f>
        <v>figure</v>
      </c>
      <c r="P86" t="s">
        <v>15</v>
      </c>
      <c r="V86">
        <f>K86-'2022a_250601_0524'!K86</f>
        <v>0</v>
      </c>
      <c r="W86" s="11">
        <f>V86/'2022a_250601_0524'!K86</f>
        <v>0</v>
      </c>
      <c r="X86">
        <f>L86-'2022a_250601_0524'!L86</f>
        <v>0.5436172999999993</v>
      </c>
      <c r="Y86" s="11">
        <f>X86/'2022a_250601_0524'!L86</f>
        <v>7.4321744067465056E-2</v>
      </c>
    </row>
    <row r="87" spans="1:25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23</v>
      </c>
      <c r="K87">
        <v>647</v>
      </c>
      <c r="L87">
        <v>7.4538485999999997</v>
      </c>
      <c r="M87">
        <v>103.53157620195991</v>
      </c>
      <c r="N87">
        <v>-0.15335018436426809</v>
      </c>
      <c r="O87" s="1" t="str">
        <f>HYPERLINK(".\sm_car_250531_2225\sm_car_250531_2225_086_Ca223TrN_MaLSS_ode23t.png","figure")</f>
        <v>figure</v>
      </c>
      <c r="P87" t="s">
        <v>15</v>
      </c>
      <c r="V87">
        <f>K87-'2022a_250601_0524'!K87</f>
        <v>0</v>
      </c>
      <c r="W87" s="11">
        <f>V87/'2022a_250601_0524'!K87</f>
        <v>0</v>
      </c>
      <c r="X87">
        <f>L87-'2022a_250601_0524'!L87</f>
        <v>0.47345099999999984</v>
      </c>
      <c r="Y87" s="11">
        <f>X87/'2022a_250601_0524'!L87</f>
        <v>6.7825792616741473E-2</v>
      </c>
    </row>
    <row r="88" spans="1:25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23</v>
      </c>
      <c r="K88">
        <v>752</v>
      </c>
      <c r="L88">
        <v>25.0463022</v>
      </c>
      <c r="M88">
        <v>407.69605397951489</v>
      </c>
      <c r="N88">
        <v>-12.951957221236629</v>
      </c>
      <c r="O88" s="1" t="str">
        <f>HYPERLINK(".\sm_car_250531_2225\sm_car_250531_2225_087_Ca227TrN_MaWOT_ode23t.png","figure")</f>
        <v>figure</v>
      </c>
      <c r="P88" t="s">
        <v>15</v>
      </c>
      <c r="V88">
        <f>K88-'2022a_250601_0524'!K88</f>
        <v>0</v>
      </c>
      <c r="W88" s="11">
        <f>V88/'2022a_250601_0524'!K88</f>
        <v>0</v>
      </c>
      <c r="X88">
        <f>L88-'2022a_250601_0524'!L88</f>
        <v>1.1520821999999988</v>
      </c>
      <c r="Y88" s="11">
        <f>X88/'2022a_250601_0524'!L88</f>
        <v>4.8215936741186731E-2</v>
      </c>
    </row>
    <row r="89" spans="1:25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23</v>
      </c>
      <c r="K89">
        <v>735</v>
      </c>
      <c r="L89">
        <v>16.654285000000002</v>
      </c>
      <c r="M89">
        <v>155.4698394651796</v>
      </c>
      <c r="N89">
        <v>-2.8695899556885109</v>
      </c>
      <c r="O89" s="1" t="str">
        <f>HYPERLINK(".\sm_car_250531_2225\sm_car_250531_2225_088_Ca227TrN_MaLSS_ode23t.png","figure")</f>
        <v>figure</v>
      </c>
      <c r="P89" t="s">
        <v>15</v>
      </c>
      <c r="V89">
        <f>K89-'2022a_250601_0524'!K89</f>
        <v>0</v>
      </c>
      <c r="W89" s="11">
        <f>V89/'2022a_250601_0524'!K89</f>
        <v>0</v>
      </c>
      <c r="X89">
        <f>L89-'2022a_250601_0524'!L89</f>
        <v>-0.18770959999999803</v>
      </c>
      <c r="Y89" s="11">
        <f>X89/'2022a_250601_0524'!L89</f>
        <v>-1.1145330731788623E-2</v>
      </c>
    </row>
    <row r="90" spans="1:25" x14ac:dyDescent="0.25">
      <c r="A90">
        <v>89</v>
      </c>
      <c r="B90">
        <v>8</v>
      </c>
      <c r="C90" t="s">
        <v>16</v>
      </c>
      <c r="D90" t="s">
        <v>17</v>
      </c>
      <c r="E90" t="s">
        <v>49</v>
      </c>
      <c r="F90" t="s">
        <v>19</v>
      </c>
      <c r="G90" t="s">
        <v>20</v>
      </c>
      <c r="H90" t="s">
        <v>21</v>
      </c>
      <c r="I90" t="s">
        <v>22</v>
      </c>
      <c r="J90" t="s">
        <v>23</v>
      </c>
      <c r="K90">
        <v>382</v>
      </c>
      <c r="L90">
        <v>10.730172</v>
      </c>
      <c r="M90">
        <v>231.31978471892802</v>
      </c>
      <c r="N90">
        <v>1.0394596207732492E-3</v>
      </c>
      <c r="O90" s="1" t="str">
        <f>HYPERLINK(".\sm_car_250531_2225\sm_car_250531_2225_089_Ca008TrN_MaWOT_ode23t_1.png","figure")</f>
        <v>figure</v>
      </c>
      <c r="P90" t="s">
        <v>15</v>
      </c>
      <c r="V90">
        <f>K90-'2022a_250601_0524'!K90</f>
        <v>0</v>
      </c>
      <c r="W90" s="11">
        <f>V90/'2022a_250601_0524'!K90</f>
        <v>0</v>
      </c>
      <c r="X90">
        <f>L90-'2022a_250601_0524'!L90</f>
        <v>5.0092799999999826E-2</v>
      </c>
      <c r="Y90" s="11">
        <f>X90/'2022a_250601_0524'!L90</f>
        <v>4.6903022966346382E-3</v>
      </c>
    </row>
    <row r="91" spans="1:25" x14ac:dyDescent="0.25">
      <c r="A91">
        <v>90</v>
      </c>
      <c r="B91">
        <v>8</v>
      </c>
      <c r="C91" t="s">
        <v>16</v>
      </c>
      <c r="D91" t="s">
        <v>17</v>
      </c>
      <c r="E91" t="s">
        <v>49</v>
      </c>
      <c r="F91" t="s">
        <v>19</v>
      </c>
      <c r="G91" t="s">
        <v>20</v>
      </c>
      <c r="H91" t="s">
        <v>21</v>
      </c>
      <c r="I91" t="s">
        <v>24</v>
      </c>
      <c r="J91" t="s">
        <v>23</v>
      </c>
      <c r="K91">
        <v>556</v>
      </c>
      <c r="L91">
        <v>13.150563099999999</v>
      </c>
      <c r="M91">
        <v>71.256587613707282</v>
      </c>
      <c r="N91">
        <v>-0.53995846386788471</v>
      </c>
      <c r="O91" s="1" t="str">
        <f>HYPERLINK(".\sm_car_250531_2225\sm_car_250531_2225_090_Ca008TrN_MaLSS_ode23t_1.png","figure")</f>
        <v>figure</v>
      </c>
      <c r="P91" t="s">
        <v>15</v>
      </c>
      <c r="V91">
        <f>K91-'2022a_250601_0524'!K91</f>
        <v>0</v>
      </c>
      <c r="W91" s="11">
        <f>V91/'2022a_250601_0524'!K91</f>
        <v>0</v>
      </c>
      <c r="X91">
        <f>L91-'2022a_250601_0524'!L91</f>
        <v>0.47835219999999978</v>
      </c>
      <c r="Y91" s="11">
        <f>X91/'2022a_250601_0524'!L91</f>
        <v>3.7748124914808653E-2</v>
      </c>
    </row>
    <row r="92" spans="1:25" x14ac:dyDescent="0.25">
      <c r="A92">
        <v>91</v>
      </c>
      <c r="B92">
        <v>9</v>
      </c>
      <c r="C92" t="s">
        <v>16</v>
      </c>
      <c r="D92" t="s">
        <v>17</v>
      </c>
      <c r="E92" t="s">
        <v>49</v>
      </c>
      <c r="F92" t="s">
        <v>19</v>
      </c>
      <c r="G92" t="s">
        <v>25</v>
      </c>
      <c r="H92" t="s">
        <v>21</v>
      </c>
      <c r="I92" t="s">
        <v>22</v>
      </c>
      <c r="J92" t="s">
        <v>23</v>
      </c>
      <c r="K92">
        <v>378</v>
      </c>
      <c r="L92">
        <v>12.245118099999999</v>
      </c>
      <c r="M92">
        <v>230.3113958162119</v>
      </c>
      <c r="N92">
        <v>-1.2297389528663296E-2</v>
      </c>
      <c r="O92" s="1" t="str">
        <f>HYPERLINK(".\sm_car_250531_2225\sm_car_250531_2225_091_Ca009TrN_MaWOT_ode23t_1.png","figure")</f>
        <v>figure</v>
      </c>
      <c r="P92" t="s">
        <v>15</v>
      </c>
      <c r="V92">
        <f>K92-'2022a_250601_0524'!K92</f>
        <v>-13</v>
      </c>
      <c r="W92" s="11">
        <f>V92/'2022a_250601_0524'!K92</f>
        <v>-3.3248081841432228E-2</v>
      </c>
      <c r="X92">
        <f>L92-'2022a_250601_0524'!L92</f>
        <v>-0.13271320000000131</v>
      </c>
      <c r="Y92" s="11">
        <f>X92/'2022a_250601_0524'!L92</f>
        <v>-1.0721845918194191E-2</v>
      </c>
    </row>
    <row r="93" spans="1:25" x14ac:dyDescent="0.25">
      <c r="A93">
        <v>92</v>
      </c>
      <c r="B93">
        <v>9</v>
      </c>
      <c r="C93" t="s">
        <v>16</v>
      </c>
      <c r="D93" t="s">
        <v>17</v>
      </c>
      <c r="E93" t="s">
        <v>49</v>
      </c>
      <c r="F93" t="s">
        <v>19</v>
      </c>
      <c r="G93" t="s">
        <v>25</v>
      </c>
      <c r="H93" t="s">
        <v>21</v>
      </c>
      <c r="I93" t="s">
        <v>24</v>
      </c>
      <c r="J93" t="s">
        <v>23</v>
      </c>
      <c r="K93">
        <v>548</v>
      </c>
      <c r="L93">
        <v>14.826188500000001</v>
      </c>
      <c r="M93">
        <v>70.967233843725921</v>
      </c>
      <c r="N93">
        <v>-0.53587322619171207</v>
      </c>
      <c r="O93" s="1" t="str">
        <f>HYPERLINK(".\sm_car_250531_2225\sm_car_250531_2225_092_Ca009TrN_MaLSS_ode23t_1.png","figure")</f>
        <v>figure</v>
      </c>
      <c r="P93" t="s">
        <v>15</v>
      </c>
      <c r="V93">
        <f>K93-'2022a_250601_0524'!K93</f>
        <v>12</v>
      </c>
      <c r="W93" s="11">
        <f>V93/'2022a_250601_0524'!K93</f>
        <v>2.2388059701492536E-2</v>
      </c>
      <c r="X93">
        <f>L93-'2022a_250601_0524'!L93</f>
        <v>9.2961300000000691E-2</v>
      </c>
      <c r="Y93" s="11">
        <f>X93/'2022a_250601_0524'!L93</f>
        <v>6.309635949956754E-3</v>
      </c>
    </row>
    <row r="94" spans="1:25" x14ac:dyDescent="0.25">
      <c r="A94">
        <v>93</v>
      </c>
      <c r="B94">
        <v>10</v>
      </c>
      <c r="C94" t="s">
        <v>16</v>
      </c>
      <c r="D94" t="s">
        <v>17</v>
      </c>
      <c r="E94" t="s">
        <v>49</v>
      </c>
      <c r="F94" t="s">
        <v>19</v>
      </c>
      <c r="G94" t="s">
        <v>26</v>
      </c>
      <c r="H94" t="s">
        <v>21</v>
      </c>
      <c r="I94" t="s">
        <v>22</v>
      </c>
      <c r="J94" t="s">
        <v>23</v>
      </c>
      <c r="K94">
        <v>419</v>
      </c>
      <c r="L94">
        <v>13.949040099999999</v>
      </c>
      <c r="M94">
        <v>230.34796091996901</v>
      </c>
      <c r="N94">
        <v>5.6989612211716487E-2</v>
      </c>
      <c r="O94" s="1" t="str">
        <f>HYPERLINK(".\sm_car_250531_2225\sm_car_250531_2225_093_Ca010TrN_MaWOT_ode23t_1.png","figure")</f>
        <v>figure</v>
      </c>
      <c r="P94" t="s">
        <v>15</v>
      </c>
      <c r="V94">
        <f>K94-'2022a_250601_0524'!K94</f>
        <v>0</v>
      </c>
      <c r="W94" s="11">
        <f>V94/'2022a_250601_0524'!K94</f>
        <v>0</v>
      </c>
      <c r="X94">
        <f>L94-'2022a_250601_0524'!L94</f>
        <v>0.35384189999999904</v>
      </c>
      <c r="Y94" s="11">
        <f>X94/'2022a_250601_0524'!L94</f>
        <v>2.6026976201053032E-2</v>
      </c>
    </row>
    <row r="95" spans="1:25" x14ac:dyDescent="0.25">
      <c r="A95">
        <v>94</v>
      </c>
      <c r="B95">
        <v>10</v>
      </c>
      <c r="C95" t="s">
        <v>16</v>
      </c>
      <c r="D95" t="s">
        <v>17</v>
      </c>
      <c r="E95" t="s">
        <v>49</v>
      </c>
      <c r="F95" t="s">
        <v>19</v>
      </c>
      <c r="G95" t="s">
        <v>26</v>
      </c>
      <c r="H95" t="s">
        <v>21</v>
      </c>
      <c r="I95" t="s">
        <v>24</v>
      </c>
      <c r="J95" t="s">
        <v>23</v>
      </c>
      <c r="K95">
        <v>562</v>
      </c>
      <c r="L95">
        <v>17.125622400000001</v>
      </c>
      <c r="M95">
        <v>70.975384289103332</v>
      </c>
      <c r="N95">
        <v>-0.52128753261904026</v>
      </c>
      <c r="O95" s="1" t="str">
        <f>HYPERLINK(".\sm_car_250531_2225\sm_car_250531_2225_094_Ca010TrN_MaLSS_ode23t_1.png","figure")</f>
        <v>figure</v>
      </c>
      <c r="P95" t="s">
        <v>15</v>
      </c>
      <c r="V95">
        <f>K95-'2022a_250601_0524'!K95</f>
        <v>0</v>
      </c>
      <c r="W95" s="11">
        <f>V95/'2022a_250601_0524'!K95</f>
        <v>0</v>
      </c>
      <c r="X95">
        <f>L95-'2022a_250601_0524'!L95</f>
        <v>-0.43149850000000001</v>
      </c>
      <c r="Y95" s="11">
        <f>X95/'2022a_250601_0524'!L95</f>
        <v>-2.4576837082667693E-2</v>
      </c>
    </row>
    <row r="96" spans="1:25" x14ac:dyDescent="0.25">
      <c r="A96">
        <v>95</v>
      </c>
      <c r="B96">
        <v>11</v>
      </c>
      <c r="C96" t="s">
        <v>16</v>
      </c>
      <c r="D96" t="s">
        <v>17</v>
      </c>
      <c r="E96" t="s">
        <v>49</v>
      </c>
      <c r="F96" t="s">
        <v>19</v>
      </c>
      <c r="G96" t="s">
        <v>27</v>
      </c>
      <c r="H96" t="s">
        <v>21</v>
      </c>
      <c r="I96" t="s">
        <v>22</v>
      </c>
      <c r="J96" t="s">
        <v>23</v>
      </c>
      <c r="K96">
        <v>463</v>
      </c>
      <c r="L96">
        <v>14.9368891</v>
      </c>
      <c r="M96">
        <v>229.92215855071231</v>
      </c>
      <c r="N96">
        <v>5.0845959680894386E-2</v>
      </c>
      <c r="O96" s="1" t="str">
        <f>HYPERLINK(".\sm_car_250531_2225\sm_car_250531_2225_095_Ca011TrN_MaWOT_ode23t_1.png","figure")</f>
        <v>figure</v>
      </c>
      <c r="P96" t="s">
        <v>15</v>
      </c>
      <c r="V96">
        <f>K96-'2022a_250601_0524'!K96</f>
        <v>0</v>
      </c>
      <c r="W96" s="11">
        <f>V96/'2022a_250601_0524'!K96</f>
        <v>0</v>
      </c>
      <c r="X96">
        <f>L96-'2022a_250601_0524'!L96</f>
        <v>-0.52442240000000062</v>
      </c>
      <c r="Y96" s="11">
        <f>X96/'2022a_250601_0524'!L96</f>
        <v>-3.3918364557883759E-2</v>
      </c>
    </row>
    <row r="97" spans="1:25" x14ac:dyDescent="0.25">
      <c r="A97">
        <v>96</v>
      </c>
      <c r="B97">
        <v>11</v>
      </c>
      <c r="C97" t="s">
        <v>16</v>
      </c>
      <c r="D97" t="s">
        <v>17</v>
      </c>
      <c r="E97" t="s">
        <v>49</v>
      </c>
      <c r="F97" t="s">
        <v>19</v>
      </c>
      <c r="G97" t="s">
        <v>27</v>
      </c>
      <c r="H97" t="s">
        <v>21</v>
      </c>
      <c r="I97" t="s">
        <v>24</v>
      </c>
      <c r="J97" t="s">
        <v>23</v>
      </c>
      <c r="K97">
        <v>599</v>
      </c>
      <c r="L97">
        <v>17.576409000000002</v>
      </c>
      <c r="M97">
        <v>70.835970917767526</v>
      </c>
      <c r="N97">
        <v>-0.52696983306563105</v>
      </c>
      <c r="O97" s="1" t="str">
        <f>HYPERLINK(".\sm_car_250531_2225\sm_car_250531_2225_096_Ca011TrN_MaLSS_ode23t_1.png","figure")</f>
        <v>figure</v>
      </c>
      <c r="P97" t="s">
        <v>15</v>
      </c>
      <c r="V97">
        <f>K97-'2022a_250601_0524'!K97</f>
        <v>0</v>
      </c>
      <c r="W97" s="11">
        <f>V97/'2022a_250601_0524'!K97</f>
        <v>0</v>
      </c>
      <c r="X97">
        <f>L97-'2022a_250601_0524'!L97</f>
        <v>0.29940500000000014</v>
      </c>
      <c r="Y97" s="11">
        <f>X97/'2022a_250601_0524'!L97</f>
        <v>1.7329682854735701E-2</v>
      </c>
    </row>
    <row r="98" spans="1:25" x14ac:dyDescent="0.25">
      <c r="A98">
        <v>97</v>
      </c>
      <c r="B98">
        <v>12</v>
      </c>
      <c r="C98" t="s">
        <v>16</v>
      </c>
      <c r="D98" t="s">
        <v>17</v>
      </c>
      <c r="E98" t="s">
        <v>49</v>
      </c>
      <c r="F98" t="s">
        <v>28</v>
      </c>
      <c r="G98" t="s">
        <v>20</v>
      </c>
      <c r="H98" t="s">
        <v>21</v>
      </c>
      <c r="I98" t="s">
        <v>22</v>
      </c>
      <c r="J98" t="s">
        <v>23</v>
      </c>
      <c r="K98">
        <v>852</v>
      </c>
      <c r="L98">
        <v>11.9881691</v>
      </c>
      <c r="M98">
        <v>231.35029137154615</v>
      </c>
      <c r="N98">
        <v>-4.0795641440786361E-3</v>
      </c>
      <c r="O98" s="1" t="str">
        <f>HYPERLINK(".\sm_car_250531_2225\sm_car_250531_2225_097_Ca012TrN_MaWOT_ode23t_1.png","figure")</f>
        <v>figure</v>
      </c>
      <c r="P98" t="s">
        <v>15</v>
      </c>
      <c r="V98">
        <f>K98-'2022a_250601_0524'!K98</f>
        <v>0</v>
      </c>
      <c r="W98" s="11">
        <f>V98/'2022a_250601_0524'!K98</f>
        <v>0</v>
      </c>
      <c r="X98">
        <f>L98-'2022a_250601_0524'!L98</f>
        <v>-0.19739880000000021</v>
      </c>
      <c r="Y98" s="11">
        <f>X98/'2022a_250601_0524'!L98</f>
        <v>-1.6199392725881917E-2</v>
      </c>
    </row>
    <row r="99" spans="1:25" x14ac:dyDescent="0.25">
      <c r="A99">
        <v>98</v>
      </c>
      <c r="B99">
        <v>12</v>
      </c>
      <c r="C99" t="s">
        <v>16</v>
      </c>
      <c r="D99" t="s">
        <v>17</v>
      </c>
      <c r="E99" t="s">
        <v>49</v>
      </c>
      <c r="F99" t="s">
        <v>28</v>
      </c>
      <c r="G99" t="s">
        <v>20</v>
      </c>
      <c r="H99" t="s">
        <v>21</v>
      </c>
      <c r="I99" t="s">
        <v>24</v>
      </c>
      <c r="J99" t="s">
        <v>23</v>
      </c>
      <c r="K99">
        <v>983</v>
      </c>
      <c r="L99">
        <v>13.631604100000001</v>
      </c>
      <c r="M99">
        <v>71.248061147625592</v>
      </c>
      <c r="N99">
        <v>-0.54433560304338646</v>
      </c>
      <c r="O99" s="1" t="str">
        <f>HYPERLINK(".\sm_car_250531_2225\sm_car_250531_2225_098_Ca012TrN_MaLSS_ode23t_1.png","figure")</f>
        <v>figure</v>
      </c>
      <c r="P99" t="s">
        <v>15</v>
      </c>
      <c r="V99">
        <f>K99-'2022a_250601_0524'!K99</f>
        <v>0</v>
      </c>
      <c r="W99" s="11">
        <f>V99/'2022a_250601_0524'!K99</f>
        <v>0</v>
      </c>
      <c r="X99">
        <f>L99-'2022a_250601_0524'!L99</f>
        <v>-0.39919569999999993</v>
      </c>
      <c r="Y99" s="11">
        <f>X99/'2022a_250601_0524'!L99</f>
        <v>-2.8451385928833502E-2</v>
      </c>
    </row>
    <row r="100" spans="1:25" x14ac:dyDescent="0.25">
      <c r="A100">
        <v>99</v>
      </c>
      <c r="B100">
        <v>13</v>
      </c>
      <c r="C100" t="s">
        <v>16</v>
      </c>
      <c r="D100" t="s">
        <v>17</v>
      </c>
      <c r="E100" t="s">
        <v>49</v>
      </c>
      <c r="F100" t="s">
        <v>28</v>
      </c>
      <c r="G100" t="s">
        <v>25</v>
      </c>
      <c r="H100" t="s">
        <v>21</v>
      </c>
      <c r="I100" t="s">
        <v>22</v>
      </c>
      <c r="J100" t="s">
        <v>23</v>
      </c>
      <c r="K100">
        <v>843</v>
      </c>
      <c r="L100">
        <v>13.627271800000001</v>
      </c>
      <c r="M100">
        <v>230.28971116089519</v>
      </c>
      <c r="N100">
        <v>-1.1684402610274909E-2</v>
      </c>
      <c r="O100" s="1" t="str">
        <f>HYPERLINK(".\sm_car_250531_2225\sm_car_250531_2225_099_Ca013TrN_MaWOT_ode23t_1.png","figure")</f>
        <v>figure</v>
      </c>
      <c r="P100" t="s">
        <v>15</v>
      </c>
      <c r="V100">
        <f>K100-'2022a_250601_0524'!K100</f>
        <v>3</v>
      </c>
      <c r="W100" s="11">
        <f>V100/'2022a_250601_0524'!K100</f>
        <v>3.5714285714285713E-3</v>
      </c>
      <c r="X100">
        <f>L100-'2022a_250601_0524'!L100</f>
        <v>0.45801740000000102</v>
      </c>
      <c r="Y100" s="11">
        <f>X100/'2022a_250601_0524'!L100</f>
        <v>3.4779296237150752E-2</v>
      </c>
    </row>
    <row r="101" spans="1:25" x14ac:dyDescent="0.25">
      <c r="A101">
        <v>100</v>
      </c>
      <c r="B101">
        <v>13</v>
      </c>
      <c r="C101" t="s">
        <v>16</v>
      </c>
      <c r="D101" t="s">
        <v>17</v>
      </c>
      <c r="E101" t="s">
        <v>49</v>
      </c>
      <c r="F101" t="s">
        <v>28</v>
      </c>
      <c r="G101" t="s">
        <v>25</v>
      </c>
      <c r="H101" t="s">
        <v>21</v>
      </c>
      <c r="I101" t="s">
        <v>24</v>
      </c>
      <c r="J101" t="s">
        <v>23</v>
      </c>
      <c r="K101">
        <v>1007</v>
      </c>
      <c r="L101">
        <v>16.5248907</v>
      </c>
      <c r="M101">
        <v>70.95688934440156</v>
      </c>
      <c r="N101">
        <v>-0.53897129057259185</v>
      </c>
      <c r="O101" s="1" t="str">
        <f>HYPERLINK(".\sm_car_250531_2225\sm_car_250531_2225_100_Ca013TrN_MaLSS_ode23t_1.png","figure")</f>
        <v>figure</v>
      </c>
      <c r="P101" t="s">
        <v>15</v>
      </c>
      <c r="V101">
        <f>K101-'2022a_250601_0524'!K101</f>
        <v>2</v>
      </c>
      <c r="W101" s="11">
        <f>V101/'2022a_250601_0524'!K101</f>
        <v>1.990049751243781E-3</v>
      </c>
      <c r="X101">
        <f>L101-'2022a_250601_0524'!L101</f>
        <v>0.45571019999999862</v>
      </c>
      <c r="Y101" s="11">
        <f>X101/'2022a_250601_0524'!L101</f>
        <v>2.8359268227772946E-2</v>
      </c>
    </row>
    <row r="102" spans="1:25" x14ac:dyDescent="0.25">
      <c r="A102">
        <v>101</v>
      </c>
      <c r="B102">
        <v>14</v>
      </c>
      <c r="C102" t="s">
        <v>16</v>
      </c>
      <c r="D102" t="s">
        <v>17</v>
      </c>
      <c r="E102" t="s">
        <v>49</v>
      </c>
      <c r="F102" t="s">
        <v>28</v>
      </c>
      <c r="G102" t="s">
        <v>26</v>
      </c>
      <c r="H102" t="s">
        <v>21</v>
      </c>
      <c r="I102" t="s">
        <v>22</v>
      </c>
      <c r="J102" t="s">
        <v>23</v>
      </c>
      <c r="K102">
        <v>891</v>
      </c>
      <c r="L102">
        <v>14.315046000000001</v>
      </c>
      <c r="M102">
        <v>230.3528565604864</v>
      </c>
      <c r="N102">
        <v>5.4007323739484192E-2</v>
      </c>
      <c r="O102" s="1" t="str">
        <f>HYPERLINK(".\sm_car_250531_2225\sm_car_250531_2225_101_Ca014TrN_MaWOT_ode23t_1.png","figure")</f>
        <v>figure</v>
      </c>
      <c r="P102" t="s">
        <v>15</v>
      </c>
      <c r="V102">
        <f>K102-'2022a_250601_0524'!K102</f>
        <v>0</v>
      </c>
      <c r="W102" s="11">
        <f>V102/'2022a_250601_0524'!K102</f>
        <v>0</v>
      </c>
      <c r="X102">
        <f>L102-'2022a_250601_0524'!L102</f>
        <v>-4.7674999999998136E-3</v>
      </c>
      <c r="Y102" s="11">
        <f>X102/'2022a_250601_0524'!L102</f>
        <v>-3.3293031365246576E-4</v>
      </c>
    </row>
    <row r="103" spans="1:25" x14ac:dyDescent="0.25">
      <c r="A103">
        <v>102</v>
      </c>
      <c r="B103">
        <v>14</v>
      </c>
      <c r="C103" t="s">
        <v>16</v>
      </c>
      <c r="D103" t="s">
        <v>17</v>
      </c>
      <c r="E103" t="s">
        <v>49</v>
      </c>
      <c r="F103" t="s">
        <v>28</v>
      </c>
      <c r="G103" t="s">
        <v>26</v>
      </c>
      <c r="H103" t="s">
        <v>21</v>
      </c>
      <c r="I103" t="s">
        <v>24</v>
      </c>
      <c r="J103" t="s">
        <v>23</v>
      </c>
      <c r="K103">
        <v>1022</v>
      </c>
      <c r="L103">
        <v>16.3113511</v>
      </c>
      <c r="M103">
        <v>70.962400433938143</v>
      </c>
      <c r="N103">
        <v>-0.53217971589249236</v>
      </c>
      <c r="O103" s="1" t="str">
        <f>HYPERLINK(".\sm_car_250531_2225\sm_car_250531_2225_102_Ca014TrN_MaLSS_ode23t_1.png","figure")</f>
        <v>figure</v>
      </c>
      <c r="P103" t="s">
        <v>15</v>
      </c>
      <c r="V103">
        <f>K103-'2022a_250601_0524'!K103</f>
        <v>0</v>
      </c>
      <c r="W103" s="11">
        <f>V103/'2022a_250601_0524'!K103</f>
        <v>0</v>
      </c>
      <c r="X103">
        <f>L103-'2022a_250601_0524'!L103</f>
        <v>-1.397719900000002</v>
      </c>
      <c r="Y103" s="11">
        <f>X103/'2022a_250601_0524'!L103</f>
        <v>-7.8926777130206432E-2</v>
      </c>
    </row>
    <row r="104" spans="1:25" x14ac:dyDescent="0.25">
      <c r="A104">
        <v>103</v>
      </c>
      <c r="B104">
        <v>15</v>
      </c>
      <c r="C104" t="s">
        <v>16</v>
      </c>
      <c r="D104" t="s">
        <v>17</v>
      </c>
      <c r="E104" t="s">
        <v>49</v>
      </c>
      <c r="F104" t="s">
        <v>28</v>
      </c>
      <c r="G104" t="s">
        <v>27</v>
      </c>
      <c r="H104" t="s">
        <v>21</v>
      </c>
      <c r="I104" t="s">
        <v>22</v>
      </c>
      <c r="J104" t="s">
        <v>23</v>
      </c>
      <c r="K104">
        <v>906</v>
      </c>
      <c r="L104">
        <v>14.945693800000001</v>
      </c>
      <c r="M104">
        <v>229.94534279065957</v>
      </c>
      <c r="N104">
        <v>5.3559814574453107E-2</v>
      </c>
      <c r="O104" s="1" t="str">
        <f>HYPERLINK(".\sm_car_250531_2225\sm_car_250531_2225_103_Ca015TrN_MaWOT_ode23t_1.png","figure")</f>
        <v>figure</v>
      </c>
      <c r="P104" t="s">
        <v>15</v>
      </c>
      <c r="V104">
        <f>K104-'2022a_250601_0524'!K104</f>
        <v>0</v>
      </c>
      <c r="W104" s="11">
        <f>V104/'2022a_250601_0524'!K104</f>
        <v>0</v>
      </c>
      <c r="X104">
        <f>L104-'2022a_250601_0524'!L104</f>
        <v>0.51782390000000156</v>
      </c>
      <c r="Y104" s="11">
        <f>X104/'2022a_250601_0524'!L104</f>
        <v>3.5890530174520187E-2</v>
      </c>
    </row>
    <row r="105" spans="1:25" x14ac:dyDescent="0.25">
      <c r="A105">
        <v>104</v>
      </c>
      <c r="B105">
        <v>15</v>
      </c>
      <c r="C105" t="s">
        <v>16</v>
      </c>
      <c r="D105" t="s">
        <v>17</v>
      </c>
      <c r="E105" t="s">
        <v>49</v>
      </c>
      <c r="F105" t="s">
        <v>28</v>
      </c>
      <c r="G105" t="s">
        <v>27</v>
      </c>
      <c r="H105" t="s">
        <v>21</v>
      </c>
      <c r="I105" t="s">
        <v>24</v>
      </c>
      <c r="J105" t="s">
        <v>23</v>
      </c>
      <c r="K105">
        <v>1037</v>
      </c>
      <c r="L105">
        <v>17.7825445</v>
      </c>
      <c r="M105">
        <v>70.833152054840738</v>
      </c>
      <c r="N105">
        <v>-0.53173506446179819</v>
      </c>
      <c r="O105" s="1" t="str">
        <f>HYPERLINK(".\sm_car_250531_2225\sm_car_250531_2225_104_Ca015TrN_MaLSS_ode23t_1.png","figure")</f>
        <v>figure</v>
      </c>
      <c r="P105" t="s">
        <v>15</v>
      </c>
      <c r="V105">
        <f>K105-'2022a_250601_0524'!K105</f>
        <v>0</v>
      </c>
      <c r="W105" s="11">
        <f>V105/'2022a_250601_0524'!K105</f>
        <v>0</v>
      </c>
      <c r="X105">
        <f>L105-'2022a_250601_0524'!L105</f>
        <v>-0.96378770000000102</v>
      </c>
      <c r="Y105" s="11">
        <f>X105/'2022a_250601_0524'!L105</f>
        <v>-5.1412067689699907E-2</v>
      </c>
    </row>
    <row r="106" spans="1:25" x14ac:dyDescent="0.25">
      <c r="A106">
        <v>105</v>
      </c>
      <c r="B106">
        <v>120</v>
      </c>
      <c r="C106" t="s">
        <v>16</v>
      </c>
      <c r="D106" t="s">
        <v>35</v>
      </c>
      <c r="E106" t="s">
        <v>49</v>
      </c>
      <c r="F106" t="s">
        <v>19</v>
      </c>
      <c r="G106" t="s">
        <v>20</v>
      </c>
      <c r="H106" t="s">
        <v>21</v>
      </c>
      <c r="I106" t="s">
        <v>22</v>
      </c>
      <c r="J106" t="s">
        <v>23</v>
      </c>
      <c r="K106">
        <v>416</v>
      </c>
      <c r="L106">
        <v>3.7662505999999998</v>
      </c>
      <c r="M106">
        <v>242.69170005986123</v>
      </c>
      <c r="N106">
        <v>0.23529589119818642</v>
      </c>
      <c r="O106" s="1" t="str">
        <f>HYPERLINK(".\sm_car_250531_2225\sm_car_250531_2225_105_Ca120TrN_MaWOT_ode23t_1.png","figure")</f>
        <v>figure</v>
      </c>
      <c r="P106" t="s">
        <v>15</v>
      </c>
      <c r="V106">
        <f>K106-'2022a_250601_0524'!K106</f>
        <v>0</v>
      </c>
      <c r="W106" s="11">
        <f>V106/'2022a_250601_0524'!K106</f>
        <v>0</v>
      </c>
      <c r="X106">
        <f>L106-'2022a_250601_0524'!L106</f>
        <v>0.13712499999999972</v>
      </c>
      <c r="Y106" s="11">
        <f>X106/'2022a_250601_0524'!L106</f>
        <v>3.7784583702476351E-2</v>
      </c>
    </row>
    <row r="107" spans="1:25" x14ac:dyDescent="0.25">
      <c r="A107">
        <v>106</v>
      </c>
      <c r="B107">
        <v>120</v>
      </c>
      <c r="C107" t="s">
        <v>16</v>
      </c>
      <c r="D107" t="s">
        <v>35</v>
      </c>
      <c r="E107" t="s">
        <v>49</v>
      </c>
      <c r="F107" t="s">
        <v>19</v>
      </c>
      <c r="G107" t="s">
        <v>20</v>
      </c>
      <c r="H107" t="s">
        <v>21</v>
      </c>
      <c r="I107" t="s">
        <v>24</v>
      </c>
      <c r="J107" t="s">
        <v>23</v>
      </c>
      <c r="K107">
        <v>534</v>
      </c>
      <c r="L107">
        <v>4.1941978000000004</v>
      </c>
      <c r="M107">
        <v>74.671860856374394</v>
      </c>
      <c r="N107">
        <v>-0.33802521122689189</v>
      </c>
      <c r="O107" s="1" t="str">
        <f>HYPERLINK(".\sm_car_250531_2225\sm_car_250531_2225_106_Ca120TrN_MaLSS_ode23t_1.png","figure")</f>
        <v>figure</v>
      </c>
      <c r="P107" t="s">
        <v>15</v>
      </c>
      <c r="V107">
        <f>K107-'2022a_250601_0524'!K107</f>
        <v>0</v>
      </c>
      <c r="W107" s="11">
        <f>V107/'2022a_250601_0524'!K107</f>
        <v>0</v>
      </c>
      <c r="X107">
        <f>L107-'2022a_250601_0524'!L107</f>
        <v>6.090630000000008E-2</v>
      </c>
      <c r="Y107" s="11">
        <f>X107/'2022a_250601_0524'!L107</f>
        <v>1.4735544299258854E-2</v>
      </c>
    </row>
    <row r="108" spans="1:25" x14ac:dyDescent="0.25">
      <c r="A108">
        <v>107</v>
      </c>
      <c r="B108">
        <v>121</v>
      </c>
      <c r="C108" t="s">
        <v>16</v>
      </c>
      <c r="D108" t="s">
        <v>35</v>
      </c>
      <c r="E108" t="s">
        <v>49</v>
      </c>
      <c r="F108" t="s">
        <v>19</v>
      </c>
      <c r="G108" t="s">
        <v>25</v>
      </c>
      <c r="H108" t="s">
        <v>21</v>
      </c>
      <c r="I108" t="s">
        <v>22</v>
      </c>
      <c r="J108" t="s">
        <v>23</v>
      </c>
      <c r="K108">
        <v>398</v>
      </c>
      <c r="L108">
        <v>4.1240366000000002</v>
      </c>
      <c r="M108">
        <v>241.21141193724665</v>
      </c>
      <c r="N108">
        <v>0.23112237849089304</v>
      </c>
      <c r="O108" s="1" t="str">
        <f>HYPERLINK(".\sm_car_250531_2225\sm_car_250531_2225_107_Ca121TrN_MaWOT_ode23t_1.png","figure")</f>
        <v>figure</v>
      </c>
      <c r="P108" t="s">
        <v>15</v>
      </c>
      <c r="V108">
        <f>K108-'2022a_250601_0524'!K108</f>
        <v>0</v>
      </c>
      <c r="W108" s="11">
        <f>V108/'2022a_250601_0524'!K108</f>
        <v>0</v>
      </c>
      <c r="X108">
        <f>L108-'2022a_250601_0524'!L108</f>
        <v>-0.11950889999999958</v>
      </c>
      <c r="Y108" s="11">
        <f>X108/'2022a_250601_0524'!L108</f>
        <v>-2.8162511748725114E-2</v>
      </c>
    </row>
    <row r="109" spans="1:25" x14ac:dyDescent="0.25">
      <c r="A109">
        <v>108</v>
      </c>
      <c r="B109">
        <v>121</v>
      </c>
      <c r="C109" t="s">
        <v>16</v>
      </c>
      <c r="D109" t="s">
        <v>35</v>
      </c>
      <c r="E109" t="s">
        <v>49</v>
      </c>
      <c r="F109" t="s">
        <v>19</v>
      </c>
      <c r="G109" t="s">
        <v>25</v>
      </c>
      <c r="H109" t="s">
        <v>21</v>
      </c>
      <c r="I109" t="s">
        <v>24</v>
      </c>
      <c r="J109" t="s">
        <v>23</v>
      </c>
      <c r="K109">
        <v>522</v>
      </c>
      <c r="L109">
        <v>4.7183013000000003</v>
      </c>
      <c r="M109">
        <v>74.356784944961973</v>
      </c>
      <c r="N109">
        <v>-0.33040393981379063</v>
      </c>
      <c r="O109" s="1" t="str">
        <f>HYPERLINK(".\sm_car_250531_2225\sm_car_250531_2225_108_Ca121TrN_MaLSS_ode23t_1.png","figure")</f>
        <v>figure</v>
      </c>
      <c r="P109" t="s">
        <v>15</v>
      </c>
      <c r="V109">
        <f>K109-'2022a_250601_0524'!K109</f>
        <v>0</v>
      </c>
      <c r="W109" s="11">
        <f>V109/'2022a_250601_0524'!K109</f>
        <v>0</v>
      </c>
      <c r="X109">
        <f>L109-'2022a_250601_0524'!L109</f>
        <v>-0.12057610000000007</v>
      </c>
      <c r="Y109" s="11">
        <f>X109/'2022a_250601_0524'!L109</f>
        <v>-2.4918196935512369E-2</v>
      </c>
    </row>
    <row r="110" spans="1:25" x14ac:dyDescent="0.25">
      <c r="A110">
        <v>109</v>
      </c>
      <c r="B110">
        <v>122</v>
      </c>
      <c r="C110" t="s">
        <v>16</v>
      </c>
      <c r="D110" t="s">
        <v>35</v>
      </c>
      <c r="E110" t="s">
        <v>49</v>
      </c>
      <c r="F110" t="s">
        <v>19</v>
      </c>
      <c r="G110" t="s">
        <v>26</v>
      </c>
      <c r="H110" t="s">
        <v>21</v>
      </c>
      <c r="I110" t="s">
        <v>22</v>
      </c>
      <c r="J110" t="s">
        <v>23</v>
      </c>
      <c r="K110">
        <v>423</v>
      </c>
      <c r="L110">
        <v>4.7743542999999997</v>
      </c>
      <c r="M110">
        <v>241.75711520189719</v>
      </c>
      <c r="N110">
        <v>0.23176609553792715</v>
      </c>
      <c r="O110" s="1" t="str">
        <f>HYPERLINK(".\sm_car_250531_2225\sm_car_250531_2225_109_Ca122TrN_MaWOT_ode23t_1.png","figure")</f>
        <v>figure</v>
      </c>
      <c r="P110" t="s">
        <v>15</v>
      </c>
      <c r="V110">
        <f>K110-'2022a_250601_0524'!K110</f>
        <v>0</v>
      </c>
      <c r="W110" s="11">
        <f>V110/'2022a_250601_0524'!K110</f>
        <v>0</v>
      </c>
      <c r="X110">
        <f>L110-'2022a_250601_0524'!L110</f>
        <v>0.12601629999999986</v>
      </c>
      <c r="Y110" s="11">
        <f>X110/'2022a_250601_0524'!L110</f>
        <v>2.7109969197592745E-2</v>
      </c>
    </row>
    <row r="111" spans="1:25" x14ac:dyDescent="0.25">
      <c r="A111">
        <v>110</v>
      </c>
      <c r="B111">
        <v>122</v>
      </c>
      <c r="C111" t="s">
        <v>16</v>
      </c>
      <c r="D111" t="s">
        <v>35</v>
      </c>
      <c r="E111" t="s">
        <v>49</v>
      </c>
      <c r="F111" t="s">
        <v>19</v>
      </c>
      <c r="G111" t="s">
        <v>26</v>
      </c>
      <c r="H111" t="s">
        <v>21</v>
      </c>
      <c r="I111" t="s">
        <v>24</v>
      </c>
      <c r="J111" t="s">
        <v>23</v>
      </c>
      <c r="K111">
        <v>521</v>
      </c>
      <c r="L111">
        <v>5.0523987000000004</v>
      </c>
      <c r="M111">
        <v>74.376308337240616</v>
      </c>
      <c r="N111">
        <v>-0.33363211945317484</v>
      </c>
      <c r="O111" s="1" t="str">
        <f>HYPERLINK(".\sm_car_250531_2225\sm_car_250531_2225_110_Ca122TrN_MaLSS_ode23t_1.png","figure")</f>
        <v>figure</v>
      </c>
      <c r="P111" t="s">
        <v>15</v>
      </c>
      <c r="V111">
        <f>K111-'2022a_250601_0524'!K111</f>
        <v>0</v>
      </c>
      <c r="W111" s="11">
        <f>V111/'2022a_250601_0524'!K111</f>
        <v>0</v>
      </c>
      <c r="X111">
        <f>L111-'2022a_250601_0524'!L111</f>
        <v>-6.2587100000000007E-2</v>
      </c>
      <c r="Y111" s="11">
        <f>X111/'2022a_250601_0524'!L111</f>
        <v>-1.2236026148889799E-2</v>
      </c>
    </row>
    <row r="112" spans="1:25" x14ac:dyDescent="0.25">
      <c r="A112">
        <v>111</v>
      </c>
      <c r="B112">
        <v>123</v>
      </c>
      <c r="C112" t="s">
        <v>16</v>
      </c>
      <c r="D112" t="s">
        <v>35</v>
      </c>
      <c r="E112" t="s">
        <v>49</v>
      </c>
      <c r="F112" t="s">
        <v>19</v>
      </c>
      <c r="G112" t="s">
        <v>27</v>
      </c>
      <c r="H112" t="s">
        <v>21</v>
      </c>
      <c r="I112" t="s">
        <v>22</v>
      </c>
      <c r="J112" t="s">
        <v>23</v>
      </c>
      <c r="K112">
        <v>436</v>
      </c>
      <c r="L112">
        <v>4.7806692000000002</v>
      </c>
      <c r="M112">
        <v>241.12578939334389</v>
      </c>
      <c r="N112">
        <v>0.22891329112582617</v>
      </c>
      <c r="O112" s="1" t="str">
        <f>HYPERLINK(".\sm_car_250531_2225\sm_car_250531_2225_111_Ca123TrN_MaWOT_ode23t_1.png","figure")</f>
        <v>figure</v>
      </c>
      <c r="P112" t="s">
        <v>15</v>
      </c>
      <c r="V112">
        <f>K112-'2022a_250601_0524'!K112</f>
        <v>0</v>
      </c>
      <c r="W112" s="11">
        <f>V112/'2022a_250601_0524'!K112</f>
        <v>0</v>
      </c>
      <c r="X112">
        <f>L112-'2022a_250601_0524'!L112</f>
        <v>-0.13373559999999962</v>
      </c>
      <c r="Y112" s="11">
        <f>X112/'2022a_250601_0524'!L112</f>
        <v>-2.7212980094761349E-2</v>
      </c>
    </row>
    <row r="113" spans="1:25" x14ac:dyDescent="0.25">
      <c r="A113">
        <v>112</v>
      </c>
      <c r="B113">
        <v>123</v>
      </c>
      <c r="C113" t="s">
        <v>16</v>
      </c>
      <c r="D113" t="s">
        <v>35</v>
      </c>
      <c r="E113" t="s">
        <v>49</v>
      </c>
      <c r="F113" t="s">
        <v>19</v>
      </c>
      <c r="G113" t="s">
        <v>27</v>
      </c>
      <c r="H113" t="s">
        <v>21</v>
      </c>
      <c r="I113" t="s">
        <v>24</v>
      </c>
      <c r="J113" t="s">
        <v>23</v>
      </c>
      <c r="K113">
        <v>559</v>
      </c>
      <c r="L113">
        <v>5.7809751</v>
      </c>
      <c r="M113">
        <v>74.205248702992492</v>
      </c>
      <c r="N113">
        <v>-0.32728936986719825</v>
      </c>
      <c r="O113" s="1" t="str">
        <f>HYPERLINK(".\sm_car_250531_2225\sm_car_250531_2225_112_Ca123TrN_MaLSS_ode23t_1.png","figure")</f>
        <v>figure</v>
      </c>
      <c r="P113" t="s">
        <v>15</v>
      </c>
      <c r="V113">
        <f>K113-'2022a_250601_0524'!K113</f>
        <v>0</v>
      </c>
      <c r="W113" s="11">
        <f>V113/'2022a_250601_0524'!K113</f>
        <v>0</v>
      </c>
      <c r="X113">
        <f>L113-'2022a_250601_0524'!L113</f>
        <v>0.18015630000000016</v>
      </c>
      <c r="Y113" s="11">
        <f>X113/'2022a_250601_0524'!L113</f>
        <v>3.2166064718965763E-2</v>
      </c>
    </row>
    <row r="114" spans="1:25" x14ac:dyDescent="0.25">
      <c r="A114">
        <v>113</v>
      </c>
      <c r="B114">
        <v>124</v>
      </c>
      <c r="C114" t="s">
        <v>16</v>
      </c>
      <c r="D114" t="s">
        <v>35</v>
      </c>
      <c r="E114" t="s">
        <v>49</v>
      </c>
      <c r="F114" t="s">
        <v>28</v>
      </c>
      <c r="G114" t="s">
        <v>20</v>
      </c>
      <c r="H114" t="s">
        <v>21</v>
      </c>
      <c r="I114" t="s">
        <v>22</v>
      </c>
      <c r="J114" t="s">
        <v>23</v>
      </c>
      <c r="K114">
        <v>1003</v>
      </c>
      <c r="L114">
        <v>4.7162515000000003</v>
      </c>
      <c r="M114">
        <v>242.59591760187845</v>
      </c>
      <c r="N114">
        <v>0.23602770475182491</v>
      </c>
      <c r="O114" s="1" t="str">
        <f>HYPERLINK(".\sm_car_250531_2225\sm_car_250531_2225_113_Ca124TrN_MaWOT_ode23t_1.png","figure")</f>
        <v>figure</v>
      </c>
      <c r="P114" t="s">
        <v>15</v>
      </c>
      <c r="V114">
        <f>K114-'2022a_250601_0524'!K114</f>
        <v>0</v>
      </c>
      <c r="W114" s="11">
        <f>V114/'2022a_250601_0524'!K114</f>
        <v>0</v>
      </c>
      <c r="X114">
        <f>L114-'2022a_250601_0524'!L114</f>
        <v>0.1182117000000007</v>
      </c>
      <c r="Y114" s="11">
        <f>X114/'2022a_250601_0524'!L114</f>
        <v>2.5709151103911868E-2</v>
      </c>
    </row>
    <row r="115" spans="1:25" x14ac:dyDescent="0.25">
      <c r="A115">
        <v>114</v>
      </c>
      <c r="B115">
        <v>124</v>
      </c>
      <c r="C115" t="s">
        <v>16</v>
      </c>
      <c r="D115" t="s">
        <v>35</v>
      </c>
      <c r="E115" t="s">
        <v>49</v>
      </c>
      <c r="F115" t="s">
        <v>28</v>
      </c>
      <c r="G115" t="s">
        <v>20</v>
      </c>
      <c r="H115" t="s">
        <v>21</v>
      </c>
      <c r="I115" t="s">
        <v>24</v>
      </c>
      <c r="J115" t="s">
        <v>23</v>
      </c>
      <c r="K115">
        <v>1131</v>
      </c>
      <c r="L115">
        <v>5.3852327000000004</v>
      </c>
      <c r="M115">
        <v>74.660361357706634</v>
      </c>
      <c r="N115">
        <v>-0.34229760405943666</v>
      </c>
      <c r="O115" s="1" t="str">
        <f>HYPERLINK(".\sm_car_250531_2225\sm_car_250531_2225_114_Ca124TrN_MaLSS_ode23t_1.png","figure")</f>
        <v>figure</v>
      </c>
      <c r="P115" t="s">
        <v>15</v>
      </c>
      <c r="V115">
        <f>K115-'2022a_250601_0524'!K115</f>
        <v>0</v>
      </c>
      <c r="W115" s="11">
        <f>V115/'2022a_250601_0524'!K115</f>
        <v>0</v>
      </c>
      <c r="X115">
        <f>L115-'2022a_250601_0524'!L115</f>
        <v>7.1636100000000091E-2</v>
      </c>
      <c r="Y115" s="11">
        <f>X115/'2022a_250601_0524'!L115</f>
        <v>1.3481659484651147E-2</v>
      </c>
    </row>
    <row r="116" spans="1:25" x14ac:dyDescent="0.25">
      <c r="A116">
        <v>115</v>
      </c>
      <c r="B116">
        <v>125</v>
      </c>
      <c r="C116" t="s">
        <v>16</v>
      </c>
      <c r="D116" t="s">
        <v>35</v>
      </c>
      <c r="E116" t="s">
        <v>49</v>
      </c>
      <c r="F116" t="s">
        <v>28</v>
      </c>
      <c r="G116" t="s">
        <v>25</v>
      </c>
      <c r="H116" t="s">
        <v>21</v>
      </c>
      <c r="I116" t="s">
        <v>22</v>
      </c>
      <c r="J116" t="s">
        <v>23</v>
      </c>
      <c r="K116">
        <v>1015</v>
      </c>
      <c r="L116">
        <v>5.3736170000000003</v>
      </c>
      <c r="M116">
        <v>241.53681644998719</v>
      </c>
      <c r="N116">
        <v>0.23254842001096016</v>
      </c>
      <c r="O116" s="1" t="str">
        <f>HYPERLINK(".\sm_car_250531_2225\sm_car_250531_2225_115_Ca125TrN_MaWOT_ode23t_1.png","figure")</f>
        <v>figure</v>
      </c>
      <c r="P116" t="s">
        <v>15</v>
      </c>
      <c r="V116">
        <f>K116-'2022a_250601_0524'!K116</f>
        <v>0</v>
      </c>
      <c r="W116" s="11">
        <f>V116/'2022a_250601_0524'!K116</f>
        <v>0</v>
      </c>
      <c r="X116">
        <f>L116-'2022a_250601_0524'!L116</f>
        <v>5.1794899999999977E-2</v>
      </c>
      <c r="Y116" s="11">
        <f>X116/'2022a_250601_0524'!L116</f>
        <v>9.7325500602509756E-3</v>
      </c>
    </row>
    <row r="117" spans="1:25" x14ac:dyDescent="0.25">
      <c r="A117">
        <v>116</v>
      </c>
      <c r="B117">
        <v>125</v>
      </c>
      <c r="C117" t="s">
        <v>16</v>
      </c>
      <c r="D117" t="s">
        <v>35</v>
      </c>
      <c r="E117" t="s">
        <v>49</v>
      </c>
      <c r="F117" t="s">
        <v>28</v>
      </c>
      <c r="G117" t="s">
        <v>25</v>
      </c>
      <c r="H117" t="s">
        <v>21</v>
      </c>
      <c r="I117" t="s">
        <v>24</v>
      </c>
      <c r="J117" t="s">
        <v>23</v>
      </c>
      <c r="K117">
        <v>1130</v>
      </c>
      <c r="L117">
        <v>5.8888179999999997</v>
      </c>
      <c r="M117">
        <v>74.349936795753166</v>
      </c>
      <c r="N117">
        <v>-0.331152637926585</v>
      </c>
      <c r="O117" s="1" t="str">
        <f>HYPERLINK(".\sm_car_250531_2225\sm_car_250531_2225_116_Ca125TrN_MaLSS_ode23t_1.png","figure")</f>
        <v>figure</v>
      </c>
      <c r="P117" t="s">
        <v>15</v>
      </c>
      <c r="V117">
        <f>K117-'2022a_250601_0524'!K117</f>
        <v>0</v>
      </c>
      <c r="W117" s="11">
        <f>V117/'2022a_250601_0524'!K117</f>
        <v>0</v>
      </c>
      <c r="X117">
        <f>L117-'2022a_250601_0524'!L117</f>
        <v>2.4112299999999642E-2</v>
      </c>
      <c r="Y117" s="11">
        <f>X117/'2022a_250601_0524'!L117</f>
        <v>4.1114254036651223E-3</v>
      </c>
    </row>
    <row r="118" spans="1:25" x14ac:dyDescent="0.25">
      <c r="A118">
        <v>117</v>
      </c>
      <c r="B118">
        <v>126</v>
      </c>
      <c r="C118" t="s">
        <v>16</v>
      </c>
      <c r="D118" t="s">
        <v>35</v>
      </c>
      <c r="E118" t="s">
        <v>49</v>
      </c>
      <c r="F118" t="s">
        <v>28</v>
      </c>
      <c r="G118" t="s">
        <v>26</v>
      </c>
      <c r="H118" t="s">
        <v>21</v>
      </c>
      <c r="I118" t="s">
        <v>22</v>
      </c>
      <c r="J118" t="s">
        <v>23</v>
      </c>
      <c r="K118">
        <v>1025</v>
      </c>
      <c r="L118">
        <v>5.5290695000000003</v>
      </c>
      <c r="M118">
        <v>241.41617541572742</v>
      </c>
      <c r="N118">
        <v>0.23234611024921778</v>
      </c>
      <c r="O118" s="1" t="str">
        <f>HYPERLINK(".\sm_car_250531_2225\sm_car_250531_2225_117_Ca126TrN_MaWOT_ode23t_1.png","figure")</f>
        <v>figure</v>
      </c>
      <c r="P118" t="s">
        <v>15</v>
      </c>
      <c r="V118">
        <f>K118-'2022a_250601_0524'!K118</f>
        <v>0</v>
      </c>
      <c r="W118" s="11">
        <f>V118/'2022a_250601_0524'!K118</f>
        <v>0</v>
      </c>
      <c r="X118">
        <f>L118-'2022a_250601_0524'!L118</f>
        <v>-0.30894559999999949</v>
      </c>
      <c r="Y118" s="11">
        <f>X118/'2022a_250601_0524'!L118</f>
        <v>-5.29196301667667E-2</v>
      </c>
    </row>
    <row r="119" spans="1:25" x14ac:dyDescent="0.25">
      <c r="A119">
        <v>118</v>
      </c>
      <c r="B119">
        <v>126</v>
      </c>
      <c r="C119" t="s">
        <v>16</v>
      </c>
      <c r="D119" t="s">
        <v>35</v>
      </c>
      <c r="E119" t="s">
        <v>49</v>
      </c>
      <c r="F119" t="s">
        <v>28</v>
      </c>
      <c r="G119" t="s">
        <v>26</v>
      </c>
      <c r="H119" t="s">
        <v>21</v>
      </c>
      <c r="I119" t="s">
        <v>24</v>
      </c>
      <c r="J119" t="s">
        <v>23</v>
      </c>
      <c r="K119">
        <v>1157</v>
      </c>
      <c r="L119">
        <v>6.6174315999999997</v>
      </c>
      <c r="M119">
        <v>74.340131420821692</v>
      </c>
      <c r="N119">
        <v>-0.33590345145329331</v>
      </c>
      <c r="O119" s="1" t="str">
        <f>HYPERLINK(".\sm_car_250531_2225\sm_car_250531_2225_118_Ca126TrN_MaLSS_ode23t_1.png","figure")</f>
        <v>figure</v>
      </c>
      <c r="P119" t="s">
        <v>15</v>
      </c>
      <c r="V119">
        <f>K119-'2022a_250601_0524'!K119</f>
        <v>0</v>
      </c>
      <c r="W119" s="11">
        <f>V119/'2022a_250601_0524'!K119</f>
        <v>0</v>
      </c>
      <c r="X119">
        <f>L119-'2022a_250601_0524'!L119</f>
        <v>0.11407679999999942</v>
      </c>
      <c r="Y119" s="11">
        <f>X119/'2022a_250601_0524'!L119</f>
        <v>1.7541223492834716E-2</v>
      </c>
    </row>
    <row r="120" spans="1:25" x14ac:dyDescent="0.25">
      <c r="A120">
        <v>119</v>
      </c>
      <c r="B120">
        <v>127</v>
      </c>
      <c r="C120" t="s">
        <v>16</v>
      </c>
      <c r="D120" t="s">
        <v>35</v>
      </c>
      <c r="E120" t="s">
        <v>49</v>
      </c>
      <c r="F120" t="s">
        <v>28</v>
      </c>
      <c r="G120" t="s">
        <v>27</v>
      </c>
      <c r="H120" t="s">
        <v>21</v>
      </c>
      <c r="I120" t="s">
        <v>22</v>
      </c>
      <c r="J120" t="s">
        <v>23</v>
      </c>
      <c r="K120">
        <v>1027</v>
      </c>
      <c r="L120">
        <v>5.7864323000000004</v>
      </c>
      <c r="M120">
        <v>241.06149238477016</v>
      </c>
      <c r="N120">
        <v>0.23101069393802778</v>
      </c>
      <c r="O120" s="1" t="str">
        <f>HYPERLINK(".\sm_car_250531_2225\sm_car_250531_2225_119_Ca127TrN_MaWOT_ode23t_1.png","figure")</f>
        <v>figure</v>
      </c>
      <c r="P120" t="s">
        <v>15</v>
      </c>
      <c r="V120">
        <f>K120-'2022a_250601_0524'!K120</f>
        <v>0</v>
      </c>
      <c r="W120" s="11">
        <f>V120/'2022a_250601_0524'!K120</f>
        <v>0</v>
      </c>
      <c r="X120">
        <f>L120-'2022a_250601_0524'!L120</f>
        <v>3.8673000000000179E-2</v>
      </c>
      <c r="Y120" s="11">
        <f>X120/'2022a_250601_0524'!L120</f>
        <v>6.7283610849884021E-3</v>
      </c>
    </row>
    <row r="121" spans="1:25" x14ac:dyDescent="0.25">
      <c r="A121">
        <v>120</v>
      </c>
      <c r="B121">
        <v>127</v>
      </c>
      <c r="C121" t="s">
        <v>16</v>
      </c>
      <c r="D121" t="s">
        <v>35</v>
      </c>
      <c r="E121" t="s">
        <v>49</v>
      </c>
      <c r="F121" t="s">
        <v>28</v>
      </c>
      <c r="G121" t="s">
        <v>27</v>
      </c>
      <c r="H121" t="s">
        <v>21</v>
      </c>
      <c r="I121" t="s">
        <v>24</v>
      </c>
      <c r="J121" t="s">
        <v>23</v>
      </c>
      <c r="K121">
        <v>1169</v>
      </c>
      <c r="L121">
        <v>6.7654002000000002</v>
      </c>
      <c r="M121">
        <v>74.19548463892832</v>
      </c>
      <c r="N121">
        <v>-0.33307193972002924</v>
      </c>
      <c r="O121" s="1" t="str">
        <f>HYPERLINK(".\sm_car_250531_2225\sm_car_250531_2225_120_Ca127TrN_MaLSS_ode23t_1.png","figure")</f>
        <v>figure</v>
      </c>
      <c r="P121" t="s">
        <v>15</v>
      </c>
      <c r="V121">
        <f>K121-'2022a_250601_0524'!K121</f>
        <v>0</v>
      </c>
      <c r="W121" s="11">
        <f>V121/'2022a_250601_0524'!K121</f>
        <v>0</v>
      </c>
      <c r="X121">
        <f>L121-'2022a_250601_0524'!L121</f>
        <v>0.14358230000000027</v>
      </c>
      <c r="Y121" s="11">
        <f>X121/'2022a_250601_0524'!L121</f>
        <v>2.1683214816281837E-2</v>
      </c>
    </row>
    <row r="122" spans="1:25" x14ac:dyDescent="0.25">
      <c r="A122">
        <v>121</v>
      </c>
      <c r="B122">
        <v>140</v>
      </c>
      <c r="C122" t="s">
        <v>45</v>
      </c>
      <c r="D122" t="s">
        <v>17</v>
      </c>
      <c r="E122" t="s">
        <v>49</v>
      </c>
      <c r="F122" t="s">
        <v>19</v>
      </c>
      <c r="G122" t="s">
        <v>26</v>
      </c>
      <c r="H122" t="s">
        <v>21</v>
      </c>
      <c r="I122" t="s">
        <v>22</v>
      </c>
      <c r="J122" t="s">
        <v>23</v>
      </c>
      <c r="K122">
        <v>702</v>
      </c>
      <c r="L122">
        <v>40.163028799999999</v>
      </c>
      <c r="M122">
        <v>405.02218474896813</v>
      </c>
      <c r="N122">
        <v>1.8758038190127144</v>
      </c>
      <c r="O122" s="1" t="str">
        <f>HYPERLINK(".\sm_car_250531_2225\sm_car_250531_2225_121_Ca140TrN_MaWOT_ode23t_1.png","figure")</f>
        <v>figure</v>
      </c>
      <c r="P122" t="s">
        <v>15</v>
      </c>
      <c r="V122">
        <f>K122-'2022a_250601_0524'!K122</f>
        <v>0</v>
      </c>
      <c r="W122" s="11">
        <f>V122/'2022a_250601_0524'!K122</f>
        <v>0</v>
      </c>
      <c r="X122">
        <f>L122-'2022a_250601_0524'!L122</f>
        <v>-0.87538179999999954</v>
      </c>
      <c r="Y122" s="11">
        <f>X122/'2022a_250601_0524'!L122</f>
        <v>-2.1330791987348545E-2</v>
      </c>
    </row>
    <row r="123" spans="1:25" x14ac:dyDescent="0.25">
      <c r="A123">
        <v>122</v>
      </c>
      <c r="B123">
        <v>140</v>
      </c>
      <c r="C123" t="s">
        <v>45</v>
      </c>
      <c r="D123" t="s">
        <v>17</v>
      </c>
      <c r="E123" t="s">
        <v>49</v>
      </c>
      <c r="F123" t="s">
        <v>19</v>
      </c>
      <c r="G123" t="s">
        <v>26</v>
      </c>
      <c r="H123" t="s">
        <v>21</v>
      </c>
      <c r="I123" t="s">
        <v>24</v>
      </c>
      <c r="J123" t="s">
        <v>23</v>
      </c>
      <c r="K123">
        <v>658</v>
      </c>
      <c r="L123">
        <v>24.5618126</v>
      </c>
      <c r="M123">
        <v>154.33584552735473</v>
      </c>
      <c r="N123">
        <v>-0.58067373904514841</v>
      </c>
      <c r="O123" s="1" t="str">
        <f>HYPERLINK(".\sm_car_250531_2225\sm_car_250531_2225_122_Ca140TrN_MaLSS_ode23t_1.png","figure")</f>
        <v>figure</v>
      </c>
      <c r="P123" t="s">
        <v>15</v>
      </c>
      <c r="V123">
        <f>K123-'2022a_250601_0524'!K123</f>
        <v>0</v>
      </c>
      <c r="W123" s="11">
        <f>V123/'2022a_250601_0524'!K123</f>
        <v>0</v>
      </c>
      <c r="X123">
        <f>L123-'2022a_250601_0524'!L123</f>
        <v>0.87250399999999928</v>
      </c>
      <c r="Y123" s="11">
        <f>X123/'2022a_250601_0524'!L123</f>
        <v>3.6831129803425303E-2</v>
      </c>
    </row>
    <row r="124" spans="1:25" x14ac:dyDescent="0.25">
      <c r="A124">
        <v>123</v>
      </c>
      <c r="B124">
        <v>142</v>
      </c>
      <c r="C124" t="s">
        <v>45</v>
      </c>
      <c r="D124" t="s">
        <v>17</v>
      </c>
      <c r="E124" t="s">
        <v>49</v>
      </c>
      <c r="F124" t="s">
        <v>28</v>
      </c>
      <c r="G124" t="s">
        <v>26</v>
      </c>
      <c r="H124" t="s">
        <v>21</v>
      </c>
      <c r="I124" t="s">
        <v>22</v>
      </c>
      <c r="J124" t="s">
        <v>23</v>
      </c>
      <c r="K124">
        <v>1209</v>
      </c>
      <c r="L124">
        <v>35.200501099999997</v>
      </c>
      <c r="M124">
        <v>405.25240941563715</v>
      </c>
      <c r="N124">
        <v>1.7021373290751194</v>
      </c>
      <c r="O124" s="1" t="str">
        <f>HYPERLINK(".\sm_car_250531_2225\sm_car_250531_2225_123_Ca142TrN_MaWOT_ode23t_1.png","figure")</f>
        <v>figure</v>
      </c>
      <c r="P124" t="s">
        <v>15</v>
      </c>
      <c r="V124">
        <f>K124-'2022a_250601_0524'!K124</f>
        <v>0</v>
      </c>
      <c r="W124" s="11">
        <f>V124/'2022a_250601_0524'!K124</f>
        <v>0</v>
      </c>
      <c r="X124">
        <f>L124-'2022a_250601_0524'!L124</f>
        <v>1.5619588999999934</v>
      </c>
      <c r="Y124" s="11">
        <f>X124/'2022a_250601_0524'!L124</f>
        <v>4.643360852896869E-2</v>
      </c>
    </row>
    <row r="125" spans="1:25" x14ac:dyDescent="0.25">
      <c r="A125">
        <v>124</v>
      </c>
      <c r="B125">
        <v>142</v>
      </c>
      <c r="C125" t="s">
        <v>45</v>
      </c>
      <c r="D125" t="s">
        <v>17</v>
      </c>
      <c r="E125" t="s">
        <v>49</v>
      </c>
      <c r="F125" t="s">
        <v>28</v>
      </c>
      <c r="G125" t="s">
        <v>26</v>
      </c>
      <c r="H125" t="s">
        <v>21</v>
      </c>
      <c r="I125" t="s">
        <v>24</v>
      </c>
      <c r="J125" t="s">
        <v>23</v>
      </c>
      <c r="K125">
        <v>1212</v>
      </c>
      <c r="L125">
        <v>24.024374900000002</v>
      </c>
      <c r="M125">
        <v>154.43862670890729</v>
      </c>
      <c r="N125">
        <v>-0.58164606194304858</v>
      </c>
      <c r="O125" s="1" t="str">
        <f>HYPERLINK(".\sm_car_250531_2225\sm_car_250531_2225_124_Ca142TrN_MaLSS_ode23t_1.png","figure")</f>
        <v>figure</v>
      </c>
      <c r="P125" t="s">
        <v>15</v>
      </c>
      <c r="V125">
        <f>K125-'2022a_250601_0524'!K125</f>
        <v>0</v>
      </c>
      <c r="W125" s="11">
        <f>V125/'2022a_250601_0524'!K125</f>
        <v>0</v>
      </c>
      <c r="X125">
        <f>L125-'2022a_250601_0524'!L125</f>
        <v>0.32978720000000195</v>
      </c>
      <c r="Y125" s="11">
        <f>X125/'2022a_250601_0524'!L125</f>
        <v>1.3918250200234628E-2</v>
      </c>
    </row>
    <row r="126" spans="1:25" x14ac:dyDescent="0.25">
      <c r="A126">
        <v>125</v>
      </c>
      <c r="B126">
        <v>145</v>
      </c>
      <c r="C126" t="s">
        <v>46</v>
      </c>
      <c r="D126" t="s">
        <v>17</v>
      </c>
      <c r="E126" t="s">
        <v>50</v>
      </c>
      <c r="F126" t="s">
        <v>19</v>
      </c>
      <c r="G126" t="s">
        <v>26</v>
      </c>
      <c r="H126" t="s">
        <v>21</v>
      </c>
      <c r="I126" t="s">
        <v>22</v>
      </c>
      <c r="J126" t="s">
        <v>23</v>
      </c>
      <c r="K126">
        <v>355</v>
      </c>
      <c r="L126">
        <v>15.5757607</v>
      </c>
      <c r="M126">
        <v>95.763190305917007</v>
      </c>
      <c r="N126">
        <v>-3.2503290073543287E-2</v>
      </c>
      <c r="O126" s="1" t="str">
        <f>HYPERLINK(".\sm_car_250531_2225\sm_car_250531_2225_125_Ca145TrN_MaWOT_ode23t_1.png","figure")</f>
        <v>figure</v>
      </c>
      <c r="P126" t="s">
        <v>15</v>
      </c>
      <c r="V126">
        <f>K126-'2022a_250601_0524'!K126</f>
        <v>0</v>
      </c>
      <c r="W126" s="11">
        <f>V126/'2022a_250601_0524'!K126</f>
        <v>0</v>
      </c>
      <c r="X126">
        <f>L126-'2022a_250601_0524'!L126</f>
        <v>0.56356629999999974</v>
      </c>
      <c r="Y126" s="11">
        <f>X126/'2022a_250601_0524'!L126</f>
        <v>3.7540567686760021E-2</v>
      </c>
    </row>
    <row r="127" spans="1:25" x14ac:dyDescent="0.25">
      <c r="A127">
        <v>126</v>
      </c>
      <c r="B127">
        <v>145</v>
      </c>
      <c r="C127" t="s">
        <v>46</v>
      </c>
      <c r="D127" t="s">
        <v>17</v>
      </c>
      <c r="E127" t="s">
        <v>50</v>
      </c>
      <c r="F127" t="s">
        <v>19</v>
      </c>
      <c r="G127" t="s">
        <v>26</v>
      </c>
      <c r="H127" t="s">
        <v>21</v>
      </c>
      <c r="I127" t="s">
        <v>24</v>
      </c>
      <c r="J127" t="s">
        <v>23</v>
      </c>
      <c r="K127">
        <v>463</v>
      </c>
      <c r="L127">
        <v>17.240382799999999</v>
      </c>
      <c r="M127">
        <v>25.00357142466428</v>
      </c>
      <c r="N127">
        <v>-4.9851827421342497E-2</v>
      </c>
      <c r="O127" s="1" t="str">
        <f>HYPERLINK(".\sm_car_250531_2225\sm_car_250531_2225_126_Ca145TrN_MaLSS_ode23t_1.png","figure")</f>
        <v>figure</v>
      </c>
      <c r="P127" t="s">
        <v>15</v>
      </c>
      <c r="V127">
        <f>K127-'2022a_250601_0524'!K127</f>
        <v>0</v>
      </c>
      <c r="W127" s="11">
        <f>V127/'2022a_250601_0524'!K127</f>
        <v>0</v>
      </c>
      <c r="X127">
        <f>L127-'2022a_250601_0524'!L127</f>
        <v>0.15297589999999772</v>
      </c>
      <c r="Y127" s="11">
        <f>X127/'2022a_250601_0524'!L127</f>
        <v>8.9525520692082146E-3</v>
      </c>
    </row>
    <row r="128" spans="1:25" x14ac:dyDescent="0.25">
      <c r="A128">
        <v>127</v>
      </c>
      <c r="B128">
        <v>146</v>
      </c>
      <c r="C128" t="s">
        <v>46</v>
      </c>
      <c r="D128" t="s">
        <v>17</v>
      </c>
      <c r="E128" t="s">
        <v>49</v>
      </c>
      <c r="F128" t="s">
        <v>19</v>
      </c>
      <c r="G128" t="s">
        <v>26</v>
      </c>
      <c r="H128" t="s">
        <v>21</v>
      </c>
      <c r="I128" t="s">
        <v>22</v>
      </c>
      <c r="J128" t="s">
        <v>23</v>
      </c>
      <c r="K128">
        <v>330</v>
      </c>
      <c r="L128">
        <v>10.1283517</v>
      </c>
      <c r="M128">
        <v>113.96657772839266</v>
      </c>
      <c r="N128">
        <v>0.53221246736806072</v>
      </c>
      <c r="O128" s="1" t="str">
        <f>HYPERLINK(".\sm_car_250531_2225\sm_car_250531_2225_127_Ca146TrN_MaWOT_ode23t_1.png","figure")</f>
        <v>figure</v>
      </c>
      <c r="P128" t="s">
        <v>15</v>
      </c>
      <c r="V128">
        <f>K128-'2022a_250601_0524'!K128</f>
        <v>0</v>
      </c>
      <c r="W128" s="11">
        <f>V128/'2022a_250601_0524'!K128</f>
        <v>0</v>
      </c>
      <c r="X128">
        <f>L128-'2022a_250601_0524'!L128</f>
        <v>-0.23034900000000036</v>
      </c>
      <c r="Y128" s="11">
        <f>X128/'2022a_250601_0524'!L128</f>
        <v>-2.2237248345248584E-2</v>
      </c>
    </row>
    <row r="129" spans="1:25" x14ac:dyDescent="0.25">
      <c r="A129">
        <v>128</v>
      </c>
      <c r="B129">
        <v>146</v>
      </c>
      <c r="C129" t="s">
        <v>46</v>
      </c>
      <c r="D129" t="s">
        <v>17</v>
      </c>
      <c r="E129" t="s">
        <v>49</v>
      </c>
      <c r="F129" t="s">
        <v>19</v>
      </c>
      <c r="G129" t="s">
        <v>26</v>
      </c>
      <c r="H129" t="s">
        <v>21</v>
      </c>
      <c r="I129" t="s">
        <v>24</v>
      </c>
      <c r="J129" t="s">
        <v>23</v>
      </c>
      <c r="K129">
        <v>450</v>
      </c>
      <c r="L129">
        <v>12.503071</v>
      </c>
      <c r="M129">
        <v>35.604687394938694</v>
      </c>
      <c r="N129">
        <v>-2.7989443676201601E-2</v>
      </c>
      <c r="O129" s="1" t="str">
        <f>HYPERLINK(".\sm_car_250531_2225\sm_car_250531_2225_128_Ca146TrN_MaLSS_ode23t_1.png","figure")</f>
        <v>figure</v>
      </c>
      <c r="P129" t="s">
        <v>15</v>
      </c>
      <c r="V129">
        <f>K129-'2022a_250601_0524'!K129</f>
        <v>0</v>
      </c>
      <c r="W129" s="11">
        <f>V129/'2022a_250601_0524'!K129</f>
        <v>0</v>
      </c>
      <c r="X129">
        <f>L129-'2022a_250601_0524'!L129</f>
        <v>6.6705800000001148E-2</v>
      </c>
      <c r="Y129" s="11">
        <f>X129/'2022a_250601_0524'!L129</f>
        <v>5.3637697934442417E-3</v>
      </c>
    </row>
    <row r="130" spans="1:25" x14ac:dyDescent="0.25">
      <c r="A130">
        <v>129</v>
      </c>
      <c r="B130">
        <v>146</v>
      </c>
      <c r="C130" t="s">
        <v>46</v>
      </c>
      <c r="D130" t="s">
        <v>17</v>
      </c>
      <c r="E130" t="s">
        <v>49</v>
      </c>
      <c r="F130" t="s">
        <v>19</v>
      </c>
      <c r="G130" t="s">
        <v>26</v>
      </c>
      <c r="H130" t="s">
        <v>21</v>
      </c>
      <c r="I130" t="s">
        <v>22</v>
      </c>
      <c r="J130" t="s">
        <v>23</v>
      </c>
      <c r="K130">
        <v>330</v>
      </c>
      <c r="L130">
        <v>10.008239100000001</v>
      </c>
      <c r="M130">
        <v>113.96657772839266</v>
      </c>
      <c r="N130">
        <v>0.53221246736806072</v>
      </c>
      <c r="O130" s="1" t="str">
        <f>HYPERLINK(".\sm_car_250531_2225\sm_car_250531_2225_129_Ca146TrN_MaWOT_ode23t_1.png","figure")</f>
        <v>figure</v>
      </c>
      <c r="P130" t="s">
        <v>15</v>
      </c>
      <c r="V130">
        <f>K130-'2022a_250601_0524'!K130</f>
        <v>0</v>
      </c>
      <c r="W130" s="11">
        <f>V130/'2022a_250601_0524'!K130</f>
        <v>0</v>
      </c>
      <c r="X130">
        <f>L130-'2022a_250601_0524'!L130</f>
        <v>1.7392100000000354E-2</v>
      </c>
      <c r="Y130" s="11">
        <f>X130/'2022a_250601_0524'!L130</f>
        <v>1.7408033573129839E-3</v>
      </c>
    </row>
    <row r="131" spans="1:25" x14ac:dyDescent="0.25">
      <c r="A131">
        <v>130</v>
      </c>
      <c r="B131">
        <v>146</v>
      </c>
      <c r="C131" t="s">
        <v>46</v>
      </c>
      <c r="D131" t="s">
        <v>17</v>
      </c>
      <c r="E131" t="s">
        <v>49</v>
      </c>
      <c r="F131" t="s">
        <v>19</v>
      </c>
      <c r="G131" t="s">
        <v>26</v>
      </c>
      <c r="H131" t="s">
        <v>21</v>
      </c>
      <c r="I131" t="s">
        <v>24</v>
      </c>
      <c r="J131" t="s">
        <v>23</v>
      </c>
      <c r="K131">
        <v>450</v>
      </c>
      <c r="L131">
        <v>13.540191800000001</v>
      </c>
      <c r="M131">
        <v>35.604687394938694</v>
      </c>
      <c r="N131">
        <v>-2.7989443676201601E-2</v>
      </c>
      <c r="O131" s="1" t="str">
        <f>HYPERLINK(".\sm_car_250531_2225\sm_car_250531_2225_130_Ca146TrN_MaLSS_ode23t_1.png","figure")</f>
        <v>figure</v>
      </c>
      <c r="P131" t="s">
        <v>15</v>
      </c>
      <c r="V131">
        <f>K131-'2022a_250601_0524'!K131</f>
        <v>0</v>
      </c>
      <c r="W131" s="11">
        <f>V131/'2022a_250601_0524'!K131</f>
        <v>0</v>
      </c>
      <c r="X131">
        <f>L131-'2022a_250601_0524'!L131</f>
        <v>0.79342010000000052</v>
      </c>
      <c r="Y131" s="11">
        <f>X131/'2022a_250601_0524'!L131</f>
        <v>6.2244787831259307E-2</v>
      </c>
    </row>
    <row r="132" spans="1:25" x14ac:dyDescent="0.25">
      <c r="A132">
        <v>131</v>
      </c>
      <c r="B132">
        <v>161</v>
      </c>
      <c r="C132" t="s">
        <v>45</v>
      </c>
      <c r="D132" t="s">
        <v>51</v>
      </c>
      <c r="E132" t="s">
        <v>49</v>
      </c>
      <c r="F132" t="s">
        <v>19</v>
      </c>
      <c r="G132" t="s">
        <v>26</v>
      </c>
      <c r="H132" t="s">
        <v>21</v>
      </c>
      <c r="I132" t="s">
        <v>22</v>
      </c>
      <c r="J132" t="s">
        <v>23</v>
      </c>
      <c r="K132">
        <v>605</v>
      </c>
      <c r="L132">
        <v>31.465266199999999</v>
      </c>
      <c r="M132">
        <v>179.77186123957486</v>
      </c>
      <c r="N132">
        <v>0.28997964368581042</v>
      </c>
      <c r="O132" s="1" t="str">
        <f>HYPERLINK(".\sm_car_250531_2225\sm_car_250531_2225_131_Ca161TrN_MaWOT_ode23t_1.png","figure")</f>
        <v>figure</v>
      </c>
      <c r="P132" t="s">
        <v>15</v>
      </c>
      <c r="V132">
        <f>K132-'2022a_250601_0524'!K132</f>
        <v>0</v>
      </c>
      <c r="W132" s="11">
        <f>V132/'2022a_250601_0524'!K132</f>
        <v>0</v>
      </c>
      <c r="X132">
        <f>L132-'2022a_250601_0524'!L132</f>
        <v>-0.50421490000000091</v>
      </c>
      <c r="Y132" s="11">
        <f>X132/'2022a_250601_0524'!L132</f>
        <v>-1.5771757396462745E-2</v>
      </c>
    </row>
    <row r="133" spans="1:25" x14ac:dyDescent="0.25">
      <c r="A133">
        <v>132</v>
      </c>
      <c r="B133">
        <v>161</v>
      </c>
      <c r="C133" t="s">
        <v>45</v>
      </c>
      <c r="D133" t="s">
        <v>51</v>
      </c>
      <c r="E133" t="s">
        <v>49</v>
      </c>
      <c r="F133" t="s">
        <v>19</v>
      </c>
      <c r="G133" t="s">
        <v>26</v>
      </c>
      <c r="H133" t="s">
        <v>21</v>
      </c>
      <c r="I133" t="s">
        <v>24</v>
      </c>
      <c r="J133" t="s">
        <v>23</v>
      </c>
      <c r="K133">
        <v>693</v>
      </c>
      <c r="L133">
        <v>29.5045264</v>
      </c>
      <c r="M133">
        <v>154.14499845418891</v>
      </c>
      <c r="N133">
        <v>-0.59504276484450636</v>
      </c>
      <c r="O133" s="1" t="str">
        <f>HYPERLINK(".\sm_car_250531_2225\sm_car_250531_2225_132_Ca161TrN_MaLSS_ode23t_1.png","figure")</f>
        <v>figure</v>
      </c>
      <c r="P133" t="s">
        <v>15</v>
      </c>
      <c r="V133">
        <f>K133-'2022a_250601_0524'!K133</f>
        <v>0</v>
      </c>
      <c r="W133" s="11">
        <f>V133/'2022a_250601_0524'!K133</f>
        <v>0</v>
      </c>
      <c r="X133">
        <f>L133-'2022a_250601_0524'!L133</f>
        <v>-0.82928980000000152</v>
      </c>
      <c r="Y133" s="11">
        <f>X133/'2022a_250601_0524'!L133</f>
        <v>-2.7338788978354841E-2</v>
      </c>
    </row>
    <row r="134" spans="1:25" x14ac:dyDescent="0.25">
      <c r="A134">
        <v>133</v>
      </c>
      <c r="B134">
        <v>163</v>
      </c>
      <c r="C134" t="s">
        <v>45</v>
      </c>
      <c r="D134" t="s">
        <v>52</v>
      </c>
      <c r="E134" t="s">
        <v>49</v>
      </c>
      <c r="F134" t="s">
        <v>19</v>
      </c>
      <c r="G134" t="s">
        <v>26</v>
      </c>
      <c r="H134" t="s">
        <v>21</v>
      </c>
      <c r="I134" t="s">
        <v>22</v>
      </c>
      <c r="J134" t="s">
        <v>23</v>
      </c>
      <c r="K134">
        <v>638</v>
      </c>
      <c r="L134">
        <v>33.283283099999998</v>
      </c>
      <c r="M134">
        <v>277.39786627078183</v>
      </c>
      <c r="N134">
        <v>0.67724694039963329</v>
      </c>
      <c r="O134" s="1" t="str">
        <f>HYPERLINK(".\sm_car_250531_2225\sm_car_250531_2225_133_Ca163TrN_MaWOT_ode23t_1.png","figure")</f>
        <v>figure</v>
      </c>
      <c r="P134" t="s">
        <v>15</v>
      </c>
      <c r="V134">
        <f>K134-'2022a_250601_0524'!K134</f>
        <v>0</v>
      </c>
      <c r="W134" s="11">
        <f>V134/'2022a_250601_0524'!K134</f>
        <v>0</v>
      </c>
      <c r="X134">
        <f>L134-'2022a_250601_0524'!L134</f>
        <v>-0.9605153000000044</v>
      </c>
      <c r="Y134" s="11">
        <f>X134/'2022a_250601_0524'!L134</f>
        <v>-2.8049321187453444E-2</v>
      </c>
    </row>
    <row r="135" spans="1:25" x14ac:dyDescent="0.25">
      <c r="A135">
        <v>134</v>
      </c>
      <c r="B135">
        <v>163</v>
      </c>
      <c r="C135" t="s">
        <v>45</v>
      </c>
      <c r="D135" t="s">
        <v>52</v>
      </c>
      <c r="E135" t="s">
        <v>49</v>
      </c>
      <c r="F135" t="s">
        <v>19</v>
      </c>
      <c r="G135" t="s">
        <v>26</v>
      </c>
      <c r="H135" t="s">
        <v>21</v>
      </c>
      <c r="I135" t="s">
        <v>24</v>
      </c>
      <c r="J135" t="s">
        <v>23</v>
      </c>
      <c r="K135">
        <v>803</v>
      </c>
      <c r="L135">
        <v>38.159332200000001</v>
      </c>
      <c r="M135">
        <v>256.35617393160209</v>
      </c>
      <c r="N135">
        <v>-0.85958698375126064</v>
      </c>
      <c r="O135" s="1" t="str">
        <f>HYPERLINK(".\sm_car_250531_2225\sm_car_250531_2225_134_Ca163TrN_MaLSS_ode23t_1.png","figure")</f>
        <v>figure</v>
      </c>
      <c r="P135" t="s">
        <v>15</v>
      </c>
      <c r="V135">
        <f>K135-'2022a_250601_0524'!K135</f>
        <v>0</v>
      </c>
      <c r="W135" s="11">
        <f>V135/'2022a_250601_0524'!K135</f>
        <v>0</v>
      </c>
      <c r="X135">
        <f>L135-'2022a_250601_0524'!L135</f>
        <v>2.4074096000000011</v>
      </c>
      <c r="Y135" s="11">
        <f>X135/'2022a_250601_0524'!L135</f>
        <v>6.7336507379885668E-2</v>
      </c>
    </row>
    <row r="136" spans="1:25" x14ac:dyDescent="0.25">
      <c r="A136">
        <v>135</v>
      </c>
      <c r="B136">
        <v>184</v>
      </c>
      <c r="C136" t="s">
        <v>105</v>
      </c>
      <c r="D136" t="s">
        <v>120</v>
      </c>
      <c r="E136" t="s">
        <v>49</v>
      </c>
      <c r="F136" t="s">
        <v>19</v>
      </c>
      <c r="G136" t="s">
        <v>20</v>
      </c>
      <c r="H136" t="s">
        <v>21</v>
      </c>
      <c r="I136" t="s">
        <v>22</v>
      </c>
      <c r="J136" t="s">
        <v>23</v>
      </c>
      <c r="K136">
        <v>311</v>
      </c>
      <c r="L136">
        <v>15.409984400000001</v>
      </c>
      <c r="M136">
        <v>294.64546055066154</v>
      </c>
      <c r="N136">
        <v>5.9485018793192866E-4</v>
      </c>
      <c r="O136" s="1" t="str">
        <f>HYPERLINK(".\sm_car_250531_2225\sm_car_250531_2225_135_Ca184TrN_MaWOT_ode23t_1.png","figure")</f>
        <v>figure</v>
      </c>
      <c r="P136" t="s">
        <v>15</v>
      </c>
      <c r="V136">
        <f>K136-'2022a_250601_0524'!K136</f>
        <v>0</v>
      </c>
      <c r="W136" s="11">
        <f>V136/'2022a_250601_0524'!K136</f>
        <v>0</v>
      </c>
      <c r="X136">
        <f>L136-'2022a_250601_0524'!L136</f>
        <v>-0.34161189999999841</v>
      </c>
      <c r="Y136" s="11">
        <f>X136/'2022a_250601_0524'!L136</f>
        <v>-2.1687446370117956E-2</v>
      </c>
    </row>
    <row r="137" spans="1:25" x14ac:dyDescent="0.25">
      <c r="A137">
        <v>136</v>
      </c>
      <c r="B137">
        <v>184</v>
      </c>
      <c r="C137" t="s">
        <v>105</v>
      </c>
      <c r="D137" t="s">
        <v>120</v>
      </c>
      <c r="E137" t="s">
        <v>49</v>
      </c>
      <c r="F137" t="s">
        <v>19</v>
      </c>
      <c r="G137" t="s">
        <v>20</v>
      </c>
      <c r="H137" t="s">
        <v>21</v>
      </c>
      <c r="I137" t="s">
        <v>24</v>
      </c>
      <c r="J137" t="s">
        <v>23</v>
      </c>
      <c r="K137">
        <v>481</v>
      </c>
      <c r="L137">
        <v>11.764647800000001</v>
      </c>
      <c r="M137">
        <v>103.56281476907209</v>
      </c>
      <c r="N137">
        <v>-0.21255854813123123</v>
      </c>
      <c r="O137" s="1" t="str">
        <f>HYPERLINK(".\sm_car_250531_2225\sm_car_250531_2225_136_Ca184TrN_MaLSS_ode23t_1.png","figure")</f>
        <v>figure</v>
      </c>
      <c r="P137" t="s">
        <v>15</v>
      </c>
      <c r="V137">
        <f>K137-'2022a_250601_0524'!K137</f>
        <v>0</v>
      </c>
      <c r="W137" s="11">
        <f>V137/'2022a_250601_0524'!K137</f>
        <v>0</v>
      </c>
      <c r="X137">
        <f>L137-'2022a_250601_0524'!L137</f>
        <v>0.56735809999999987</v>
      </c>
      <c r="Y137" s="11">
        <f>X137/'2022a_250601_0524'!L137</f>
        <v>5.0669234716683255E-2</v>
      </c>
    </row>
    <row r="138" spans="1:25" x14ac:dyDescent="0.25">
      <c r="A138">
        <v>137</v>
      </c>
      <c r="B138">
        <v>217</v>
      </c>
      <c r="C138" t="s">
        <v>45</v>
      </c>
      <c r="D138" t="s">
        <v>17</v>
      </c>
      <c r="E138" t="s">
        <v>107</v>
      </c>
      <c r="F138" t="s">
        <v>119</v>
      </c>
      <c r="G138" t="s">
        <v>26</v>
      </c>
      <c r="H138" t="s">
        <v>21</v>
      </c>
      <c r="I138" t="s">
        <v>22</v>
      </c>
      <c r="J138" t="s">
        <v>23</v>
      </c>
      <c r="K138">
        <v>744</v>
      </c>
      <c r="L138">
        <v>31.726330000000001</v>
      </c>
      <c r="M138">
        <v>278.53299339271558</v>
      </c>
      <c r="N138">
        <v>0.73298986942053801</v>
      </c>
      <c r="O138" s="1" t="str">
        <f>HYPERLINK(".\sm_car_250531_2225\sm_car_250531_2225_137_Ca217TrN_MaWOT_ode23t_1.png","figure")</f>
        <v>figure</v>
      </c>
      <c r="P138" t="s">
        <v>15</v>
      </c>
      <c r="V138">
        <f>K138-'2022a_250601_0524'!K138</f>
        <v>0</v>
      </c>
      <c r="W138" s="11">
        <f>V138/'2022a_250601_0524'!K138</f>
        <v>0</v>
      </c>
      <c r="X138">
        <f>L138-'2022a_250601_0524'!L138</f>
        <v>-1.386149299999996</v>
      </c>
      <c r="Y138" s="11">
        <f>X138/'2022a_250601_0524'!L138</f>
        <v>-4.1861839684109552E-2</v>
      </c>
    </row>
    <row r="139" spans="1:25" x14ac:dyDescent="0.25">
      <c r="A139">
        <v>138</v>
      </c>
      <c r="B139">
        <v>217</v>
      </c>
      <c r="C139" t="s">
        <v>45</v>
      </c>
      <c r="D139" t="s">
        <v>17</v>
      </c>
      <c r="E139" t="s">
        <v>107</v>
      </c>
      <c r="F139" t="s">
        <v>119</v>
      </c>
      <c r="G139" t="s">
        <v>26</v>
      </c>
      <c r="H139" t="s">
        <v>21</v>
      </c>
      <c r="I139" t="s">
        <v>24</v>
      </c>
      <c r="J139" t="s">
        <v>23</v>
      </c>
      <c r="K139">
        <v>849</v>
      </c>
      <c r="L139">
        <v>36.173785199999998</v>
      </c>
      <c r="M139">
        <v>110.07304022841477</v>
      </c>
      <c r="N139">
        <v>-0.35489105597102799</v>
      </c>
      <c r="O139" s="1" t="str">
        <f>HYPERLINK(".\sm_car_250531_2225\sm_car_250531_2225_138_Ca217TrN_MaLSS_ode23t_1.png","figure")</f>
        <v>figure</v>
      </c>
      <c r="P139" t="s">
        <v>15</v>
      </c>
      <c r="V139">
        <f>K139-'2022a_250601_0524'!K139</f>
        <v>0</v>
      </c>
      <c r="W139" s="11">
        <f>V139/'2022a_250601_0524'!K139</f>
        <v>0</v>
      </c>
      <c r="X139">
        <f>L139-'2022a_250601_0524'!L139</f>
        <v>-0.73714250000000447</v>
      </c>
      <c r="Y139" s="11">
        <f>X139/'2022a_250601_0524'!L139</f>
        <v>-1.9970847278379417E-2</v>
      </c>
    </row>
    <row r="140" spans="1:25" x14ac:dyDescent="0.25">
      <c r="A140">
        <v>139</v>
      </c>
      <c r="B140">
        <v>12</v>
      </c>
      <c r="C140" t="s">
        <v>16</v>
      </c>
      <c r="D140" t="s">
        <v>17</v>
      </c>
      <c r="E140" t="s">
        <v>49</v>
      </c>
      <c r="F140" t="s">
        <v>28</v>
      </c>
      <c r="G140" t="s">
        <v>20</v>
      </c>
      <c r="H140" t="s">
        <v>21</v>
      </c>
      <c r="I140" t="s">
        <v>53</v>
      </c>
      <c r="J140" t="s">
        <v>23</v>
      </c>
      <c r="K140">
        <v>806</v>
      </c>
      <c r="L140">
        <v>11.969046799999999</v>
      </c>
      <c r="M140">
        <v>253.67076948732642</v>
      </c>
      <c r="N140">
        <v>3.5685602331976263E-3</v>
      </c>
      <c r="O140" s="1" t="str">
        <f>HYPERLINK(".\sm_car_250531_2225\sm_car_250531_2225_139_Ca012TrN_MaDLC_ode23t_1.png","figure")</f>
        <v>figure</v>
      </c>
      <c r="P140" t="s">
        <v>15</v>
      </c>
      <c r="V140">
        <f>K140-'2022a_250601_0524'!K140</f>
        <v>18</v>
      </c>
      <c r="W140" s="11">
        <f>V140/'2022a_250601_0524'!K140</f>
        <v>2.2842639593908629E-2</v>
      </c>
      <c r="X140">
        <f>L140-'2022a_250601_0524'!L140</f>
        <v>0.31276359999999848</v>
      </c>
      <c r="Y140" s="11">
        <f>X140/'2022a_250601_0524'!L140</f>
        <v>2.683218952676085E-2</v>
      </c>
    </row>
    <row r="141" spans="1:25" x14ac:dyDescent="0.25">
      <c r="A141">
        <v>140</v>
      </c>
      <c r="B141">
        <v>12</v>
      </c>
      <c r="C141" t="s">
        <v>16</v>
      </c>
      <c r="D141" t="s">
        <v>17</v>
      </c>
      <c r="E141" t="s">
        <v>49</v>
      </c>
      <c r="F141" t="s">
        <v>28</v>
      </c>
      <c r="G141" t="s">
        <v>20</v>
      </c>
      <c r="H141" t="s">
        <v>21</v>
      </c>
      <c r="I141" t="s">
        <v>54</v>
      </c>
      <c r="J141" t="s">
        <v>23</v>
      </c>
      <c r="K141">
        <v>928</v>
      </c>
      <c r="L141">
        <v>16.073465299999999</v>
      </c>
      <c r="M141">
        <v>74.803378420356452</v>
      </c>
      <c r="N141">
        <v>0.71987889792356108</v>
      </c>
      <c r="O141" s="1" t="str">
        <f>HYPERLINK(".\sm_car_250531_2225\sm_car_250531_2225_140_Ca012TrN_MaIPA_ode23t_1.png","figure")</f>
        <v>figure</v>
      </c>
      <c r="P141" t="s">
        <v>15</v>
      </c>
      <c r="V141">
        <f>K141-'2022a_250601_0524'!K141</f>
        <v>0</v>
      </c>
      <c r="W141" s="11">
        <f>V141/'2022a_250601_0524'!K141</f>
        <v>0</v>
      </c>
      <c r="X141">
        <f>L141-'2022a_250601_0524'!L141</f>
        <v>0.79123579999999905</v>
      </c>
      <c r="Y141" s="11">
        <f>X141/'2022a_250601_0524'!L141</f>
        <v>5.1774893185578652E-2</v>
      </c>
    </row>
    <row r="142" spans="1:25" x14ac:dyDescent="0.25">
      <c r="A142">
        <v>141</v>
      </c>
      <c r="B142">
        <v>142</v>
      </c>
      <c r="C142" t="s">
        <v>45</v>
      </c>
      <c r="D142" t="s">
        <v>17</v>
      </c>
      <c r="E142" t="s">
        <v>49</v>
      </c>
      <c r="F142" t="s">
        <v>28</v>
      </c>
      <c r="G142" t="s">
        <v>26</v>
      </c>
      <c r="H142" t="s">
        <v>21</v>
      </c>
      <c r="I142" t="s">
        <v>53</v>
      </c>
      <c r="J142" t="s">
        <v>23</v>
      </c>
      <c r="K142">
        <v>771</v>
      </c>
      <c r="L142">
        <v>14.063309800000001</v>
      </c>
      <c r="M142">
        <v>253.57848364292528</v>
      </c>
      <c r="N142">
        <v>-6.6877329886931847E-3</v>
      </c>
      <c r="O142" s="1" t="str">
        <f>HYPERLINK(".\sm_car_250531_2225\sm_car_250531_2225_141_Ca142TrN_MaDLC_ode23t_1.png","figure")</f>
        <v>figure</v>
      </c>
      <c r="P142" t="s">
        <v>15</v>
      </c>
      <c r="V142">
        <f>K142-'2022a_250601_0524'!K142</f>
        <v>-11</v>
      </c>
      <c r="W142" s="11">
        <f>V142/'2022a_250601_0524'!K142</f>
        <v>-1.4066496163682864E-2</v>
      </c>
      <c r="X142">
        <f>L142-'2022a_250601_0524'!L142</f>
        <v>-0.56446049999999914</v>
      </c>
      <c r="Y142" s="11">
        <f>X142/'2022a_250601_0524'!L142</f>
        <v>-3.8588280265790004E-2</v>
      </c>
    </row>
    <row r="143" spans="1:25" x14ac:dyDescent="0.25">
      <c r="A143">
        <v>142</v>
      </c>
      <c r="B143">
        <v>142</v>
      </c>
      <c r="C143" t="s">
        <v>45</v>
      </c>
      <c r="D143" t="s">
        <v>17</v>
      </c>
      <c r="E143" t="s">
        <v>49</v>
      </c>
      <c r="F143" t="s">
        <v>28</v>
      </c>
      <c r="G143" t="s">
        <v>26</v>
      </c>
      <c r="H143" t="s">
        <v>21</v>
      </c>
      <c r="I143" t="s">
        <v>54</v>
      </c>
      <c r="J143" t="s">
        <v>23</v>
      </c>
      <c r="K143">
        <v>1514</v>
      </c>
      <c r="L143">
        <v>41.422081800000001</v>
      </c>
      <c r="M143">
        <v>83.364975879386066</v>
      </c>
      <c r="N143">
        <v>0.85104323035071494</v>
      </c>
      <c r="O143" s="1" t="str">
        <f>HYPERLINK(".\sm_car_250531_2225\sm_car_250531_2225_142_Ca142TrN_MaIPA_ode23t_1.png","figure")</f>
        <v>figure</v>
      </c>
      <c r="P143" t="s">
        <v>15</v>
      </c>
      <c r="V143">
        <f>K143-'2022a_250601_0524'!K143</f>
        <v>0</v>
      </c>
      <c r="W143" s="11">
        <f>V143/'2022a_250601_0524'!K143</f>
        <v>0</v>
      </c>
      <c r="X143">
        <f>L143-'2022a_250601_0524'!L143</f>
        <v>-1.4386788999999993</v>
      </c>
      <c r="Y143" s="11">
        <f>X143/'2022a_250601_0524'!L143</f>
        <v>-3.3566340785920752E-2</v>
      </c>
    </row>
    <row r="144" spans="1:25" x14ac:dyDescent="0.25">
      <c r="A144">
        <v>143</v>
      </c>
      <c r="B144">
        <v>145</v>
      </c>
      <c r="C144" t="s">
        <v>46</v>
      </c>
      <c r="D144" t="s">
        <v>17</v>
      </c>
      <c r="E144" t="s">
        <v>50</v>
      </c>
      <c r="F144" t="s">
        <v>19</v>
      </c>
      <c r="G144" t="s">
        <v>26</v>
      </c>
      <c r="H144" t="s">
        <v>21</v>
      </c>
      <c r="I144" t="s">
        <v>53</v>
      </c>
      <c r="J144" t="s">
        <v>23</v>
      </c>
      <c r="K144">
        <v>492</v>
      </c>
      <c r="L144">
        <v>18.491057099999999</v>
      </c>
      <c r="M144">
        <v>253.41884581687526</v>
      </c>
      <c r="N144">
        <v>4.7703349333065415E-2</v>
      </c>
      <c r="O144" s="1" t="str">
        <f>HYPERLINK(".\sm_car_250531_2225\sm_car_250531_2225_143_Ca145TrN_MaDLC_ode23t_1.png","figure")</f>
        <v>figure</v>
      </c>
      <c r="P144" t="s">
        <v>15</v>
      </c>
      <c r="V144">
        <f>K144-'2022a_250601_0524'!K144</f>
        <v>7</v>
      </c>
      <c r="W144" s="11">
        <f>V144/'2022a_250601_0524'!K144</f>
        <v>1.443298969072165E-2</v>
      </c>
      <c r="X144">
        <f>L144-'2022a_250601_0524'!L144</f>
        <v>0.28520759999999967</v>
      </c>
      <c r="Y144" s="11">
        <f>X144/'2022a_250601_0524'!L144</f>
        <v>1.5665712275606786E-2</v>
      </c>
    </row>
    <row r="145" spans="1:25" x14ac:dyDescent="0.25">
      <c r="A145">
        <v>144</v>
      </c>
      <c r="B145">
        <v>145</v>
      </c>
      <c r="C145" t="s">
        <v>46</v>
      </c>
      <c r="D145" t="s">
        <v>17</v>
      </c>
      <c r="E145" t="s">
        <v>50</v>
      </c>
      <c r="F145" t="s">
        <v>19</v>
      </c>
      <c r="G145" t="s">
        <v>26</v>
      </c>
      <c r="H145" t="s">
        <v>21</v>
      </c>
      <c r="I145" t="s">
        <v>54</v>
      </c>
      <c r="J145" t="s">
        <v>23</v>
      </c>
      <c r="K145">
        <v>316</v>
      </c>
      <c r="L145">
        <v>12.5134802</v>
      </c>
      <c r="M145">
        <v>28.088186829286883</v>
      </c>
      <c r="N145">
        <v>1.5899913059596607E-2</v>
      </c>
      <c r="O145" s="1" t="str">
        <f>HYPERLINK(".\sm_car_250531_2225\sm_car_250531_2225_144_Ca145TrN_MaIPA_ode23t_1.png","figure")</f>
        <v>figure</v>
      </c>
      <c r="P145" t="s">
        <v>15</v>
      </c>
      <c r="V145">
        <f>K145-'2022a_250601_0524'!K145</f>
        <v>0</v>
      </c>
      <c r="W145" s="11">
        <f>V145/'2022a_250601_0524'!K145</f>
        <v>0</v>
      </c>
      <c r="X145">
        <f>L145-'2022a_250601_0524'!L145</f>
        <v>3.8379199999999614E-2</v>
      </c>
      <c r="Y145" s="11">
        <f>X145/'2022a_250601_0524'!L145</f>
        <v>3.0764640703109026E-3</v>
      </c>
    </row>
    <row r="146" spans="1:25" x14ac:dyDescent="0.25">
      <c r="A146">
        <v>145</v>
      </c>
      <c r="B146">
        <v>184</v>
      </c>
      <c r="C146" t="s">
        <v>105</v>
      </c>
      <c r="D146" t="s">
        <v>120</v>
      </c>
      <c r="E146" t="s">
        <v>49</v>
      </c>
      <c r="F146" t="s">
        <v>19</v>
      </c>
      <c r="G146" t="s">
        <v>20</v>
      </c>
      <c r="H146" t="s">
        <v>21</v>
      </c>
      <c r="I146" t="s">
        <v>53</v>
      </c>
      <c r="J146" t="s">
        <v>23</v>
      </c>
      <c r="K146">
        <v>424</v>
      </c>
      <c r="L146">
        <v>11.9585434</v>
      </c>
      <c r="M146">
        <v>255.96159151151653</v>
      </c>
      <c r="N146">
        <v>8.0040232835640879E-3</v>
      </c>
      <c r="O146" s="1" t="str">
        <f>HYPERLINK(".\sm_car_250531_2225\sm_car_250531_2225_145_Ca184TrN_MaDLC_ode23t_1.png","figure")</f>
        <v>figure</v>
      </c>
      <c r="P146" t="s">
        <v>15</v>
      </c>
      <c r="V146">
        <f>K146-'2022a_250601_0524'!K146</f>
        <v>5</v>
      </c>
      <c r="W146" s="11">
        <f>V146/'2022a_250601_0524'!K146</f>
        <v>1.1933174224343675E-2</v>
      </c>
      <c r="X146">
        <f>L146-'2022a_250601_0524'!L146</f>
        <v>-0.15817679999999967</v>
      </c>
      <c r="Y146" s="11">
        <f>X146/'2022a_250601_0524'!L146</f>
        <v>-1.3054423754045232E-2</v>
      </c>
    </row>
    <row r="147" spans="1:25" x14ac:dyDescent="0.25">
      <c r="A147">
        <v>146</v>
      </c>
      <c r="B147">
        <v>184</v>
      </c>
      <c r="C147" t="s">
        <v>105</v>
      </c>
      <c r="D147" t="s">
        <v>120</v>
      </c>
      <c r="E147" t="s">
        <v>49</v>
      </c>
      <c r="F147" t="s">
        <v>19</v>
      </c>
      <c r="G147" t="s">
        <v>20</v>
      </c>
      <c r="H147" t="s">
        <v>21</v>
      </c>
      <c r="I147" t="s">
        <v>54</v>
      </c>
      <c r="J147" t="s">
        <v>23</v>
      </c>
      <c r="K147">
        <v>316</v>
      </c>
      <c r="L147">
        <v>12.9128112</v>
      </c>
      <c r="M147">
        <v>55.272298865534218</v>
      </c>
      <c r="N147">
        <v>5.8677306534421622E-3</v>
      </c>
      <c r="O147" s="1" t="str">
        <f>HYPERLINK(".\sm_car_250531_2225\sm_car_250531_2225_146_Ca184TrN_MaIPA_ode23t_1.png","figure")</f>
        <v>figure</v>
      </c>
      <c r="P147" t="s">
        <v>15</v>
      </c>
      <c r="V147">
        <f>K147-'2022a_250601_0524'!K147</f>
        <v>0</v>
      </c>
      <c r="W147" s="11">
        <f>V147/'2022a_250601_0524'!K147</f>
        <v>0</v>
      </c>
      <c r="X147">
        <f>L147-'2022a_250601_0524'!L147</f>
        <v>0.47215669999999932</v>
      </c>
      <c r="Y147" s="11">
        <f>X147/'2022a_250601_0524'!L147</f>
        <v>3.7952721860413319E-2</v>
      </c>
    </row>
    <row r="148" spans="1:25" x14ac:dyDescent="0.25">
      <c r="A148">
        <v>147</v>
      </c>
      <c r="B148">
        <v>204</v>
      </c>
      <c r="C148" t="s">
        <v>105</v>
      </c>
      <c r="D148" t="s">
        <v>106</v>
      </c>
      <c r="E148" t="s">
        <v>18</v>
      </c>
      <c r="F148" t="s">
        <v>19</v>
      </c>
      <c r="G148" t="s">
        <v>20</v>
      </c>
      <c r="H148" t="s">
        <v>21</v>
      </c>
      <c r="I148" t="s">
        <v>53</v>
      </c>
      <c r="J148" t="s">
        <v>23</v>
      </c>
      <c r="K148">
        <v>1930</v>
      </c>
      <c r="L148">
        <v>25.528248600000001</v>
      </c>
      <c r="M148">
        <v>254.9531130758495</v>
      </c>
      <c r="N148">
        <v>1.2667408745033804E-2</v>
      </c>
      <c r="O148" s="1" t="str">
        <f>HYPERLINK(".\sm_car_250531_2225\sm_car_250531_2225_147_Ca204TrN_MaDLC_ode23t_1.png","figure")</f>
        <v>figure</v>
      </c>
      <c r="P148" t="s">
        <v>15</v>
      </c>
      <c r="V148">
        <f>K148-'2022a_250601_0524'!K148</f>
        <v>-54</v>
      </c>
      <c r="W148" s="11">
        <f>V148/'2022a_250601_0524'!K148</f>
        <v>-2.7217741935483871E-2</v>
      </c>
      <c r="X148">
        <f>L148-'2022a_250601_0524'!L148</f>
        <v>-1.7325790999999988</v>
      </c>
      <c r="Y148" s="11">
        <f>X148/'2022a_250601_0524'!L148</f>
        <v>-6.3555630777857808E-2</v>
      </c>
    </row>
    <row r="149" spans="1:25" x14ac:dyDescent="0.25">
      <c r="A149">
        <v>148</v>
      </c>
      <c r="B149">
        <v>204</v>
      </c>
      <c r="C149" t="s">
        <v>105</v>
      </c>
      <c r="D149" t="s">
        <v>106</v>
      </c>
      <c r="E149" t="s">
        <v>18</v>
      </c>
      <c r="F149" t="s">
        <v>19</v>
      </c>
      <c r="G149" t="s">
        <v>20</v>
      </c>
      <c r="H149" t="s">
        <v>21</v>
      </c>
      <c r="I149" t="s">
        <v>54</v>
      </c>
      <c r="J149" t="s">
        <v>23</v>
      </c>
      <c r="K149">
        <v>663</v>
      </c>
      <c r="L149">
        <v>11.1583823</v>
      </c>
      <c r="M149">
        <v>26.034582908336471</v>
      </c>
      <c r="N149">
        <v>9.6641497332310318E-3</v>
      </c>
      <c r="O149" s="1" t="str">
        <f>HYPERLINK(".\sm_car_250531_2225\sm_car_250531_2225_148_Ca204TrN_MaIPA_ode23t_1.png","figure")</f>
        <v>figure</v>
      </c>
      <c r="P149" t="s">
        <v>15</v>
      </c>
      <c r="V149">
        <f>K149-'2022a_250601_0524'!K149</f>
        <v>0</v>
      </c>
      <c r="W149" s="11">
        <f>V149/'2022a_250601_0524'!K149</f>
        <v>0</v>
      </c>
      <c r="X149">
        <f>L149-'2022a_250601_0524'!L149</f>
        <v>4.3521799999998834E-2</v>
      </c>
      <c r="Y149" s="11">
        <f>X149/'2022a_250601_0524'!L149</f>
        <v>3.9156406866283954E-3</v>
      </c>
    </row>
    <row r="150" spans="1:25" x14ac:dyDescent="0.25">
      <c r="A150">
        <v>149</v>
      </c>
      <c r="B150">
        <v>12</v>
      </c>
      <c r="C150" t="s">
        <v>16</v>
      </c>
      <c r="D150" t="s">
        <v>17</v>
      </c>
      <c r="E150" t="s">
        <v>49</v>
      </c>
      <c r="F150" t="s">
        <v>28</v>
      </c>
      <c r="G150" t="s">
        <v>20</v>
      </c>
      <c r="H150" t="s">
        <v>21</v>
      </c>
      <c r="I150" t="s">
        <v>55</v>
      </c>
      <c r="J150" t="s">
        <v>23</v>
      </c>
      <c r="K150">
        <v>2667</v>
      </c>
      <c r="L150">
        <v>29.151272899999999</v>
      </c>
      <c r="M150">
        <v>-2.058254573261549E-2</v>
      </c>
      <c r="N150">
        <v>-0.64080221341995336</v>
      </c>
      <c r="O150" s="1" t="str">
        <f>HYPERLINK(".\sm_car_250531_2225\sm_car_250531_2225_149_Ca012TrN_MaMPK_ode23t_1.png","figure")</f>
        <v>figure</v>
      </c>
      <c r="P150" t="s">
        <v>15</v>
      </c>
      <c r="V150">
        <f>K150-'2022a_250601_0524'!K150</f>
        <v>-39</v>
      </c>
      <c r="W150" s="11">
        <f>V150/'2022a_250601_0524'!K150</f>
        <v>-1.4412416851441241E-2</v>
      </c>
      <c r="X150">
        <f>L150-'2022a_250601_0524'!L150</f>
        <v>0.28398649999999748</v>
      </c>
      <c r="Y150" s="11">
        <f>X150/'2022a_250601_0524'!L150</f>
        <v>9.8376583120745788E-3</v>
      </c>
    </row>
    <row r="151" spans="1:25" x14ac:dyDescent="0.25">
      <c r="A151">
        <v>150</v>
      </c>
      <c r="B151">
        <v>12</v>
      </c>
      <c r="C151" t="s">
        <v>16</v>
      </c>
      <c r="D151" t="s">
        <v>17</v>
      </c>
      <c r="E151" t="s">
        <v>49</v>
      </c>
      <c r="F151" t="s">
        <v>28</v>
      </c>
      <c r="G151" t="s">
        <v>20</v>
      </c>
      <c r="H151" t="s">
        <v>21</v>
      </c>
      <c r="I151" t="s">
        <v>56</v>
      </c>
      <c r="J151" t="s">
        <v>23</v>
      </c>
      <c r="K151">
        <v>3100</v>
      </c>
      <c r="L151">
        <v>31.394583999999998</v>
      </c>
      <c r="M151">
        <v>0.78275767455742162</v>
      </c>
      <c r="N151">
        <v>-0.33054687837819319</v>
      </c>
      <c r="O151" s="1" t="str">
        <f>HYPERLINK(".\sm_car_250531_2225\sm_car_250531_2225_150_Ca012TrN_MaMPC_ode23t_1.png","figure")</f>
        <v>figure</v>
      </c>
      <c r="P151" t="s">
        <v>15</v>
      </c>
      <c r="V151">
        <f>K151-'2022a_250601_0524'!K151</f>
        <v>-36</v>
      </c>
      <c r="W151" s="11">
        <f>V151/'2022a_250601_0524'!K151</f>
        <v>-1.1479591836734694E-2</v>
      </c>
      <c r="X151">
        <f>L151-'2022a_250601_0524'!L151</f>
        <v>-3.2541811000000003</v>
      </c>
      <c r="Y151" s="11">
        <f>X151/'2022a_250601_0524'!L151</f>
        <v>-9.3919107668284554E-2</v>
      </c>
    </row>
    <row r="152" spans="1:25" x14ac:dyDescent="0.25">
      <c r="A152">
        <v>151</v>
      </c>
      <c r="B152">
        <v>142</v>
      </c>
      <c r="C152" t="s">
        <v>45</v>
      </c>
      <c r="D152" t="s">
        <v>17</v>
      </c>
      <c r="E152" t="s">
        <v>49</v>
      </c>
      <c r="F152" t="s">
        <v>28</v>
      </c>
      <c r="G152" t="s">
        <v>26</v>
      </c>
      <c r="H152" t="s">
        <v>21</v>
      </c>
      <c r="I152" t="s">
        <v>55</v>
      </c>
      <c r="J152" t="s">
        <v>23</v>
      </c>
      <c r="K152">
        <v>2539</v>
      </c>
      <c r="L152">
        <v>62.552695999999997</v>
      </c>
      <c r="M152">
        <v>-1.82811475926868E-2</v>
      </c>
      <c r="N152">
        <v>-0.56399868819969234</v>
      </c>
      <c r="O152" s="1" t="str">
        <f>HYPERLINK(".\sm_car_250531_2225\sm_car_250531_2225_151_Ca142TrN_MaMPK_ode23t_1.png","figure")</f>
        <v>figure</v>
      </c>
      <c r="P152" t="s">
        <v>15</v>
      </c>
      <c r="V152">
        <f>K152-'2022a_250601_0524'!K152</f>
        <v>-58</v>
      </c>
      <c r="W152" s="11">
        <f>V152/'2022a_250601_0524'!K152</f>
        <v>-2.2333461686561418E-2</v>
      </c>
      <c r="X152">
        <f>L152-'2022a_250601_0524'!L152</f>
        <v>-6.8844536000000005</v>
      </c>
      <c r="Y152" s="11">
        <f>X152/'2022a_250601_0524'!L152</f>
        <v>-9.9146546764356247E-2</v>
      </c>
    </row>
    <row r="153" spans="1:25" x14ac:dyDescent="0.25">
      <c r="A153">
        <v>152</v>
      </c>
      <c r="B153">
        <v>142</v>
      </c>
      <c r="C153" t="s">
        <v>45</v>
      </c>
      <c r="D153" t="s">
        <v>17</v>
      </c>
      <c r="E153" t="s">
        <v>49</v>
      </c>
      <c r="F153" t="s">
        <v>28</v>
      </c>
      <c r="G153" t="s">
        <v>26</v>
      </c>
      <c r="H153" t="s">
        <v>21</v>
      </c>
      <c r="I153" t="s">
        <v>56</v>
      </c>
      <c r="J153" t="s">
        <v>23</v>
      </c>
      <c r="K153">
        <v>3209</v>
      </c>
      <c r="L153">
        <v>83.875914600000002</v>
      </c>
      <c r="M153">
        <v>0.78757780127797972</v>
      </c>
      <c r="N153">
        <v>-0.37346465916058913</v>
      </c>
      <c r="O153" s="1" t="str">
        <f>HYPERLINK(".\sm_car_250531_2225\sm_car_250531_2225_152_Ca142TrN_MaMPC_ode23t_1.png","figure")</f>
        <v>figure</v>
      </c>
      <c r="P153" t="s">
        <v>15</v>
      </c>
      <c r="V153">
        <f>K153-'2022a_250601_0524'!K153</f>
        <v>33</v>
      </c>
      <c r="W153" s="11">
        <f>V153/'2022a_250601_0524'!K153</f>
        <v>1.0390428211586901E-2</v>
      </c>
      <c r="X153">
        <f>L153-'2022a_250601_0524'!L153</f>
        <v>5.3720280000000002</v>
      </c>
      <c r="Y153" s="11">
        <f>X153/'2022a_250601_0524'!L153</f>
        <v>6.8430089676604619E-2</v>
      </c>
    </row>
    <row r="154" spans="1:25" x14ac:dyDescent="0.25">
      <c r="A154">
        <v>153</v>
      </c>
      <c r="B154">
        <v>116</v>
      </c>
      <c r="C154" t="s">
        <v>16</v>
      </c>
      <c r="D154" t="s">
        <v>35</v>
      </c>
      <c r="E154" t="s">
        <v>18</v>
      </c>
      <c r="F154" t="s">
        <v>28</v>
      </c>
      <c r="G154" t="s">
        <v>20</v>
      </c>
      <c r="H154" t="s">
        <v>21</v>
      </c>
      <c r="I154" t="s">
        <v>55</v>
      </c>
      <c r="J154" t="s">
        <v>23</v>
      </c>
      <c r="K154">
        <v>2801</v>
      </c>
      <c r="L154">
        <v>14.5308437</v>
      </c>
      <c r="M154">
        <v>-1.4623862091903791E-2</v>
      </c>
      <c r="N154">
        <v>-0.54065616816962858</v>
      </c>
      <c r="O154" s="1" t="str">
        <f>HYPERLINK(".\sm_car_250531_2225\sm_car_250531_2225_153_Ca116TrN_MaMPK_ode23t_1.png","figure")</f>
        <v>figure</v>
      </c>
      <c r="P154" t="s">
        <v>15</v>
      </c>
      <c r="V154">
        <f>K154-'2022a_250601_0524'!K154</f>
        <v>-44</v>
      </c>
      <c r="W154" s="11">
        <f>V154/'2022a_250601_0524'!K154</f>
        <v>-1.546572934973638E-2</v>
      </c>
      <c r="X154">
        <f>L154-'2022a_250601_0524'!L154</f>
        <v>1.3690145999999999</v>
      </c>
      <c r="Y154" s="11">
        <f>X154/'2022a_250601_0524'!L154</f>
        <v>0.1040140082049842</v>
      </c>
    </row>
    <row r="155" spans="1:25" x14ac:dyDescent="0.25">
      <c r="A155">
        <v>154</v>
      </c>
      <c r="B155">
        <v>116</v>
      </c>
      <c r="C155" t="s">
        <v>16</v>
      </c>
      <c r="D155" t="s">
        <v>35</v>
      </c>
      <c r="E155" t="s">
        <v>18</v>
      </c>
      <c r="F155" t="s">
        <v>28</v>
      </c>
      <c r="G155" t="s">
        <v>20</v>
      </c>
      <c r="H155" t="s">
        <v>21</v>
      </c>
      <c r="I155" t="s">
        <v>56</v>
      </c>
      <c r="J155" t="s">
        <v>23</v>
      </c>
      <c r="K155">
        <v>3334</v>
      </c>
      <c r="L155">
        <v>15.188622799999999</v>
      </c>
      <c r="M155">
        <v>0.78351414246157169</v>
      </c>
      <c r="N155">
        <v>-0.36349584031328247</v>
      </c>
      <c r="O155" s="1" t="str">
        <f>HYPERLINK(".\sm_car_250531_2225\sm_car_250531_2225_154_Ca116TrN_MaMPC_ode23t_1.png","figure")</f>
        <v>figure</v>
      </c>
      <c r="P155" t="s">
        <v>15</v>
      </c>
      <c r="V155">
        <f>K155-'2022a_250601_0524'!K155</f>
        <v>-35</v>
      </c>
      <c r="W155" s="11">
        <f>V155/'2022a_250601_0524'!K155</f>
        <v>-1.0388839418224993E-2</v>
      </c>
      <c r="X155">
        <f>L155-'2022a_250601_0524'!L155</f>
        <v>0.21510929999999995</v>
      </c>
      <c r="Y155" s="11">
        <f>X155/'2022a_250601_0524'!L155</f>
        <v>1.4365986980944717E-2</v>
      </c>
    </row>
    <row r="156" spans="1:25" x14ac:dyDescent="0.25">
      <c r="A156">
        <v>155</v>
      </c>
      <c r="B156">
        <v>143</v>
      </c>
      <c r="C156" t="s">
        <v>46</v>
      </c>
      <c r="D156" t="s">
        <v>17</v>
      </c>
      <c r="E156" t="s">
        <v>47</v>
      </c>
      <c r="F156" t="s">
        <v>19</v>
      </c>
      <c r="G156" t="s">
        <v>26</v>
      </c>
      <c r="H156" t="s">
        <v>21</v>
      </c>
      <c r="I156" t="s">
        <v>55</v>
      </c>
      <c r="J156" t="s">
        <v>23</v>
      </c>
      <c r="K156">
        <v>2699</v>
      </c>
      <c r="L156">
        <v>51.334870100000003</v>
      </c>
      <c r="M156">
        <v>-1.6184555064366113E-2</v>
      </c>
      <c r="N156">
        <v>-0.40135064044678198</v>
      </c>
      <c r="O156" s="1" t="str">
        <f>HYPERLINK(".\sm_car_250531_2225\sm_car_250531_2225_155_Ca143TrN_MaMPK_ode23t_1.png","figure")</f>
        <v>figure</v>
      </c>
      <c r="P156" t="s">
        <v>15</v>
      </c>
      <c r="V156">
        <f>K156-'2022a_250601_0524'!K156</f>
        <v>-6</v>
      </c>
      <c r="W156" s="11">
        <f>V156/'2022a_250601_0524'!K156</f>
        <v>-2.2181146025878002E-3</v>
      </c>
      <c r="X156">
        <f>L156-'2022a_250601_0524'!L156</f>
        <v>0.4171304000000049</v>
      </c>
      <c r="Y156" s="11">
        <f>X156/'2022a_250601_0524'!L156</f>
        <v>8.1922411021714096E-3</v>
      </c>
    </row>
    <row r="157" spans="1:25" x14ac:dyDescent="0.25">
      <c r="A157">
        <v>156</v>
      </c>
      <c r="B157">
        <v>143</v>
      </c>
      <c r="C157" t="s">
        <v>46</v>
      </c>
      <c r="D157" t="s">
        <v>17</v>
      </c>
      <c r="E157" t="s">
        <v>47</v>
      </c>
      <c r="F157" t="s">
        <v>19</v>
      </c>
      <c r="G157" t="s">
        <v>26</v>
      </c>
      <c r="H157" t="s">
        <v>21</v>
      </c>
      <c r="I157" t="s">
        <v>56</v>
      </c>
      <c r="J157" t="s">
        <v>23</v>
      </c>
      <c r="K157">
        <v>2847</v>
      </c>
      <c r="L157">
        <v>65.870874799999996</v>
      </c>
      <c r="M157">
        <v>0.78889294772602447</v>
      </c>
      <c r="N157">
        <v>-0.26819615521733742</v>
      </c>
      <c r="O157" s="1" t="str">
        <f>HYPERLINK(".\sm_car_250531_2225\sm_car_250531_2225_156_Ca143TrN_MaMPC_ode23t_1.png","figure")</f>
        <v>figure</v>
      </c>
      <c r="P157" t="s">
        <v>15</v>
      </c>
      <c r="V157">
        <f>K157-'2022a_250601_0524'!K157</f>
        <v>-63</v>
      </c>
      <c r="W157" s="11">
        <f>V157/'2022a_250601_0524'!K157</f>
        <v>-2.1649484536082474E-2</v>
      </c>
      <c r="X157">
        <f>L157-'2022a_250601_0524'!L157</f>
        <v>2.7974221999999926</v>
      </c>
      <c r="Y157" s="11">
        <f>X157/'2022a_250601_0524'!L157</f>
        <v>4.4351816567593329E-2</v>
      </c>
    </row>
    <row r="158" spans="1:25" x14ac:dyDescent="0.25">
      <c r="A158">
        <v>157</v>
      </c>
      <c r="B158">
        <v>166</v>
      </c>
      <c r="C158" t="s">
        <v>45</v>
      </c>
      <c r="D158" t="s">
        <v>57</v>
      </c>
      <c r="E158" t="s">
        <v>18</v>
      </c>
      <c r="F158" t="s">
        <v>19</v>
      </c>
      <c r="G158" t="s">
        <v>26</v>
      </c>
      <c r="H158" t="s">
        <v>21</v>
      </c>
      <c r="I158" t="s">
        <v>55</v>
      </c>
      <c r="J158" t="s">
        <v>23</v>
      </c>
      <c r="K158">
        <v>3090</v>
      </c>
      <c r="L158">
        <v>43.668969400000002</v>
      </c>
      <c r="M158">
        <v>-1.0124575867173885E-2</v>
      </c>
      <c r="N158">
        <v>-0.57282303634550258</v>
      </c>
      <c r="O158" s="1" t="str">
        <f>HYPERLINK(".\sm_car_250531_2225\sm_car_250531_2225_157_Ca166TrN_MaMPK_ode23t_1.png","figure")</f>
        <v>figure</v>
      </c>
      <c r="P158" t="s">
        <v>15</v>
      </c>
      <c r="V158">
        <f>K158-'2022a_250601_0524'!K158</f>
        <v>-97</v>
      </c>
      <c r="W158" s="11">
        <f>V158/'2022a_250601_0524'!K158</f>
        <v>-3.0436146846564167E-2</v>
      </c>
      <c r="X158">
        <f>L158-'2022a_250601_0524'!L158</f>
        <v>-1.146731299999999</v>
      </c>
      <c r="Y158" s="11">
        <f>X158/'2022a_250601_0524'!L158</f>
        <v>-2.558771328102874E-2</v>
      </c>
    </row>
    <row r="159" spans="1:25" x14ac:dyDescent="0.25">
      <c r="A159">
        <v>158</v>
      </c>
      <c r="B159">
        <v>166</v>
      </c>
      <c r="C159" t="s">
        <v>45</v>
      </c>
      <c r="D159" t="s">
        <v>57</v>
      </c>
      <c r="E159" t="s">
        <v>18</v>
      </c>
      <c r="F159" t="s">
        <v>19</v>
      </c>
      <c r="G159" t="s">
        <v>26</v>
      </c>
      <c r="H159" t="s">
        <v>21</v>
      </c>
      <c r="I159" t="s">
        <v>56</v>
      </c>
      <c r="J159" t="s">
        <v>23</v>
      </c>
      <c r="K159">
        <v>3550</v>
      </c>
      <c r="L159">
        <v>50.568440000000002</v>
      </c>
      <c r="M159">
        <v>0.78826913907982465</v>
      </c>
      <c r="N159">
        <v>-0.36472509882751292</v>
      </c>
      <c r="O159" s="1" t="str">
        <f>HYPERLINK(".\sm_car_250531_2225\sm_car_250531_2225_158_Ca166TrN_MaMPC_ode23t_1.png","figure")</f>
        <v>figure</v>
      </c>
      <c r="P159" t="s">
        <v>15</v>
      </c>
      <c r="V159">
        <f>K159-'2022a_250601_0524'!K159</f>
        <v>-3</v>
      </c>
      <c r="W159" s="11">
        <f>V159/'2022a_250601_0524'!K159</f>
        <v>-8.4435688150858433E-4</v>
      </c>
      <c r="X159">
        <f>L159-'2022a_250601_0524'!L159</f>
        <v>2.1122143000000051</v>
      </c>
      <c r="Y159" s="11">
        <f>X159/'2022a_250601_0524'!L159</f>
        <v>4.3590153163745177E-2</v>
      </c>
    </row>
    <row r="160" spans="1:25" x14ac:dyDescent="0.25">
      <c r="A160">
        <v>159</v>
      </c>
      <c r="B160">
        <v>169</v>
      </c>
      <c r="C160" t="s">
        <v>45</v>
      </c>
      <c r="D160" t="s">
        <v>58</v>
      </c>
      <c r="E160" t="s">
        <v>49</v>
      </c>
      <c r="F160" t="s">
        <v>19</v>
      </c>
      <c r="G160" t="s">
        <v>26</v>
      </c>
      <c r="H160" t="s">
        <v>21</v>
      </c>
      <c r="I160" t="s">
        <v>55</v>
      </c>
      <c r="J160" t="s">
        <v>23</v>
      </c>
      <c r="K160">
        <v>3102</v>
      </c>
      <c r="L160">
        <v>41.484945500000002</v>
      </c>
      <c r="M160">
        <v>-1.9995920225554395E-2</v>
      </c>
      <c r="N160">
        <v>-0.57341382486948389</v>
      </c>
      <c r="O160" s="1" t="str">
        <f>HYPERLINK(".\sm_car_250531_2225\sm_car_250531_2225_159_Ca169TrN_MaMPK_ode23t_1.png","figure")</f>
        <v>figure</v>
      </c>
      <c r="P160" t="s">
        <v>15</v>
      </c>
      <c r="V160">
        <f>K160-'2022a_250601_0524'!K160</f>
        <v>-20</v>
      </c>
      <c r="W160" s="11">
        <f>V160/'2022a_250601_0524'!K160</f>
        <v>-6.4061499039077515E-3</v>
      </c>
      <c r="X160">
        <f>L160-'2022a_250601_0524'!L160</f>
        <v>1.0003227000000052</v>
      </c>
      <c r="Y160" s="11">
        <f>X160/'2022a_250601_0524'!L160</f>
        <v>2.4708707425576047E-2</v>
      </c>
    </row>
    <row r="161" spans="1:25" x14ac:dyDescent="0.25">
      <c r="A161">
        <v>160</v>
      </c>
      <c r="B161">
        <v>169</v>
      </c>
      <c r="C161" t="s">
        <v>45</v>
      </c>
      <c r="D161" t="s">
        <v>58</v>
      </c>
      <c r="E161" t="s">
        <v>49</v>
      </c>
      <c r="F161" t="s">
        <v>19</v>
      </c>
      <c r="G161" t="s">
        <v>26</v>
      </c>
      <c r="H161" t="s">
        <v>21</v>
      </c>
      <c r="I161" t="s">
        <v>56</v>
      </c>
      <c r="J161" t="s">
        <v>23</v>
      </c>
      <c r="K161">
        <v>3357</v>
      </c>
      <c r="L161">
        <v>43.880628000000002</v>
      </c>
      <c r="M161">
        <v>0.78191482211995655</v>
      </c>
      <c r="N161">
        <v>-0.3640291056421629</v>
      </c>
      <c r="O161" s="1" t="str">
        <f>HYPERLINK(".\sm_car_250531_2225\sm_car_250531_2225_160_Ca169TrN_MaMPC_ode23t_1.png","figure")</f>
        <v>figure</v>
      </c>
      <c r="P161" t="s">
        <v>15</v>
      </c>
      <c r="V161">
        <f>K161-'2022a_250601_0524'!K161</f>
        <v>-37</v>
      </c>
      <c r="W161" s="11">
        <f>V161/'2022a_250601_0524'!K161</f>
        <v>-1.0901591043017089E-2</v>
      </c>
      <c r="X161">
        <f>L161-'2022a_250601_0524'!L161</f>
        <v>1.9464043999999987</v>
      </c>
      <c r="Y161" s="11">
        <f>X161/'2022a_250601_0524'!L161</f>
        <v>4.6415653681018638E-2</v>
      </c>
    </row>
    <row r="162" spans="1:25" x14ac:dyDescent="0.25">
      <c r="A162">
        <v>161</v>
      </c>
      <c r="B162">
        <v>184</v>
      </c>
      <c r="C162" t="s">
        <v>105</v>
      </c>
      <c r="D162" t="s">
        <v>120</v>
      </c>
      <c r="E162" t="s">
        <v>49</v>
      </c>
      <c r="F162" t="s">
        <v>19</v>
      </c>
      <c r="G162" t="s">
        <v>20</v>
      </c>
      <c r="H162" t="s">
        <v>21</v>
      </c>
      <c r="I162" t="s">
        <v>55</v>
      </c>
      <c r="J162" t="s">
        <v>23</v>
      </c>
      <c r="K162">
        <v>2081</v>
      </c>
      <c r="L162">
        <v>52.133168099999999</v>
      </c>
      <c r="M162">
        <v>-1.3982956028818855E-2</v>
      </c>
      <c r="N162">
        <v>-0.71912598088697022</v>
      </c>
      <c r="O162" s="1" t="str">
        <f>HYPERLINK(".\sm_car_250531_2225\sm_car_250531_2225_161_Ca184TrN_MaMPK_ode23t_1.png","figure")</f>
        <v>figure</v>
      </c>
      <c r="P162" t="s">
        <v>15</v>
      </c>
      <c r="V162">
        <f>K162-'2022a_250601_0524'!K162</f>
        <v>-27</v>
      </c>
      <c r="W162" s="11">
        <f>V162/'2022a_250601_0524'!K162</f>
        <v>-1.2808349146110056E-2</v>
      </c>
      <c r="X162">
        <f>L162-'2022a_250601_0524'!L162</f>
        <v>-1.0432855000000032</v>
      </c>
      <c r="Y162" s="11">
        <f>X162/'2022a_250601_0524'!L162</f>
        <v>-1.9619313236789511E-2</v>
      </c>
    </row>
    <row r="163" spans="1:25" x14ac:dyDescent="0.25">
      <c r="A163">
        <v>162</v>
      </c>
      <c r="B163">
        <v>184</v>
      </c>
      <c r="C163" t="s">
        <v>105</v>
      </c>
      <c r="D163" t="s">
        <v>120</v>
      </c>
      <c r="E163" t="s">
        <v>49</v>
      </c>
      <c r="F163" t="s">
        <v>19</v>
      </c>
      <c r="G163" t="s">
        <v>20</v>
      </c>
      <c r="H163" t="s">
        <v>21</v>
      </c>
      <c r="I163" t="s">
        <v>56</v>
      </c>
      <c r="J163" t="s">
        <v>23</v>
      </c>
      <c r="K163">
        <v>2171</v>
      </c>
      <c r="L163">
        <v>53.3990486</v>
      </c>
      <c r="M163">
        <v>0.78391307833365609</v>
      </c>
      <c r="N163">
        <v>-0.33705677054882754</v>
      </c>
      <c r="O163" s="1" t="str">
        <f>HYPERLINK(".\sm_car_250531_2225\sm_car_250531_2225_162_Ca184TrN_MaMPC_ode23t_1.png","figure")</f>
        <v>figure</v>
      </c>
      <c r="P163" t="s">
        <v>15</v>
      </c>
      <c r="V163">
        <f>K163-'2022a_250601_0524'!K163</f>
        <v>-5</v>
      </c>
      <c r="W163" s="11">
        <f>V163/'2022a_250601_0524'!K163</f>
        <v>-2.2977941176470589E-3</v>
      </c>
      <c r="X163">
        <f>L163-'2022a_250601_0524'!L163</f>
        <v>0.16938309999999746</v>
      </c>
      <c r="Y163" s="11">
        <f>X163/'2022a_250601_0524'!L163</f>
        <v>3.1821184373213361E-3</v>
      </c>
    </row>
    <row r="164" spans="1:25" x14ac:dyDescent="0.25">
      <c r="A164">
        <v>163</v>
      </c>
      <c r="B164">
        <v>195</v>
      </c>
      <c r="C164" t="s">
        <v>45</v>
      </c>
      <c r="D164" t="s">
        <v>58</v>
      </c>
      <c r="E164" t="s">
        <v>107</v>
      </c>
      <c r="F164" t="s">
        <v>19</v>
      </c>
      <c r="G164" t="s">
        <v>26</v>
      </c>
      <c r="H164" t="s">
        <v>21</v>
      </c>
      <c r="I164" t="s">
        <v>55</v>
      </c>
      <c r="J164" t="s">
        <v>23</v>
      </c>
      <c r="K164">
        <v>3055</v>
      </c>
      <c r="L164">
        <v>32.4016819</v>
      </c>
      <c r="M164">
        <v>-1.7263545046588835E-2</v>
      </c>
      <c r="N164">
        <v>-0.57347851535842742</v>
      </c>
      <c r="O164" s="1" t="str">
        <f>HYPERLINK(".\sm_car_250531_2225\sm_car_250531_2225_163_Ca195TrN_MaMPK_ode23t_1.png","figure")</f>
        <v>figure</v>
      </c>
      <c r="P164" t="s">
        <v>15</v>
      </c>
      <c r="V164">
        <f>K164-'2022a_250601_0524'!K164</f>
        <v>-90</v>
      </c>
      <c r="W164" s="11">
        <f>V164/'2022a_250601_0524'!K164</f>
        <v>-2.8616852146263912E-2</v>
      </c>
      <c r="X164">
        <f>L164-'2022a_250601_0524'!L164</f>
        <v>-4.5868929000000023</v>
      </c>
      <c r="Y164" s="11">
        <f>X164/'2022a_250601_0524'!L164</f>
        <v>-0.12400837082265743</v>
      </c>
    </row>
    <row r="165" spans="1:25" x14ac:dyDescent="0.25">
      <c r="A165">
        <v>164</v>
      </c>
      <c r="B165">
        <v>195</v>
      </c>
      <c r="C165" t="s">
        <v>45</v>
      </c>
      <c r="D165" t="s">
        <v>58</v>
      </c>
      <c r="E165" t="s">
        <v>107</v>
      </c>
      <c r="F165" t="s">
        <v>19</v>
      </c>
      <c r="G165" t="s">
        <v>26</v>
      </c>
      <c r="H165" t="s">
        <v>21</v>
      </c>
      <c r="I165" t="s">
        <v>56</v>
      </c>
      <c r="J165" t="s">
        <v>23</v>
      </c>
      <c r="K165">
        <v>3326</v>
      </c>
      <c r="L165">
        <v>38.760312900000002</v>
      </c>
      <c r="M165">
        <v>0.76973015003414957</v>
      </c>
      <c r="N165">
        <v>-0.36394938955103412</v>
      </c>
      <c r="O165" s="1" t="str">
        <f>HYPERLINK(".\sm_car_250531_2225\sm_car_250531_2225_164_Ca195TrN_MaMPC_ode23t_1.png","figure")</f>
        <v>figure</v>
      </c>
      <c r="P165" t="s">
        <v>15</v>
      </c>
      <c r="V165">
        <f>K165-'2022a_250601_0524'!K165</f>
        <v>-45</v>
      </c>
      <c r="W165" s="11">
        <f>V165/'2022a_250601_0524'!K165</f>
        <v>-1.3349154553544943E-2</v>
      </c>
      <c r="X165">
        <f>L165-'2022a_250601_0524'!L165</f>
        <v>3.2427199000000044</v>
      </c>
      <c r="Y165" s="11">
        <f>X165/'2022a_250601_0524'!L165</f>
        <v>9.1298976819741265E-2</v>
      </c>
    </row>
    <row r="166" spans="1:25" x14ac:dyDescent="0.25">
      <c r="A166">
        <v>165</v>
      </c>
      <c r="B166">
        <v>198</v>
      </c>
      <c r="C166" t="s">
        <v>105</v>
      </c>
      <c r="D166" t="s">
        <v>120</v>
      </c>
      <c r="E166" t="s">
        <v>107</v>
      </c>
      <c r="F166" t="s">
        <v>19</v>
      </c>
      <c r="G166" t="s">
        <v>20</v>
      </c>
      <c r="H166" t="s">
        <v>21</v>
      </c>
      <c r="I166" t="s">
        <v>55</v>
      </c>
      <c r="J166" t="s">
        <v>23</v>
      </c>
      <c r="K166">
        <v>2122</v>
      </c>
      <c r="L166">
        <v>29.169004300000001</v>
      </c>
      <c r="M166">
        <v>-2.2254540723493976E-2</v>
      </c>
      <c r="N166">
        <v>-0.71896748050902348</v>
      </c>
      <c r="O166" s="1" t="str">
        <f>HYPERLINK(".\sm_car_250531_2225\sm_car_250531_2225_165_Ca198TrN_MaMPK_ode23t_1.png","figure")</f>
        <v>figure</v>
      </c>
      <c r="P166" t="s">
        <v>15</v>
      </c>
      <c r="V166">
        <f>K166-'2022a_250601_0524'!K166</f>
        <v>10</v>
      </c>
      <c r="W166" s="11">
        <f>V166/'2022a_250601_0524'!K166</f>
        <v>4.734848484848485E-3</v>
      </c>
      <c r="X166">
        <f>L166-'2022a_250601_0524'!L166</f>
        <v>-4.3353689999999965</v>
      </c>
      <c r="Y166" s="11">
        <f>X166/'2022a_250601_0524'!L166</f>
        <v>-0.12939710769041596</v>
      </c>
    </row>
    <row r="167" spans="1:25" x14ac:dyDescent="0.25">
      <c r="A167">
        <v>166</v>
      </c>
      <c r="B167">
        <v>198</v>
      </c>
      <c r="C167" t="s">
        <v>105</v>
      </c>
      <c r="D167" t="s">
        <v>120</v>
      </c>
      <c r="E167" t="s">
        <v>107</v>
      </c>
      <c r="F167" t="s">
        <v>19</v>
      </c>
      <c r="G167" t="s">
        <v>20</v>
      </c>
      <c r="H167" t="s">
        <v>21</v>
      </c>
      <c r="I167" t="s">
        <v>56</v>
      </c>
      <c r="J167" t="s">
        <v>23</v>
      </c>
      <c r="K167">
        <v>2191</v>
      </c>
      <c r="L167">
        <v>29.340850499999998</v>
      </c>
      <c r="M167">
        <v>0.78919446683539718</v>
      </c>
      <c r="N167">
        <v>-0.33716151000409256</v>
      </c>
      <c r="O167" s="1" t="str">
        <f>HYPERLINK(".\sm_car_250531_2225\sm_car_250531_2225_166_Ca198TrN_MaMPC_ode23t_1.png","figure")</f>
        <v>figure</v>
      </c>
      <c r="P167" t="s">
        <v>15</v>
      </c>
      <c r="V167">
        <f>K167-'2022a_250601_0524'!K167</f>
        <v>33</v>
      </c>
      <c r="W167" s="11">
        <f>V167/'2022a_250601_0524'!K167</f>
        <v>1.5291936978683966E-2</v>
      </c>
      <c r="X167">
        <f>L167-'2022a_250601_0524'!L167</f>
        <v>-0.96275420000000267</v>
      </c>
      <c r="Y167" s="11">
        <f>X167/'2022a_250601_0524'!L167</f>
        <v>-3.1770286391044518E-2</v>
      </c>
    </row>
    <row r="168" spans="1:25" x14ac:dyDescent="0.25">
      <c r="A168">
        <v>167</v>
      </c>
      <c r="B168">
        <v>151</v>
      </c>
      <c r="C168" t="s">
        <v>16</v>
      </c>
      <c r="D168" t="s">
        <v>17</v>
      </c>
      <c r="E168" t="s">
        <v>18</v>
      </c>
      <c r="F168" t="s">
        <v>19</v>
      </c>
      <c r="G168" t="s">
        <v>59</v>
      </c>
      <c r="H168" t="s">
        <v>21</v>
      </c>
      <c r="I168" t="s">
        <v>24</v>
      </c>
      <c r="J168" t="s">
        <v>23</v>
      </c>
      <c r="K168">
        <v>490</v>
      </c>
      <c r="L168">
        <v>11.881534500000001</v>
      </c>
      <c r="M168">
        <v>72.558726519601265</v>
      </c>
      <c r="N168">
        <v>-0.80375738528869656</v>
      </c>
      <c r="O168" s="1" t="str">
        <f>HYPERLINK(".\sm_car_250531_2225\sm_car_250531_2225_167_Ca151TrN_MaLSS_ode23t_1.png","figure")</f>
        <v>figure</v>
      </c>
      <c r="P168" t="s">
        <v>15</v>
      </c>
      <c r="V168">
        <f>K168-'2022a_250601_0524'!K168</f>
        <v>0</v>
      </c>
      <c r="W168" s="11">
        <f>V168/'2022a_250601_0524'!K168</f>
        <v>0</v>
      </c>
      <c r="X168">
        <f>L168-'2022a_250601_0524'!L168</f>
        <v>-0.38414099999999962</v>
      </c>
      <c r="Y168" s="11">
        <f>X168/'2022a_250601_0524'!L168</f>
        <v>-3.1318372966902604E-2</v>
      </c>
    </row>
    <row r="169" spans="1:25" x14ac:dyDescent="0.25">
      <c r="A169">
        <v>168</v>
      </c>
      <c r="B169">
        <v>152</v>
      </c>
      <c r="C169" t="s">
        <v>16</v>
      </c>
      <c r="D169" t="s">
        <v>17</v>
      </c>
      <c r="E169" t="s">
        <v>18</v>
      </c>
      <c r="F169" t="s">
        <v>19</v>
      </c>
      <c r="G169" t="s">
        <v>60</v>
      </c>
      <c r="H169" t="s">
        <v>21</v>
      </c>
      <c r="I169" t="s">
        <v>24</v>
      </c>
      <c r="J169" t="s">
        <v>23</v>
      </c>
      <c r="K169">
        <v>526</v>
      </c>
      <c r="L169">
        <v>13.4793064</v>
      </c>
      <c r="M169">
        <v>70.960569189103424</v>
      </c>
      <c r="N169">
        <v>-0.52803158816223184</v>
      </c>
      <c r="O169" s="1" t="str">
        <f>HYPERLINK(".\sm_car_250531_2225\sm_car_250531_2225_168_Ca152TrN_MaLSS_ode23t_1.png","figure")</f>
        <v>figure</v>
      </c>
      <c r="P169" t="s">
        <v>15</v>
      </c>
      <c r="V169">
        <f>K169-'2022a_250601_0524'!K169</f>
        <v>0</v>
      </c>
      <c r="W169" s="11">
        <f>V169/'2022a_250601_0524'!K169</f>
        <v>0</v>
      </c>
      <c r="X169">
        <f>L169-'2022a_250601_0524'!L169</f>
        <v>0.66613400000000134</v>
      </c>
      <c r="Y169" s="11">
        <f>X169/'2022a_250601_0524'!L169</f>
        <v>5.1988217999782892E-2</v>
      </c>
    </row>
    <row r="170" spans="1:25" x14ac:dyDescent="0.25">
      <c r="A170">
        <v>169</v>
      </c>
      <c r="B170">
        <v>153</v>
      </c>
      <c r="C170" t="s">
        <v>16</v>
      </c>
      <c r="D170" t="s">
        <v>17</v>
      </c>
      <c r="E170" t="s">
        <v>18</v>
      </c>
      <c r="F170" t="s">
        <v>19</v>
      </c>
      <c r="G170" t="s">
        <v>61</v>
      </c>
      <c r="H170" t="s">
        <v>21</v>
      </c>
      <c r="I170" t="s">
        <v>24</v>
      </c>
      <c r="J170" t="s">
        <v>23</v>
      </c>
      <c r="K170">
        <v>551</v>
      </c>
      <c r="L170">
        <v>13.7555551</v>
      </c>
      <c r="M170">
        <v>70.797312958870762</v>
      </c>
      <c r="N170">
        <v>-0.87003279709096748</v>
      </c>
      <c r="O170" s="1" t="str">
        <f>HYPERLINK(".\sm_car_250531_2225\sm_car_250531_2225_169_Ca153TrN_MaLSS_ode23t_1.png","figure")</f>
        <v>figure</v>
      </c>
      <c r="P170" t="s">
        <v>15</v>
      </c>
      <c r="V170">
        <f>K170-'2022a_250601_0524'!K170</f>
        <v>0</v>
      </c>
      <c r="W170" s="11">
        <f>V170/'2022a_250601_0524'!K170</f>
        <v>0</v>
      </c>
      <c r="X170">
        <f>L170-'2022a_250601_0524'!L170</f>
        <v>-0.38777529999999949</v>
      </c>
      <c r="Y170" s="11">
        <f>X170/'2022a_250601_0524'!L170</f>
        <v>-2.7417538092725281E-2</v>
      </c>
    </row>
    <row r="171" spans="1:25" x14ac:dyDescent="0.25">
      <c r="A171">
        <v>170</v>
      </c>
      <c r="B171">
        <v>154</v>
      </c>
      <c r="C171" t="s">
        <v>16</v>
      </c>
      <c r="D171" t="s">
        <v>17</v>
      </c>
      <c r="E171" t="s">
        <v>18</v>
      </c>
      <c r="F171" t="s">
        <v>19</v>
      </c>
      <c r="G171" t="s">
        <v>108</v>
      </c>
      <c r="H171" t="s">
        <v>21</v>
      </c>
      <c r="I171" t="s">
        <v>24</v>
      </c>
      <c r="J171" t="s">
        <v>23</v>
      </c>
      <c r="K171">
        <v>484</v>
      </c>
      <c r="L171">
        <v>15.951268300000001</v>
      </c>
      <c r="M171">
        <v>70.988739560601132</v>
      </c>
      <c r="N171">
        <v>-0.35951995211654802</v>
      </c>
      <c r="O171" s="1" t="str">
        <f>HYPERLINK(".\sm_car_250531_2225\sm_car_250531_2225_170_Ca154TrN_MaLSS_ode23t_1.png","figure")</f>
        <v>figure</v>
      </c>
      <c r="P171" t="s">
        <v>15</v>
      </c>
      <c r="V171">
        <f>K171-'2022a_250601_0524'!K171</f>
        <v>0</v>
      </c>
      <c r="W171" s="11">
        <f>V171/'2022a_250601_0524'!K171</f>
        <v>0</v>
      </c>
      <c r="X171">
        <f>L171-'2022a_250601_0524'!L171</f>
        <v>5.8242800000000372E-2</v>
      </c>
      <c r="Y171" s="11">
        <f>X171/'2022a_250601_0524'!L171</f>
        <v>3.664676684750828E-3</v>
      </c>
    </row>
    <row r="172" spans="1:25" x14ac:dyDescent="0.25">
      <c r="A172">
        <v>171</v>
      </c>
      <c r="B172">
        <v>155</v>
      </c>
      <c r="C172" t="s">
        <v>16</v>
      </c>
      <c r="D172" t="s">
        <v>17</v>
      </c>
      <c r="E172" t="s">
        <v>18</v>
      </c>
      <c r="F172" t="s">
        <v>19</v>
      </c>
      <c r="G172" t="s">
        <v>62</v>
      </c>
      <c r="H172" t="s">
        <v>21</v>
      </c>
      <c r="I172" t="s">
        <v>24</v>
      </c>
      <c r="J172" t="s">
        <v>23</v>
      </c>
      <c r="K172">
        <v>548</v>
      </c>
      <c r="L172">
        <v>18.8854547</v>
      </c>
      <c r="M172">
        <v>70.833065422272966</v>
      </c>
      <c r="N172">
        <v>-0.84756545609604028</v>
      </c>
      <c r="O172" s="1" t="str">
        <f>HYPERLINK(".\sm_car_250531_2225\sm_car_250531_2225_171_Ca155TrN_MaLSS_ode23t_1.png","figure")</f>
        <v>figure</v>
      </c>
      <c r="P172" t="s">
        <v>15</v>
      </c>
      <c r="V172">
        <f>K172-'2022a_250601_0524'!K172</f>
        <v>0</v>
      </c>
      <c r="W172" s="11">
        <f>V172/'2022a_250601_0524'!K172</f>
        <v>0</v>
      </c>
      <c r="X172">
        <f>L172-'2022a_250601_0524'!L172</f>
        <v>-0.26949069999999864</v>
      </c>
      <c r="Y172" s="11">
        <f>X172/'2022a_250601_0524'!L172</f>
        <v>-1.4068988158013681E-2</v>
      </c>
    </row>
    <row r="173" spans="1:25" x14ac:dyDescent="0.25">
      <c r="A173">
        <v>172</v>
      </c>
      <c r="B173">
        <v>4</v>
      </c>
      <c r="C173" t="s">
        <v>16</v>
      </c>
      <c r="D173" t="s">
        <v>17</v>
      </c>
      <c r="E173" t="s">
        <v>18</v>
      </c>
      <c r="F173" t="s">
        <v>28</v>
      </c>
      <c r="G173" t="s">
        <v>20</v>
      </c>
      <c r="H173" t="s">
        <v>21</v>
      </c>
      <c r="I173" t="s">
        <v>22</v>
      </c>
      <c r="J173" t="s">
        <v>63</v>
      </c>
      <c r="K173">
        <v>3247</v>
      </c>
      <c r="L173">
        <v>8.9672861000000008</v>
      </c>
      <c r="M173">
        <v>231.38224683871496</v>
      </c>
      <c r="N173">
        <v>2.2339937171260366E-3</v>
      </c>
      <c r="O173" s="1" t="str">
        <f>HYPERLINK(".\sm_car_250531_2225\sm_car_250531_2225_172_Ca004TrN_MaWOT_ode3_1.png","figure")</f>
        <v>figure</v>
      </c>
      <c r="P173" t="s">
        <v>15</v>
      </c>
      <c r="V173">
        <f>K173-'2022a_250601_0524'!K173</f>
        <v>0</v>
      </c>
      <c r="W173" s="11">
        <f>V173/'2022a_250601_0524'!K173</f>
        <v>0</v>
      </c>
      <c r="X173">
        <f>L173-'2022a_250601_0524'!L173</f>
        <v>0.11927760000000021</v>
      </c>
      <c r="Y173" s="11">
        <f>X173/'2022a_250601_0524'!L173</f>
        <v>1.3480728459969291E-2</v>
      </c>
    </row>
    <row r="174" spans="1:25" x14ac:dyDescent="0.25">
      <c r="A174">
        <v>173</v>
      </c>
      <c r="B174">
        <v>4</v>
      </c>
      <c r="C174" t="s">
        <v>16</v>
      </c>
      <c r="D174" t="s">
        <v>17</v>
      </c>
      <c r="E174" t="s">
        <v>18</v>
      </c>
      <c r="F174" t="s">
        <v>28</v>
      </c>
      <c r="G174" t="s">
        <v>20</v>
      </c>
      <c r="H174" t="s">
        <v>21</v>
      </c>
      <c r="I174" t="s">
        <v>24</v>
      </c>
      <c r="J174" t="s">
        <v>63</v>
      </c>
      <c r="K174">
        <v>2564</v>
      </c>
      <c r="L174">
        <v>7.4756320000000001</v>
      </c>
      <c r="M174">
        <v>71.251895399548502</v>
      </c>
      <c r="N174">
        <v>-0.54030571140992245</v>
      </c>
      <c r="O174" s="1" t="str">
        <f>HYPERLINK(".\sm_car_250531_2225\sm_car_250531_2225_173_Ca004TrN_MaLSS_ode3_1.png","figure")</f>
        <v>figure</v>
      </c>
      <c r="P174" t="s">
        <v>15</v>
      </c>
      <c r="V174">
        <f>K174-'2022a_250601_0524'!K174</f>
        <v>0</v>
      </c>
      <c r="W174" s="11">
        <f>V174/'2022a_250601_0524'!K174</f>
        <v>0</v>
      </c>
      <c r="X174">
        <f>L174-'2022a_250601_0524'!L174</f>
        <v>0.16817789999999988</v>
      </c>
      <c r="Y174" s="11">
        <f>X174/'2022a_250601_0524'!L174</f>
        <v>2.3014568096979202E-2</v>
      </c>
    </row>
    <row r="175" spans="1:25" x14ac:dyDescent="0.25">
      <c r="A175">
        <v>174</v>
      </c>
      <c r="B175">
        <v>4</v>
      </c>
      <c r="C175" t="s">
        <v>16</v>
      </c>
      <c r="D175" t="s">
        <v>17</v>
      </c>
      <c r="E175" t="s">
        <v>18</v>
      </c>
      <c r="F175" t="s">
        <v>28</v>
      </c>
      <c r="G175" t="s">
        <v>20</v>
      </c>
      <c r="H175" t="s">
        <v>21</v>
      </c>
      <c r="I175" t="s">
        <v>64</v>
      </c>
      <c r="J175" t="s">
        <v>63</v>
      </c>
      <c r="K175">
        <v>2562</v>
      </c>
      <c r="L175">
        <v>7.2545400000000004</v>
      </c>
      <c r="M175">
        <v>63.784285151621532</v>
      </c>
      <c r="N175">
        <v>-25.042725609682812</v>
      </c>
      <c r="O175" s="1" t="str">
        <f>HYPERLINK(".\sm_car_250531_2225\sm_car_250531_2225_174_Ca004TrN_MaTUR_ode3_1.png","figure")</f>
        <v>figure</v>
      </c>
      <c r="P175" t="s">
        <v>15</v>
      </c>
      <c r="V175">
        <f>K175-'2022a_250601_0524'!K175</f>
        <v>0</v>
      </c>
      <c r="W175" s="11">
        <f>V175/'2022a_250601_0524'!K175</f>
        <v>0</v>
      </c>
      <c r="X175">
        <f>L175-'2022a_250601_0524'!L175</f>
        <v>-8.9294699999999949E-2</v>
      </c>
      <c r="Y175" s="11">
        <f>X175/'2022a_250601_0524'!L175</f>
        <v>-1.2159138059030652E-2</v>
      </c>
    </row>
    <row r="176" spans="1:25" x14ac:dyDescent="0.25">
      <c r="A176">
        <v>175</v>
      </c>
      <c r="B176">
        <v>116</v>
      </c>
      <c r="C176" t="s">
        <v>16</v>
      </c>
      <c r="D176" t="s">
        <v>35</v>
      </c>
      <c r="E176" t="s">
        <v>18</v>
      </c>
      <c r="F176" t="s">
        <v>28</v>
      </c>
      <c r="G176" t="s">
        <v>20</v>
      </c>
      <c r="H176" t="s">
        <v>21</v>
      </c>
      <c r="I176" t="s">
        <v>22</v>
      </c>
      <c r="J176" t="s">
        <v>63</v>
      </c>
      <c r="K176">
        <v>3244</v>
      </c>
      <c r="L176">
        <v>4.1171579999999999</v>
      </c>
      <c r="M176">
        <v>242.69607452341987</v>
      </c>
      <c r="N176">
        <v>0.23635446031101723</v>
      </c>
      <c r="O176" s="1" t="str">
        <f>HYPERLINK(".\sm_car_250531_2225\sm_car_250531_2225_175_Ca116TrN_MaWOT_ode3_1.png","figure")</f>
        <v>figure</v>
      </c>
      <c r="P176" t="s">
        <v>15</v>
      </c>
      <c r="V176">
        <f>K176-'2022a_250601_0524'!K176</f>
        <v>0</v>
      </c>
      <c r="W176" s="11">
        <f>V176/'2022a_250601_0524'!K176</f>
        <v>0</v>
      </c>
      <c r="X176">
        <f>L176-'2022a_250601_0524'!L176</f>
        <v>6.9468500000000155E-2</v>
      </c>
      <c r="Y176" s="11">
        <f>X176/'2022a_250601_0524'!L176</f>
        <v>1.7162507153772582E-2</v>
      </c>
    </row>
    <row r="177" spans="1:25" x14ac:dyDescent="0.25">
      <c r="A177">
        <v>176</v>
      </c>
      <c r="B177">
        <v>116</v>
      </c>
      <c r="C177" t="s">
        <v>16</v>
      </c>
      <c r="D177" t="s">
        <v>35</v>
      </c>
      <c r="E177" t="s">
        <v>18</v>
      </c>
      <c r="F177" t="s">
        <v>28</v>
      </c>
      <c r="G177" t="s">
        <v>20</v>
      </c>
      <c r="H177" t="s">
        <v>21</v>
      </c>
      <c r="I177" t="s">
        <v>24</v>
      </c>
      <c r="J177" t="s">
        <v>63</v>
      </c>
      <c r="K177">
        <v>2564</v>
      </c>
      <c r="L177">
        <v>3.3462744</v>
      </c>
      <c r="M177">
        <v>74.657190781644118</v>
      </c>
      <c r="N177">
        <v>-0.34075824439014252</v>
      </c>
      <c r="O177" s="1" t="str">
        <f>HYPERLINK(".\sm_car_250531_2225\sm_car_250531_2225_176_Ca116TrN_MaLSS_ode3_1.png","figure")</f>
        <v>figure</v>
      </c>
      <c r="P177" t="s">
        <v>15</v>
      </c>
      <c r="V177">
        <f>K177-'2022a_250601_0524'!K177</f>
        <v>0</v>
      </c>
      <c r="W177" s="11">
        <f>V177/'2022a_250601_0524'!K177</f>
        <v>0</v>
      </c>
      <c r="X177">
        <f>L177-'2022a_250601_0524'!L177</f>
        <v>-1.6912000000002259E-3</v>
      </c>
      <c r="Y177" s="11">
        <f>X177/'2022a_250601_0524'!L177</f>
        <v>-5.0514258569449636E-4</v>
      </c>
    </row>
    <row r="178" spans="1:25" x14ac:dyDescent="0.25">
      <c r="A178">
        <v>177</v>
      </c>
      <c r="B178">
        <v>116</v>
      </c>
      <c r="C178" t="s">
        <v>16</v>
      </c>
      <c r="D178" t="s">
        <v>35</v>
      </c>
      <c r="E178" t="s">
        <v>18</v>
      </c>
      <c r="F178" t="s">
        <v>28</v>
      </c>
      <c r="G178" t="s">
        <v>20</v>
      </c>
      <c r="H178" t="s">
        <v>21</v>
      </c>
      <c r="I178" t="s">
        <v>64</v>
      </c>
      <c r="J178" t="s">
        <v>63</v>
      </c>
      <c r="K178">
        <v>2563</v>
      </c>
      <c r="L178">
        <v>3.3603225000000001</v>
      </c>
      <c r="M178">
        <v>71.322015477791922</v>
      </c>
      <c r="N178">
        <v>-17.59032913116118</v>
      </c>
      <c r="O178" s="1" t="str">
        <f>HYPERLINK(".\sm_car_250531_2225\sm_car_250531_2225_177_Ca116TrN_MaTUR_ode3_1.png","figure")</f>
        <v>figure</v>
      </c>
      <c r="P178" t="s">
        <v>15</v>
      </c>
      <c r="V178">
        <f>K178-'2022a_250601_0524'!K178</f>
        <v>0</v>
      </c>
      <c r="W178" s="11">
        <f>V178/'2022a_250601_0524'!K178</f>
        <v>0</v>
      </c>
      <c r="X178">
        <f>L178-'2022a_250601_0524'!L178</f>
        <v>-2.2465899999999817E-2</v>
      </c>
      <c r="Y178" s="11">
        <f>X178/'2022a_250601_0524'!L178</f>
        <v>-6.6412371521670753E-3</v>
      </c>
    </row>
    <row r="179" spans="1:25" x14ac:dyDescent="0.25">
      <c r="A179">
        <v>178</v>
      </c>
      <c r="B179">
        <v>124</v>
      </c>
      <c r="C179" t="s">
        <v>16</v>
      </c>
      <c r="D179" t="s">
        <v>35</v>
      </c>
      <c r="E179" t="s">
        <v>49</v>
      </c>
      <c r="F179" t="s">
        <v>28</v>
      </c>
      <c r="G179" t="s">
        <v>20</v>
      </c>
      <c r="H179" t="s">
        <v>21</v>
      </c>
      <c r="I179" t="s">
        <v>22</v>
      </c>
      <c r="J179" t="s">
        <v>63</v>
      </c>
      <c r="K179">
        <v>3244</v>
      </c>
      <c r="L179">
        <v>2.3333661999999999</v>
      </c>
      <c r="M179">
        <v>242.87242715534205</v>
      </c>
      <c r="N179">
        <v>0.23615864655911284</v>
      </c>
      <c r="O179" s="1" t="str">
        <f>HYPERLINK(".\sm_car_250531_2225\sm_car_250531_2225_178_Ca124TrN_MaWOT_ode3_1.png","figure")</f>
        <v>figure</v>
      </c>
      <c r="P179" t="s">
        <v>15</v>
      </c>
      <c r="V179">
        <f>K179-'2022a_250601_0524'!K179</f>
        <v>0</v>
      </c>
      <c r="W179" s="11">
        <f>V179/'2022a_250601_0524'!K179</f>
        <v>0</v>
      </c>
      <c r="X179">
        <f>L179-'2022a_250601_0524'!L179</f>
        <v>8.5900899999999947E-2</v>
      </c>
      <c r="Y179" s="11">
        <f>X179/'2022a_250601_0524'!L179</f>
        <v>3.8221235273354366E-2</v>
      </c>
    </row>
    <row r="180" spans="1:25" x14ac:dyDescent="0.25">
      <c r="A180">
        <v>179</v>
      </c>
      <c r="B180">
        <v>124</v>
      </c>
      <c r="C180" t="s">
        <v>16</v>
      </c>
      <c r="D180" t="s">
        <v>35</v>
      </c>
      <c r="E180" t="s">
        <v>49</v>
      </c>
      <c r="F180" t="s">
        <v>28</v>
      </c>
      <c r="G180" t="s">
        <v>20</v>
      </c>
      <c r="H180" t="s">
        <v>21</v>
      </c>
      <c r="I180" t="s">
        <v>24</v>
      </c>
      <c r="J180" t="s">
        <v>63</v>
      </c>
      <c r="K180">
        <v>2565</v>
      </c>
      <c r="L180">
        <v>1.8897911000000001</v>
      </c>
      <c r="M180">
        <v>74.796106047599508</v>
      </c>
      <c r="N180">
        <v>-0.34233746651595287</v>
      </c>
      <c r="O180" s="1" t="str">
        <f>HYPERLINK(".\sm_car_250531_2225\sm_car_250531_2225_179_Ca124TrN_MaLSS_ode3_1.png","figure")</f>
        <v>figure</v>
      </c>
      <c r="P180" t="s">
        <v>15</v>
      </c>
      <c r="V180">
        <f>K180-'2022a_250601_0524'!K180</f>
        <v>0</v>
      </c>
      <c r="W180" s="11">
        <f>V180/'2022a_250601_0524'!K180</f>
        <v>0</v>
      </c>
      <c r="X180">
        <f>L180-'2022a_250601_0524'!L180</f>
        <v>-3.0598699999999868E-2</v>
      </c>
      <c r="Y180" s="11">
        <f>X180/'2022a_250601_0524'!L180</f>
        <v>-1.593358806633938E-2</v>
      </c>
    </row>
    <row r="181" spans="1:25" x14ac:dyDescent="0.25">
      <c r="A181">
        <v>180</v>
      </c>
      <c r="B181">
        <v>124</v>
      </c>
      <c r="C181" t="s">
        <v>16</v>
      </c>
      <c r="D181" t="s">
        <v>35</v>
      </c>
      <c r="E181" t="s">
        <v>49</v>
      </c>
      <c r="F181" t="s">
        <v>28</v>
      </c>
      <c r="G181" t="s">
        <v>20</v>
      </c>
      <c r="H181" t="s">
        <v>21</v>
      </c>
      <c r="I181" t="s">
        <v>64</v>
      </c>
      <c r="J181" t="s">
        <v>63</v>
      </c>
      <c r="K181">
        <v>2564</v>
      </c>
      <c r="L181">
        <v>1.9283167999999999</v>
      </c>
      <c r="M181">
        <v>71.447408139703924</v>
      </c>
      <c r="N181">
        <v>-17.636376353758362</v>
      </c>
      <c r="O181" s="1" t="str">
        <f>HYPERLINK(".\sm_car_250531_2225\sm_car_250531_2225_180_Ca124TrN_MaTUR_ode3_1.png","figure")</f>
        <v>figure</v>
      </c>
      <c r="P181" t="s">
        <v>15</v>
      </c>
      <c r="V181">
        <f>K181-'2022a_250601_0524'!K181</f>
        <v>0</v>
      </c>
      <c r="W181" s="11">
        <f>V181/'2022a_250601_0524'!K181</f>
        <v>0</v>
      </c>
      <c r="X181">
        <f>L181-'2022a_250601_0524'!L181</f>
        <v>-0.13410710000000026</v>
      </c>
      <c r="Y181" s="11">
        <f>X181/'2022a_250601_0524'!L181</f>
        <v>-6.5024023431846503E-2</v>
      </c>
    </row>
    <row r="182" spans="1:25" x14ac:dyDescent="0.25">
      <c r="A182">
        <v>181</v>
      </c>
      <c r="B182">
        <v>141</v>
      </c>
      <c r="C182" t="s">
        <v>45</v>
      </c>
      <c r="D182" t="s">
        <v>17</v>
      </c>
      <c r="E182" t="s">
        <v>18</v>
      </c>
      <c r="F182" t="s">
        <v>28</v>
      </c>
      <c r="G182" t="s">
        <v>26</v>
      </c>
      <c r="H182" t="s">
        <v>21</v>
      </c>
      <c r="I182" t="s">
        <v>22</v>
      </c>
      <c r="J182" t="s">
        <v>63</v>
      </c>
      <c r="K182">
        <v>3837</v>
      </c>
      <c r="L182">
        <v>12.394832299999999</v>
      </c>
      <c r="M182">
        <v>405.26699926711569</v>
      </c>
      <c r="N182">
        <v>1.5961569011224264</v>
      </c>
      <c r="O182" s="1" t="str">
        <f>HYPERLINK(".\sm_car_250531_2225\sm_car_250531_2225_181_Ca141TrN_MaWOT_ode3_1.png","figure")</f>
        <v>figure</v>
      </c>
      <c r="P182" t="s">
        <v>15</v>
      </c>
      <c r="V182">
        <f>K182-'2022a_250601_0524'!K182</f>
        <v>0</v>
      </c>
      <c r="W182" s="11">
        <f>V182/'2022a_250601_0524'!K182</f>
        <v>0</v>
      </c>
      <c r="X182">
        <f>L182-'2022a_250601_0524'!L182</f>
        <v>-0.30887010000000004</v>
      </c>
      <c r="Y182" s="11">
        <f>X182/'2022a_250601_0524'!L182</f>
        <v>-2.4313392291053674E-2</v>
      </c>
    </row>
    <row r="183" spans="1:25" x14ac:dyDescent="0.25">
      <c r="A183">
        <v>182</v>
      </c>
      <c r="B183">
        <v>141</v>
      </c>
      <c r="C183" t="s">
        <v>45</v>
      </c>
      <c r="D183" t="s">
        <v>17</v>
      </c>
      <c r="E183" t="s">
        <v>18</v>
      </c>
      <c r="F183" t="s">
        <v>28</v>
      </c>
      <c r="G183" t="s">
        <v>26</v>
      </c>
      <c r="H183" t="s">
        <v>21</v>
      </c>
      <c r="I183" t="s">
        <v>24</v>
      </c>
      <c r="J183" t="s">
        <v>63</v>
      </c>
      <c r="K183">
        <v>3192</v>
      </c>
      <c r="L183">
        <v>11.1431755</v>
      </c>
      <c r="M183">
        <v>154.45726063782425</v>
      </c>
      <c r="N183">
        <v>-0.58045901058984573</v>
      </c>
      <c r="O183" s="1" t="str">
        <f>HYPERLINK(".\sm_car_250531_2225\sm_car_250531_2225_182_Ca141TrN_MaLSS_ode3_1.png","figure")</f>
        <v>figure</v>
      </c>
      <c r="P183" t="s">
        <v>15</v>
      </c>
      <c r="V183">
        <f>K183-'2022a_250601_0524'!K183</f>
        <v>0</v>
      </c>
      <c r="W183" s="11">
        <f>V183/'2022a_250601_0524'!K183</f>
        <v>0</v>
      </c>
      <c r="X183">
        <f>L183-'2022a_250601_0524'!L183</f>
        <v>-0.37411230000000018</v>
      </c>
      <c r="Y183" s="11">
        <f>X183/'2022a_250601_0524'!L183</f>
        <v>-3.2482673568337866E-2</v>
      </c>
    </row>
    <row r="184" spans="1:25" x14ac:dyDescent="0.25">
      <c r="A184">
        <v>183</v>
      </c>
      <c r="B184">
        <v>141</v>
      </c>
      <c r="C184" t="s">
        <v>45</v>
      </c>
      <c r="D184" t="s">
        <v>17</v>
      </c>
      <c r="E184" t="s">
        <v>18</v>
      </c>
      <c r="F184" t="s">
        <v>28</v>
      </c>
      <c r="G184" t="s">
        <v>26</v>
      </c>
      <c r="H184" t="s">
        <v>21</v>
      </c>
      <c r="I184" t="s">
        <v>64</v>
      </c>
      <c r="J184" t="s">
        <v>63</v>
      </c>
      <c r="K184">
        <v>3160</v>
      </c>
      <c r="L184">
        <v>10.3933889</v>
      </c>
      <c r="M184">
        <v>98.352619066296825</v>
      </c>
      <c r="N184">
        <v>-87.51063161317019</v>
      </c>
      <c r="O184" s="1" t="str">
        <f>HYPERLINK(".\sm_car_250531_2225\sm_car_250531_2225_183_Ca141TrN_MaTUR_ode3_1.png","figure")</f>
        <v>figure</v>
      </c>
      <c r="P184" t="s">
        <v>15</v>
      </c>
      <c r="V184">
        <f>K184-'2022a_250601_0524'!K184</f>
        <v>0</v>
      </c>
      <c r="W184" s="11">
        <f>V184/'2022a_250601_0524'!K184</f>
        <v>0</v>
      </c>
      <c r="X184">
        <f>L184-'2022a_250601_0524'!L184</f>
        <v>-6.6798099999999749E-2</v>
      </c>
      <c r="Y184" s="11">
        <f>X184/'2022a_250601_0524'!L184</f>
        <v>-6.3859374598178552E-3</v>
      </c>
    </row>
    <row r="185" spans="1:25" x14ac:dyDescent="0.25">
      <c r="A185">
        <v>184</v>
      </c>
      <c r="B185">
        <v>145</v>
      </c>
      <c r="C185" t="s">
        <v>46</v>
      </c>
      <c r="D185" t="s">
        <v>17</v>
      </c>
      <c r="E185" t="s">
        <v>50</v>
      </c>
      <c r="F185" t="s">
        <v>19</v>
      </c>
      <c r="G185" t="s">
        <v>26</v>
      </c>
      <c r="H185" t="s">
        <v>21</v>
      </c>
      <c r="I185" t="s">
        <v>22</v>
      </c>
      <c r="J185" t="s">
        <v>63</v>
      </c>
      <c r="K185">
        <v>2856</v>
      </c>
      <c r="L185">
        <v>7.7993727000000002</v>
      </c>
      <c r="M185">
        <v>96.143293584542477</v>
      </c>
      <c r="N185">
        <v>8.6318522634519414E-4</v>
      </c>
      <c r="O185" s="1" t="str">
        <f>HYPERLINK(".\sm_car_250531_2225\sm_car_250531_2225_184_Ca145TrN_MaWOT_ode3_1.png","figure")</f>
        <v>figure</v>
      </c>
      <c r="P185" t="s">
        <v>15</v>
      </c>
      <c r="V185">
        <f>K185-'2022a_250601_0524'!K185</f>
        <v>0</v>
      </c>
      <c r="W185" s="11">
        <f>V185/'2022a_250601_0524'!K185</f>
        <v>0</v>
      </c>
      <c r="X185">
        <f>L185-'2022a_250601_0524'!L185</f>
        <v>-0.90232839999999914</v>
      </c>
      <c r="Y185" s="11">
        <f>X185/'2022a_250601_0524'!L185</f>
        <v>-0.10369563257004992</v>
      </c>
    </row>
    <row r="186" spans="1:25" x14ac:dyDescent="0.25">
      <c r="A186">
        <v>185</v>
      </c>
      <c r="B186">
        <v>145</v>
      </c>
      <c r="C186" t="s">
        <v>46</v>
      </c>
      <c r="D186" t="s">
        <v>17</v>
      </c>
      <c r="E186" t="s">
        <v>50</v>
      </c>
      <c r="F186" t="s">
        <v>19</v>
      </c>
      <c r="G186" t="s">
        <v>26</v>
      </c>
      <c r="H186" t="s">
        <v>21</v>
      </c>
      <c r="I186" t="s">
        <v>24</v>
      </c>
      <c r="J186" t="s">
        <v>63</v>
      </c>
      <c r="K186">
        <v>2385</v>
      </c>
      <c r="L186">
        <v>6.4871829999999999</v>
      </c>
      <c r="M186">
        <v>25.351601817833707</v>
      </c>
      <c r="N186">
        <v>-4.1368589281911311E-2</v>
      </c>
      <c r="O186" s="1" t="str">
        <f>HYPERLINK(".\sm_car_250531_2225\sm_car_250531_2225_185_Ca145TrN_MaLSS_ode3_1.png","figure")</f>
        <v>figure</v>
      </c>
      <c r="P186" t="s">
        <v>15</v>
      </c>
      <c r="V186">
        <f>K186-'2022a_250601_0524'!K186</f>
        <v>0</v>
      </c>
      <c r="W186" s="11">
        <f>V186/'2022a_250601_0524'!K186</f>
        <v>0</v>
      </c>
      <c r="X186">
        <f>L186-'2022a_250601_0524'!L186</f>
        <v>-0.42428009999999983</v>
      </c>
      <c r="Y186" s="11">
        <f>X186/'2022a_250601_0524'!L186</f>
        <v>-6.138788471575575E-2</v>
      </c>
    </row>
    <row r="187" spans="1:25" x14ac:dyDescent="0.25">
      <c r="A187">
        <v>186</v>
      </c>
      <c r="B187">
        <v>145</v>
      </c>
      <c r="C187" t="s">
        <v>46</v>
      </c>
      <c r="D187" t="s">
        <v>17</v>
      </c>
      <c r="E187" t="s">
        <v>50</v>
      </c>
      <c r="F187" t="s">
        <v>19</v>
      </c>
      <c r="G187" t="s">
        <v>26</v>
      </c>
      <c r="H187" t="s">
        <v>21</v>
      </c>
      <c r="I187" t="s">
        <v>64</v>
      </c>
      <c r="J187" t="s">
        <v>63</v>
      </c>
      <c r="K187">
        <v>2381</v>
      </c>
      <c r="L187">
        <v>6.6095636000000004</v>
      </c>
      <c r="M187">
        <v>25.137842847097982</v>
      </c>
      <c r="N187">
        <v>-2.6089117989709583</v>
      </c>
      <c r="O187" s="1" t="str">
        <f>HYPERLINK(".\sm_car_250531_2225\sm_car_250531_2225_186_Ca145TrN_MaTUR_ode3_1.png","figure")</f>
        <v>figure</v>
      </c>
      <c r="P187" t="s">
        <v>15</v>
      </c>
      <c r="V187">
        <f>K187-'2022a_250601_0524'!K187</f>
        <v>0</v>
      </c>
      <c r="W187" s="11">
        <f>V187/'2022a_250601_0524'!K187</f>
        <v>0</v>
      </c>
      <c r="X187">
        <f>L187-'2022a_250601_0524'!L187</f>
        <v>-0.56165419999999955</v>
      </c>
      <c r="Y187" s="11">
        <f>X187/'2022a_250601_0524'!L187</f>
        <v>-7.8320616618281977E-2</v>
      </c>
    </row>
    <row r="188" spans="1:25" x14ac:dyDescent="0.25">
      <c r="A188">
        <v>187</v>
      </c>
      <c r="B188">
        <v>199</v>
      </c>
      <c r="C188" t="s">
        <v>46</v>
      </c>
      <c r="D188" t="s">
        <v>17</v>
      </c>
      <c r="E188" t="s">
        <v>109</v>
      </c>
      <c r="F188" t="s">
        <v>19</v>
      </c>
      <c r="G188" t="s">
        <v>26</v>
      </c>
      <c r="H188" t="s">
        <v>21</v>
      </c>
      <c r="I188" t="s">
        <v>22</v>
      </c>
      <c r="J188" t="s">
        <v>63</v>
      </c>
      <c r="K188">
        <v>2856</v>
      </c>
      <c r="L188">
        <v>9.0149206</v>
      </c>
      <c r="M188">
        <v>96.874498520697102</v>
      </c>
      <c r="N188">
        <v>0.14711541262466793</v>
      </c>
      <c r="O188" s="1" t="str">
        <f>HYPERLINK(".\sm_car_250531_2225\sm_car_250531_2225_187_Ca199TrN_MaWOT_ode3_1.png","figure")</f>
        <v>figure</v>
      </c>
      <c r="P188" t="s">
        <v>15</v>
      </c>
      <c r="V188">
        <f>K188-'2022a_250601_0524'!K188</f>
        <v>0</v>
      </c>
      <c r="W188" s="11">
        <f>V188/'2022a_250601_0524'!K188</f>
        <v>0</v>
      </c>
      <c r="X188">
        <f>L188-'2022a_250601_0524'!L188</f>
        <v>-0.39558889999999991</v>
      </c>
      <c r="Y188" s="11">
        <f>X188/'2022a_250601_0524'!L188</f>
        <v>-4.2036926906029892E-2</v>
      </c>
    </row>
    <row r="189" spans="1:25" x14ac:dyDescent="0.25">
      <c r="A189">
        <v>188</v>
      </c>
      <c r="B189">
        <v>199</v>
      </c>
      <c r="C189" t="s">
        <v>46</v>
      </c>
      <c r="D189" t="s">
        <v>17</v>
      </c>
      <c r="E189" t="s">
        <v>109</v>
      </c>
      <c r="F189" t="s">
        <v>19</v>
      </c>
      <c r="G189" t="s">
        <v>26</v>
      </c>
      <c r="H189" t="s">
        <v>21</v>
      </c>
      <c r="I189" t="s">
        <v>24</v>
      </c>
      <c r="J189" t="s">
        <v>63</v>
      </c>
      <c r="K189">
        <v>2387</v>
      </c>
      <c r="L189">
        <v>7.6228427999999999</v>
      </c>
      <c r="M189">
        <v>25.965300865011024</v>
      </c>
      <c r="N189">
        <v>-2.8433107238327707E-2</v>
      </c>
      <c r="O189" s="1" t="str">
        <f>HYPERLINK(".\sm_car_250531_2225\sm_car_250531_2225_188_Ca199TrN_MaLSS_ode3_1.png","figure")</f>
        <v>figure</v>
      </c>
      <c r="P189" t="s">
        <v>15</v>
      </c>
      <c r="V189">
        <f>K189-'2022a_250601_0524'!K189</f>
        <v>0</v>
      </c>
      <c r="W189" s="11">
        <f>V189/'2022a_250601_0524'!K189</f>
        <v>0</v>
      </c>
      <c r="X189">
        <f>L189-'2022a_250601_0524'!L189</f>
        <v>0.24545040000000018</v>
      </c>
      <c r="Y189" s="11">
        <f>X189/'2022a_250601_0524'!L189</f>
        <v>3.3270617406768302E-2</v>
      </c>
    </row>
    <row r="190" spans="1:25" x14ac:dyDescent="0.25">
      <c r="A190">
        <v>189</v>
      </c>
      <c r="B190">
        <v>199</v>
      </c>
      <c r="C190" t="s">
        <v>46</v>
      </c>
      <c r="D190" t="s">
        <v>17</v>
      </c>
      <c r="E190" t="s">
        <v>109</v>
      </c>
      <c r="F190" t="s">
        <v>19</v>
      </c>
      <c r="G190" t="s">
        <v>26</v>
      </c>
      <c r="H190" t="s">
        <v>21</v>
      </c>
      <c r="I190" t="s">
        <v>64</v>
      </c>
      <c r="J190" t="s">
        <v>63</v>
      </c>
      <c r="K190">
        <v>2381</v>
      </c>
      <c r="L190">
        <v>7.7997870999999996</v>
      </c>
      <c r="M190">
        <v>25.753072775503231</v>
      </c>
      <c r="N190">
        <v>-2.6780294853401752</v>
      </c>
      <c r="O190" s="1" t="str">
        <f>HYPERLINK(".\sm_car_250531_2225\sm_car_250531_2225_189_Ca199TrN_MaTUR_ode3_1.png","figure")</f>
        <v>figure</v>
      </c>
      <c r="P190" t="s">
        <v>15</v>
      </c>
      <c r="V190">
        <f>K190-'2022a_250601_0524'!K190</f>
        <v>0</v>
      </c>
      <c r="W190" s="11">
        <f>V190/'2022a_250601_0524'!K190</f>
        <v>0</v>
      </c>
      <c r="X190">
        <f>L190-'2022a_250601_0524'!L190</f>
        <v>0.51324729999999974</v>
      </c>
      <c r="Y190" s="11">
        <f>X190/'2022a_250601_0524'!L190</f>
        <v>7.043772683434732E-2</v>
      </c>
    </row>
    <row r="191" spans="1:25" x14ac:dyDescent="0.25">
      <c r="A191">
        <v>190</v>
      </c>
      <c r="B191">
        <v>139</v>
      </c>
      <c r="C191" t="s">
        <v>45</v>
      </c>
      <c r="D191" t="s">
        <v>17</v>
      </c>
      <c r="E191" t="s">
        <v>18</v>
      </c>
      <c r="F191" t="s">
        <v>19</v>
      </c>
      <c r="G191" t="s">
        <v>26</v>
      </c>
      <c r="H191" t="s">
        <v>21</v>
      </c>
      <c r="I191" t="s">
        <v>53</v>
      </c>
      <c r="J191" t="s">
        <v>23</v>
      </c>
      <c r="K191">
        <v>576</v>
      </c>
      <c r="L191">
        <v>10.6150514</v>
      </c>
      <c r="M191">
        <v>255.26961277192959</v>
      </c>
      <c r="N191">
        <v>-6.4056075942540147E-3</v>
      </c>
      <c r="O191" s="1" t="str">
        <f>HYPERLINK(".\sm_car_250531_2225\sm_car_250531_2225_190_Ca139TrN_MaDLC_ode23t_1.png","figure")</f>
        <v>figure</v>
      </c>
      <c r="P191" t="s">
        <v>15</v>
      </c>
      <c r="V191">
        <f>K191-'2022a_250601_0524'!K191</f>
        <v>6</v>
      </c>
      <c r="W191" s="11">
        <f>V191/'2022a_250601_0524'!K191</f>
        <v>1.0526315789473684E-2</v>
      </c>
      <c r="X191">
        <f>L191-'2022a_250601_0524'!L191</f>
        <v>-0.38344000000000023</v>
      </c>
      <c r="Y191" s="11">
        <f>X191/'2022a_250601_0524'!L191</f>
        <v>-3.4862963115105061E-2</v>
      </c>
    </row>
    <row r="192" spans="1:25" x14ac:dyDescent="0.25">
      <c r="A192">
        <v>191</v>
      </c>
      <c r="B192">
        <v>139</v>
      </c>
      <c r="C192" t="s">
        <v>45</v>
      </c>
      <c r="D192" t="s">
        <v>17</v>
      </c>
      <c r="E192" t="s">
        <v>18</v>
      </c>
      <c r="F192" t="s">
        <v>19</v>
      </c>
      <c r="G192" t="s">
        <v>26</v>
      </c>
      <c r="H192" t="s">
        <v>65</v>
      </c>
      <c r="I192" t="s">
        <v>53</v>
      </c>
      <c r="J192" t="s">
        <v>23</v>
      </c>
      <c r="K192">
        <v>926</v>
      </c>
      <c r="L192">
        <v>33.485577900000003</v>
      </c>
      <c r="M192">
        <v>253.1997624011737</v>
      </c>
      <c r="N192">
        <v>0.16045787002187195</v>
      </c>
      <c r="O192" s="1" t="str">
        <f>HYPERLINK(".\sm_car_250531_2225\sm_car_250531_2225_191_Ca139TrE_MaDLC_ode23t_1.png","figure")</f>
        <v>figure</v>
      </c>
      <c r="P192" t="s">
        <v>15</v>
      </c>
      <c r="V192">
        <f>K192-'2022a_250601_0524'!K192</f>
        <v>98</v>
      </c>
      <c r="W192" s="11">
        <f>V192/'2022a_250601_0524'!K192</f>
        <v>0.11835748792270531</v>
      </c>
      <c r="X192">
        <f>L192-'2022a_250601_0524'!L192</f>
        <v>0.68211360000000099</v>
      </c>
      <c r="Y192" s="11">
        <f>X192/'2022a_250601_0524'!L192</f>
        <v>2.0793950107275742E-2</v>
      </c>
    </row>
    <row r="193" spans="1:25" x14ac:dyDescent="0.25">
      <c r="A193">
        <v>192</v>
      </c>
      <c r="B193">
        <v>139</v>
      </c>
      <c r="C193" t="s">
        <v>45</v>
      </c>
      <c r="D193" t="s">
        <v>17</v>
      </c>
      <c r="E193" t="s">
        <v>18</v>
      </c>
      <c r="F193" t="s">
        <v>19</v>
      </c>
      <c r="G193" t="s">
        <v>26</v>
      </c>
      <c r="H193" t="s">
        <v>66</v>
      </c>
      <c r="I193" t="s">
        <v>53</v>
      </c>
      <c r="J193" t="s">
        <v>23</v>
      </c>
      <c r="K193">
        <v>1013</v>
      </c>
      <c r="L193">
        <v>36.170875700000003</v>
      </c>
      <c r="M193">
        <v>253.58547717990893</v>
      </c>
      <c r="N193">
        <v>-7.4456989077265057E-3</v>
      </c>
      <c r="O193" s="1" t="str">
        <f>HYPERLINK(".\sm_car_250531_2225\sm_car_250531_2225_192_Ca139TrT_MaDLC_ode23t_1.png","figure")</f>
        <v>figure</v>
      </c>
      <c r="P193" t="s">
        <v>15</v>
      </c>
      <c r="V193">
        <f>K193-'2022a_250601_0524'!K193</f>
        <v>172</v>
      </c>
      <c r="W193" s="11">
        <f>V193/'2022a_250601_0524'!K193</f>
        <v>0.20451843043995244</v>
      </c>
      <c r="X193">
        <f>L193-'2022a_250601_0524'!L193</f>
        <v>11.218411500000002</v>
      </c>
      <c r="Y193" s="11">
        <f>X193/'2022a_250601_0524'!L193</f>
        <v>0.44959132733672058</v>
      </c>
    </row>
    <row r="194" spans="1:25" x14ac:dyDescent="0.25">
      <c r="A194">
        <v>193</v>
      </c>
      <c r="B194">
        <v>139</v>
      </c>
      <c r="C194" t="s">
        <v>45</v>
      </c>
      <c r="D194" t="s">
        <v>17</v>
      </c>
      <c r="E194" t="s">
        <v>18</v>
      </c>
      <c r="F194" t="s">
        <v>19</v>
      </c>
      <c r="G194" t="s">
        <v>26</v>
      </c>
      <c r="H194" t="s">
        <v>65</v>
      </c>
      <c r="I194" t="s">
        <v>53</v>
      </c>
      <c r="J194" t="s">
        <v>23</v>
      </c>
      <c r="K194">
        <v>888</v>
      </c>
      <c r="L194">
        <v>22.845954599999999</v>
      </c>
      <c r="M194">
        <v>253.26607122440106</v>
      </c>
      <c r="N194">
        <v>0.18253641927389719</v>
      </c>
      <c r="O194" s="1" t="str">
        <f>HYPERLINK(".\sm_car_250531_2225\sm_car_250531_2225_193_Ca139TrE_MaDLC_ode23t_1.png","figure")</f>
        <v>figure</v>
      </c>
      <c r="P194" t="s">
        <v>15</v>
      </c>
      <c r="V194">
        <f>K194-'2022a_250601_0524'!K194</f>
        <v>107</v>
      </c>
      <c r="W194" s="11">
        <f>V194/'2022a_250601_0524'!K194</f>
        <v>0.13700384122919335</v>
      </c>
      <c r="X194">
        <f>L194-'2022a_250601_0524'!L194</f>
        <v>0.9976029000000004</v>
      </c>
      <c r="Y194" s="11">
        <f>X194/'2022a_250601_0524'!L194</f>
        <v>4.5660327776580072E-2</v>
      </c>
    </row>
    <row r="195" spans="1:25" x14ac:dyDescent="0.25">
      <c r="A195">
        <v>194</v>
      </c>
      <c r="B195">
        <v>2</v>
      </c>
      <c r="C195" t="s">
        <v>16</v>
      </c>
      <c r="D195" t="s">
        <v>17</v>
      </c>
      <c r="E195" t="s">
        <v>18</v>
      </c>
      <c r="F195" t="s">
        <v>19</v>
      </c>
      <c r="G195" t="s">
        <v>26</v>
      </c>
      <c r="H195" t="s">
        <v>21</v>
      </c>
      <c r="I195" t="s">
        <v>53</v>
      </c>
      <c r="J195" t="s">
        <v>23</v>
      </c>
      <c r="K195">
        <v>653</v>
      </c>
      <c r="L195">
        <v>10.0686214</v>
      </c>
      <c r="M195">
        <v>253.53602469721545</v>
      </c>
      <c r="N195">
        <v>3.1934694593802604E-3</v>
      </c>
      <c r="O195" s="1" t="str">
        <f>HYPERLINK(".\sm_car_250531_2225\sm_car_250531_2225_194_Ca002TrN_MaDLC_ode23t_1.png","figure")</f>
        <v>figure</v>
      </c>
      <c r="P195" t="s">
        <v>15</v>
      </c>
      <c r="V195">
        <f>K195-'2022a_250601_0524'!K195</f>
        <v>16</v>
      </c>
      <c r="W195" s="11">
        <f>V195/'2022a_250601_0524'!K195</f>
        <v>2.5117739403453691E-2</v>
      </c>
      <c r="X195">
        <f>L195-'2022a_250601_0524'!L195</f>
        <v>0.64944519999999883</v>
      </c>
      <c r="Y195" s="11">
        <f>X195/'2022a_250601_0524'!L195</f>
        <v>6.8949256942448828E-2</v>
      </c>
    </row>
    <row r="196" spans="1:25" x14ac:dyDescent="0.25">
      <c r="A196">
        <v>195</v>
      </c>
      <c r="B196">
        <v>2</v>
      </c>
      <c r="C196" t="s">
        <v>16</v>
      </c>
      <c r="D196" t="s">
        <v>17</v>
      </c>
      <c r="E196" t="s">
        <v>18</v>
      </c>
      <c r="F196" t="s">
        <v>19</v>
      </c>
      <c r="G196" t="s">
        <v>26</v>
      </c>
      <c r="H196" t="s">
        <v>65</v>
      </c>
      <c r="I196" t="s">
        <v>53</v>
      </c>
      <c r="J196" t="s">
        <v>23</v>
      </c>
      <c r="K196">
        <v>854</v>
      </c>
      <c r="L196">
        <v>25.048363800000001</v>
      </c>
      <c r="M196">
        <v>253.32104707477134</v>
      </c>
      <c r="N196">
        <v>3.2363488177655775E-3</v>
      </c>
      <c r="O196" s="1" t="str">
        <f>HYPERLINK(".\sm_car_250531_2225\sm_car_250531_2225_195_Ca002TrE_MaDLC_ode23t_1.png","figure")</f>
        <v>figure</v>
      </c>
      <c r="P196" t="s">
        <v>15</v>
      </c>
      <c r="V196">
        <f>K196-'2022a_250601_0524'!K196</f>
        <v>62</v>
      </c>
      <c r="W196" s="11">
        <f>V196/'2022a_250601_0524'!K196</f>
        <v>7.8282828282828287E-2</v>
      </c>
      <c r="X196">
        <f>L196-'2022a_250601_0524'!L196</f>
        <v>2.2916011000000012</v>
      </c>
      <c r="Y196" s="11">
        <f>X196/'2022a_250601_0524'!L196</f>
        <v>0.100699784508453</v>
      </c>
    </row>
    <row r="197" spans="1:25" x14ac:dyDescent="0.25">
      <c r="A197">
        <v>196</v>
      </c>
      <c r="B197">
        <v>2</v>
      </c>
      <c r="C197" t="s">
        <v>16</v>
      </c>
      <c r="D197" t="s">
        <v>17</v>
      </c>
      <c r="E197" t="s">
        <v>18</v>
      </c>
      <c r="F197" t="s">
        <v>19</v>
      </c>
      <c r="G197" t="s">
        <v>26</v>
      </c>
      <c r="H197" t="s">
        <v>66</v>
      </c>
      <c r="I197" t="s">
        <v>53</v>
      </c>
      <c r="J197" t="s">
        <v>23</v>
      </c>
      <c r="K197">
        <v>1080</v>
      </c>
      <c r="L197">
        <v>30.2212146</v>
      </c>
      <c r="M197">
        <v>253.27813510650486</v>
      </c>
      <c r="N197">
        <v>3.3269639981861054E-3</v>
      </c>
      <c r="O197" s="1" t="str">
        <f>HYPERLINK(".\sm_car_250531_2225\sm_car_250531_2225_196_Ca002TrT_MaDLC_ode23t_1.png","figure")</f>
        <v>figure</v>
      </c>
      <c r="P197" t="s">
        <v>15</v>
      </c>
      <c r="V197">
        <f>K197-'2022a_250601_0524'!K197</f>
        <v>161</v>
      </c>
      <c r="W197" s="11">
        <f>V197/'2022a_250601_0524'!K197</f>
        <v>0.17519042437431992</v>
      </c>
      <c r="X197">
        <f>L197-'2022a_250601_0524'!L197</f>
        <v>3.0782874999999983</v>
      </c>
      <c r="Y197" s="11">
        <f>X197/'2022a_250601_0524'!L197</f>
        <v>0.11341029980513775</v>
      </c>
    </row>
    <row r="198" spans="1:25" x14ac:dyDescent="0.25">
      <c r="A198">
        <v>197</v>
      </c>
      <c r="B198">
        <v>2</v>
      </c>
      <c r="C198" t="s">
        <v>16</v>
      </c>
      <c r="D198" t="s">
        <v>17</v>
      </c>
      <c r="E198" t="s">
        <v>18</v>
      </c>
      <c r="F198" t="s">
        <v>19</v>
      </c>
      <c r="G198" t="s">
        <v>26</v>
      </c>
      <c r="H198" t="s">
        <v>65</v>
      </c>
      <c r="I198" t="s">
        <v>53</v>
      </c>
      <c r="J198" t="s">
        <v>23</v>
      </c>
      <c r="K198">
        <v>863</v>
      </c>
      <c r="L198">
        <v>18.691523799999999</v>
      </c>
      <c r="M198">
        <v>253.24030907272714</v>
      </c>
      <c r="N198">
        <v>3.2708061765545082E-3</v>
      </c>
      <c r="O198" s="1" t="str">
        <f>HYPERLINK(".\sm_car_250531_2225\sm_car_250531_2225_197_Ca002TrE_MaDLC_ode23t_1.png","figure")</f>
        <v>figure</v>
      </c>
      <c r="P198" t="s">
        <v>15</v>
      </c>
      <c r="V198">
        <f>K198-'2022a_250601_0524'!K198</f>
        <v>69</v>
      </c>
      <c r="W198" s="11">
        <f>V198/'2022a_250601_0524'!K198</f>
        <v>8.6901763224181361E-2</v>
      </c>
      <c r="X198">
        <f>L198-'2022a_250601_0524'!L198</f>
        <v>2.8899533999999996</v>
      </c>
      <c r="Y198" s="11">
        <f>X198/'2022a_250601_0524'!L198</f>
        <v>0.18289026513466028</v>
      </c>
    </row>
    <row r="199" spans="1:25" x14ac:dyDescent="0.25">
      <c r="A199">
        <v>198</v>
      </c>
      <c r="B199">
        <v>145</v>
      </c>
      <c r="C199" t="s">
        <v>46</v>
      </c>
      <c r="D199" t="s">
        <v>17</v>
      </c>
      <c r="E199" t="s">
        <v>50</v>
      </c>
      <c r="F199" t="s">
        <v>19</v>
      </c>
      <c r="G199" t="s">
        <v>26</v>
      </c>
      <c r="H199" t="s">
        <v>21</v>
      </c>
      <c r="I199" t="s">
        <v>53</v>
      </c>
      <c r="J199" t="s">
        <v>23</v>
      </c>
      <c r="K199">
        <v>492</v>
      </c>
      <c r="L199">
        <v>17.663356799999999</v>
      </c>
      <c r="M199">
        <v>253.41884581687526</v>
      </c>
      <c r="N199">
        <v>4.7703349333065415E-2</v>
      </c>
      <c r="O199" s="1" t="str">
        <f>HYPERLINK(".\sm_car_250531_2225\sm_car_250531_2225_198_Ca145TrN_MaDLC_ode23t_1.png","figure")</f>
        <v>figure</v>
      </c>
      <c r="P199" t="s">
        <v>15</v>
      </c>
      <c r="V199">
        <f>K199-'2022a_250601_0524'!K199</f>
        <v>7</v>
      </c>
      <c r="W199" s="11">
        <f>V199/'2022a_250601_0524'!K199</f>
        <v>1.443298969072165E-2</v>
      </c>
      <c r="X199">
        <f>L199-'2022a_250601_0524'!L199</f>
        <v>-0.37694560000000266</v>
      </c>
      <c r="Y199" s="11">
        <f>X199/'2022a_250601_0524'!L199</f>
        <v>-2.0894638661932995E-2</v>
      </c>
    </row>
    <row r="200" spans="1:25" x14ac:dyDescent="0.25">
      <c r="A200">
        <v>199</v>
      </c>
      <c r="B200">
        <v>145</v>
      </c>
      <c r="C200" t="s">
        <v>46</v>
      </c>
      <c r="D200" t="s">
        <v>17</v>
      </c>
      <c r="E200" t="s">
        <v>50</v>
      </c>
      <c r="F200" t="s">
        <v>19</v>
      </c>
      <c r="G200" t="s">
        <v>26</v>
      </c>
      <c r="H200" t="s">
        <v>65</v>
      </c>
      <c r="I200" t="s">
        <v>53</v>
      </c>
      <c r="J200" t="s">
        <v>23</v>
      </c>
      <c r="K200">
        <v>560</v>
      </c>
      <c r="L200">
        <v>31.374745000000001</v>
      </c>
      <c r="M200">
        <v>253.70005787076309</v>
      </c>
      <c r="N200">
        <v>4.7069157978752774E-2</v>
      </c>
      <c r="O200" s="1" t="str">
        <f>HYPERLINK(".\sm_car_250531_2225\sm_car_250531_2225_199_Ca145TrE_MaDLC_ode23t_1.png","figure")</f>
        <v>figure</v>
      </c>
      <c r="P200" t="s">
        <v>15</v>
      </c>
      <c r="V200">
        <f>K200-'2022a_250601_0524'!K200</f>
        <v>-3</v>
      </c>
      <c r="W200" s="11">
        <f>V200/'2022a_250601_0524'!K200</f>
        <v>-5.3285968028419185E-3</v>
      </c>
      <c r="X200">
        <f>L200-'2022a_250601_0524'!L200</f>
        <v>-0.60116649999999794</v>
      </c>
      <c r="Y200" s="11">
        <f>X200/'2022a_250601_0524'!L200</f>
        <v>-1.8800605574605684E-2</v>
      </c>
    </row>
    <row r="201" spans="1:25" x14ac:dyDescent="0.25">
      <c r="A201">
        <v>200</v>
      </c>
      <c r="B201">
        <v>145</v>
      </c>
      <c r="C201" t="s">
        <v>46</v>
      </c>
      <c r="D201" t="s">
        <v>17</v>
      </c>
      <c r="E201" t="s">
        <v>50</v>
      </c>
      <c r="F201" t="s">
        <v>19</v>
      </c>
      <c r="G201" t="s">
        <v>26</v>
      </c>
      <c r="H201" t="s">
        <v>66</v>
      </c>
      <c r="I201" t="s">
        <v>53</v>
      </c>
      <c r="J201" t="s">
        <v>23</v>
      </c>
      <c r="K201">
        <v>745</v>
      </c>
      <c r="L201">
        <v>47.178058499999999</v>
      </c>
      <c r="M201">
        <v>253.3821166849018</v>
      </c>
      <c r="N201">
        <v>4.79738510717449E-2</v>
      </c>
      <c r="O201" s="1" t="str">
        <f>HYPERLINK(".\sm_car_250531_2225\sm_car_250531_2225_200_Ca145TrT_MaDLC_ode23t_1.png","figure")</f>
        <v>figure</v>
      </c>
      <c r="P201" t="s">
        <v>15</v>
      </c>
      <c r="V201">
        <f>K201-'2022a_250601_0524'!K201</f>
        <v>141</v>
      </c>
      <c r="W201" s="11">
        <f>V201/'2022a_250601_0524'!K201</f>
        <v>0.23344370860927152</v>
      </c>
      <c r="X201">
        <f>L201-'2022a_250601_0524'!L201</f>
        <v>11.174916099999997</v>
      </c>
      <c r="Y201" s="11">
        <f>X201/'2022a_250601_0524'!L201</f>
        <v>0.31038724275356577</v>
      </c>
    </row>
    <row r="202" spans="1:25" x14ac:dyDescent="0.25">
      <c r="A202">
        <v>201</v>
      </c>
      <c r="B202">
        <v>145</v>
      </c>
      <c r="C202" t="s">
        <v>46</v>
      </c>
      <c r="D202" t="s">
        <v>17</v>
      </c>
      <c r="E202" t="s">
        <v>50</v>
      </c>
      <c r="F202" t="s">
        <v>19</v>
      </c>
      <c r="G202" t="s">
        <v>26</v>
      </c>
      <c r="H202" t="s">
        <v>65</v>
      </c>
      <c r="I202" t="s">
        <v>53</v>
      </c>
      <c r="J202" t="s">
        <v>23</v>
      </c>
      <c r="K202">
        <v>574</v>
      </c>
      <c r="L202">
        <v>27.824888999999999</v>
      </c>
      <c r="M202">
        <v>254.11161223394737</v>
      </c>
      <c r="N202">
        <v>4.5565300629187178E-2</v>
      </c>
      <c r="O202" s="1" t="str">
        <f>HYPERLINK(".\sm_car_250531_2225\sm_car_250531_2225_201_Ca145TrE_MaDLC_ode23t_1.png","figure")</f>
        <v>figure</v>
      </c>
      <c r="P202" t="s">
        <v>15</v>
      </c>
      <c r="V202">
        <f>K202-'2022a_250601_0524'!K202</f>
        <v>12</v>
      </c>
      <c r="W202" s="11">
        <f>V202/'2022a_250601_0524'!K202</f>
        <v>2.1352313167259787E-2</v>
      </c>
      <c r="X202">
        <f>L202-'2022a_250601_0524'!L202</f>
        <v>-1.1207932000000014</v>
      </c>
      <c r="Y202" s="11">
        <f>X202/'2022a_250601_0524'!L202</f>
        <v>-3.872056606770876E-2</v>
      </c>
    </row>
    <row r="203" spans="1:25" x14ac:dyDescent="0.25">
      <c r="A203">
        <v>202</v>
      </c>
      <c r="B203">
        <v>199</v>
      </c>
      <c r="C203" t="s">
        <v>46</v>
      </c>
      <c r="D203" t="s">
        <v>17</v>
      </c>
      <c r="E203" t="s">
        <v>109</v>
      </c>
      <c r="F203" t="s">
        <v>19</v>
      </c>
      <c r="G203" t="s">
        <v>26</v>
      </c>
      <c r="H203" t="s">
        <v>21</v>
      </c>
      <c r="I203" t="s">
        <v>53</v>
      </c>
      <c r="J203" t="s">
        <v>23</v>
      </c>
      <c r="K203">
        <v>494</v>
      </c>
      <c r="L203">
        <v>7.3311590999999998</v>
      </c>
      <c r="M203">
        <v>255.3376632522386</v>
      </c>
      <c r="N203">
        <v>4.0784035044860278E-2</v>
      </c>
      <c r="O203" s="1" t="str">
        <f>HYPERLINK(".\sm_car_250531_2225\sm_car_250531_2225_202_Ca199TrN_MaDLC_ode23t_1.png","figure")</f>
        <v>figure</v>
      </c>
      <c r="P203" t="s">
        <v>15</v>
      </c>
      <c r="V203">
        <f>K203-'2022a_250601_0524'!K203</f>
        <v>8</v>
      </c>
      <c r="W203" s="11">
        <f>V203/'2022a_250601_0524'!K203</f>
        <v>1.646090534979424E-2</v>
      </c>
      <c r="X203">
        <f>L203-'2022a_250601_0524'!L203</f>
        <v>-0.11182370000000041</v>
      </c>
      <c r="Y203" s="11">
        <f>X203/'2022a_250601_0524'!L203</f>
        <v>-1.5024043855106103E-2</v>
      </c>
    </row>
    <row r="204" spans="1:25" x14ac:dyDescent="0.25">
      <c r="A204">
        <v>203</v>
      </c>
      <c r="B204">
        <v>199</v>
      </c>
      <c r="C204" t="s">
        <v>46</v>
      </c>
      <c r="D204" t="s">
        <v>17</v>
      </c>
      <c r="E204" t="s">
        <v>109</v>
      </c>
      <c r="F204" t="s">
        <v>19</v>
      </c>
      <c r="G204" t="s">
        <v>26</v>
      </c>
      <c r="H204" t="s">
        <v>65</v>
      </c>
      <c r="I204" t="s">
        <v>53</v>
      </c>
      <c r="J204" t="s">
        <v>23</v>
      </c>
      <c r="K204">
        <v>571</v>
      </c>
      <c r="L204">
        <v>17.4131292</v>
      </c>
      <c r="M204">
        <v>254.11310273138861</v>
      </c>
      <c r="N204">
        <v>4.5544659863406167E-2</v>
      </c>
      <c r="O204" s="1" t="str">
        <f>HYPERLINK(".\sm_car_250531_2225\sm_car_250531_2225_203_Ca199TrE_MaDLC_ode23t_1.png","figure")</f>
        <v>figure</v>
      </c>
      <c r="P204" t="s">
        <v>15</v>
      </c>
      <c r="V204">
        <f>K204-'2022a_250601_0524'!K204</f>
        <v>17</v>
      </c>
      <c r="W204" s="11">
        <f>V204/'2022a_250601_0524'!K204</f>
        <v>3.0685920577617327E-2</v>
      </c>
      <c r="X204">
        <f>L204-'2022a_250601_0524'!L204</f>
        <v>-0.42589669999999913</v>
      </c>
      <c r="Y204" s="11">
        <f>X204/'2022a_250601_0524'!L204</f>
        <v>-2.3874437000509043E-2</v>
      </c>
    </row>
    <row r="205" spans="1:25" x14ac:dyDescent="0.25">
      <c r="A205">
        <v>204</v>
      </c>
      <c r="B205">
        <v>199</v>
      </c>
      <c r="C205" t="s">
        <v>46</v>
      </c>
      <c r="D205" t="s">
        <v>17</v>
      </c>
      <c r="E205" t="s">
        <v>109</v>
      </c>
      <c r="F205" t="s">
        <v>19</v>
      </c>
      <c r="G205" t="s">
        <v>26</v>
      </c>
      <c r="H205" t="s">
        <v>66</v>
      </c>
      <c r="I205" t="s">
        <v>53</v>
      </c>
      <c r="J205" t="s">
        <v>23</v>
      </c>
      <c r="K205">
        <v>682</v>
      </c>
      <c r="L205">
        <v>18.818176399999999</v>
      </c>
      <c r="M205">
        <v>253.62651778062661</v>
      </c>
      <c r="N205">
        <v>4.7079052759332551E-2</v>
      </c>
      <c r="O205" s="1" t="str">
        <f>HYPERLINK(".\sm_car_250531_2225\sm_car_250531_2225_204_Ca199TrT_MaDLC_ode23t_1.png","figure")</f>
        <v>figure</v>
      </c>
      <c r="P205" t="s">
        <v>15</v>
      </c>
      <c r="V205">
        <f>K205-'2022a_250601_0524'!K205</f>
        <v>24</v>
      </c>
      <c r="W205" s="11">
        <f>V205/'2022a_250601_0524'!K205</f>
        <v>3.64741641337386E-2</v>
      </c>
      <c r="X205">
        <f>L205-'2022a_250601_0524'!L205</f>
        <v>-0.38396270000000143</v>
      </c>
      <c r="Y205" s="11">
        <f>X205/'2022a_250601_0524'!L205</f>
        <v>-1.9995829527138537E-2</v>
      </c>
    </row>
    <row r="206" spans="1:25" x14ac:dyDescent="0.25">
      <c r="A206">
        <v>205</v>
      </c>
      <c r="B206">
        <v>199</v>
      </c>
      <c r="C206" t="s">
        <v>46</v>
      </c>
      <c r="D206" t="s">
        <v>17</v>
      </c>
      <c r="E206" t="s">
        <v>109</v>
      </c>
      <c r="F206" t="s">
        <v>19</v>
      </c>
      <c r="G206" t="s">
        <v>26</v>
      </c>
      <c r="H206" t="s">
        <v>65</v>
      </c>
      <c r="I206" t="s">
        <v>53</v>
      </c>
      <c r="J206" t="s">
        <v>23</v>
      </c>
      <c r="K206">
        <v>567</v>
      </c>
      <c r="L206">
        <v>12.3274639</v>
      </c>
      <c r="M206">
        <v>253.4204458194796</v>
      </c>
      <c r="N206">
        <v>4.8164554260762937E-2</v>
      </c>
      <c r="O206" s="1" t="str">
        <f>HYPERLINK(".\sm_car_250531_2225\sm_car_250531_2225_205_Ca199TrE_MaDLC_ode23t_1.png","figure")</f>
        <v>figure</v>
      </c>
      <c r="P206" t="s">
        <v>15</v>
      </c>
      <c r="V206">
        <f>K206-'2022a_250601_0524'!K206</f>
        <v>7</v>
      </c>
      <c r="W206" s="11">
        <f>V206/'2022a_250601_0524'!K206</f>
        <v>1.2500000000000001E-2</v>
      </c>
      <c r="X206">
        <f>L206-'2022a_250601_0524'!L206</f>
        <v>-0.48197500000000026</v>
      </c>
      <c r="Y206" s="11">
        <f>X206/'2022a_250601_0524'!L206</f>
        <v>-3.7626550527517663E-2</v>
      </c>
    </row>
    <row r="207" spans="1:25" x14ac:dyDescent="0.25">
      <c r="A207">
        <v>206</v>
      </c>
      <c r="B207">
        <v>189</v>
      </c>
      <c r="C207" t="s">
        <v>45</v>
      </c>
      <c r="D207" t="s">
        <v>17</v>
      </c>
      <c r="E207" t="s">
        <v>107</v>
      </c>
      <c r="F207" t="s">
        <v>19</v>
      </c>
      <c r="G207" t="s">
        <v>26</v>
      </c>
      <c r="H207" t="s">
        <v>65</v>
      </c>
      <c r="I207" t="s">
        <v>67</v>
      </c>
      <c r="J207" t="s">
        <v>23</v>
      </c>
      <c r="K207">
        <v>438</v>
      </c>
      <c r="L207">
        <v>8.7218382999999999</v>
      </c>
      <c r="M207">
        <v>261.53468597499028</v>
      </c>
      <c r="N207">
        <v>1.3939398195055297E-3</v>
      </c>
      <c r="O207" s="1" t="str">
        <f>HYPERLINK(".\sm_car_250531_2225\sm_car_250531_2225_206_Ca189TrE_MaTRD_ode23t_1.png","figure")</f>
        <v>figure</v>
      </c>
      <c r="P207" t="s">
        <v>15</v>
      </c>
      <c r="V207">
        <f>K207-'2022a_250601_0524'!K207</f>
        <v>-28</v>
      </c>
      <c r="W207" s="11">
        <f>V207/'2022a_250601_0524'!K207</f>
        <v>-6.0085836909871244E-2</v>
      </c>
      <c r="X207">
        <f>L207-'2022a_250601_0524'!L207</f>
        <v>-2.3551307999999995</v>
      </c>
      <c r="Y207" s="11">
        <f>X207/'2022a_250601_0524'!L207</f>
        <v>-0.21261509161382419</v>
      </c>
    </row>
    <row r="208" spans="1:25" x14ac:dyDescent="0.25">
      <c r="A208">
        <v>207</v>
      </c>
      <c r="B208">
        <v>189</v>
      </c>
      <c r="C208" t="s">
        <v>45</v>
      </c>
      <c r="D208" t="s">
        <v>17</v>
      </c>
      <c r="E208" t="s">
        <v>107</v>
      </c>
      <c r="F208" t="s">
        <v>19</v>
      </c>
      <c r="G208" t="s">
        <v>26</v>
      </c>
      <c r="H208" t="s">
        <v>65</v>
      </c>
      <c r="I208" t="s">
        <v>67</v>
      </c>
      <c r="J208" t="s">
        <v>23</v>
      </c>
      <c r="K208">
        <v>633</v>
      </c>
      <c r="L208">
        <v>11.6422887</v>
      </c>
      <c r="M208">
        <v>261.4243799971789</v>
      </c>
      <c r="N208">
        <v>-0.11047771234280379</v>
      </c>
      <c r="O208" s="1" t="str">
        <f>HYPERLINK(".\sm_car_250531_2225\sm_car_250531_2225_207_Ca189TrU_MaTRD_ode23t_1.png","figure")</f>
        <v>figure</v>
      </c>
      <c r="P208" t="s">
        <v>15</v>
      </c>
      <c r="V208">
        <f>K208-'2022a_250601_0524'!K208</f>
        <v>-4</v>
      </c>
      <c r="W208" s="11">
        <f>V208/'2022a_250601_0524'!K208</f>
        <v>-6.2794348508634227E-3</v>
      </c>
      <c r="X208">
        <f>L208-'2022a_250601_0524'!L208</f>
        <v>-3.2291364999999992</v>
      </c>
      <c r="Y208" s="11">
        <f>X208/'2022a_250601_0524'!L208</f>
        <v>-0.21713698966794381</v>
      </c>
    </row>
    <row r="209" spans="1:25" x14ac:dyDescent="0.25">
      <c r="A209">
        <v>208</v>
      </c>
      <c r="B209">
        <v>149</v>
      </c>
      <c r="C209" t="s">
        <v>46</v>
      </c>
      <c r="D209" t="s">
        <v>17</v>
      </c>
      <c r="E209" t="s">
        <v>68</v>
      </c>
      <c r="F209" t="s">
        <v>19</v>
      </c>
      <c r="G209" t="s">
        <v>26</v>
      </c>
      <c r="H209" t="s">
        <v>21</v>
      </c>
      <c r="I209" t="s">
        <v>69</v>
      </c>
      <c r="J209" t="s">
        <v>23</v>
      </c>
      <c r="K209">
        <v>669</v>
      </c>
      <c r="L209">
        <v>9.6978846000000001</v>
      </c>
      <c r="M209">
        <v>-5.8747693058971429E-3</v>
      </c>
      <c r="N209">
        <v>-3.5942483481082865E-4</v>
      </c>
      <c r="O209" s="1" t="str">
        <f>HYPERLINK(".\sm_car_250531_2225\sm_car_250531_2225_208_Ca149TrN_MaPST_ode23t_1.png","figure")</f>
        <v>figure</v>
      </c>
      <c r="P209" t="s">
        <v>15</v>
      </c>
      <c r="V209">
        <f>K209-'2022a_250601_0524'!K209</f>
        <v>0</v>
      </c>
      <c r="W209" s="11">
        <f>V209/'2022a_250601_0524'!K209</f>
        <v>0</v>
      </c>
      <c r="X209">
        <f>L209-'2022a_250601_0524'!L209</f>
        <v>7.5897400000000559E-2</v>
      </c>
      <c r="Y209" s="11">
        <f>X209/'2022a_250601_0524'!L209</f>
        <v>7.8879132160974575E-3</v>
      </c>
    </row>
    <row r="210" spans="1:25" x14ac:dyDescent="0.25">
      <c r="A210">
        <v>209</v>
      </c>
      <c r="B210">
        <v>139</v>
      </c>
      <c r="C210" t="s">
        <v>45</v>
      </c>
      <c r="D210" t="s">
        <v>17</v>
      </c>
      <c r="E210" t="s">
        <v>18</v>
      </c>
      <c r="F210" t="s">
        <v>19</v>
      </c>
      <c r="G210" t="s">
        <v>26</v>
      </c>
      <c r="H210" t="s">
        <v>21</v>
      </c>
      <c r="I210" t="s">
        <v>70</v>
      </c>
      <c r="J210" t="s">
        <v>23</v>
      </c>
      <c r="K210">
        <v>1615</v>
      </c>
      <c r="L210">
        <v>38.326883700000003</v>
      </c>
      <c r="M210">
        <v>36.35655555653473</v>
      </c>
      <c r="N210">
        <v>0.24203928327806248</v>
      </c>
      <c r="O210" s="1" t="str">
        <f>HYPERLINK(".\sm_car_250531_2225\sm_car_250531_2225_209_Ca139TrN_MaSKD_ode23t_1.png","figure")</f>
        <v>figure</v>
      </c>
      <c r="P210" t="s">
        <v>15</v>
      </c>
      <c r="V210">
        <f>K210-'2022a_250601_0524'!K210</f>
        <v>42</v>
      </c>
      <c r="W210" s="11">
        <f>V210/'2022a_250601_0524'!K210</f>
        <v>2.6700572155117609E-2</v>
      </c>
      <c r="X210">
        <f>L210-'2022a_250601_0524'!L210</f>
        <v>-0.3909455999999949</v>
      </c>
      <c r="Y210" s="11">
        <f>X210/'2022a_250601_0524'!L210</f>
        <v>-1.0097301606730181E-2</v>
      </c>
    </row>
    <row r="211" spans="1:25" x14ac:dyDescent="0.25">
      <c r="A211">
        <v>210</v>
      </c>
      <c r="B211">
        <v>139</v>
      </c>
      <c r="C211" t="s">
        <v>45</v>
      </c>
      <c r="D211" t="s">
        <v>17</v>
      </c>
      <c r="E211" t="s">
        <v>18</v>
      </c>
      <c r="F211" t="s">
        <v>19</v>
      </c>
      <c r="G211" t="s">
        <v>26</v>
      </c>
      <c r="H211" t="s">
        <v>21</v>
      </c>
      <c r="I211" t="s">
        <v>71</v>
      </c>
      <c r="J211" t="s">
        <v>23</v>
      </c>
      <c r="K211">
        <v>1052</v>
      </c>
      <c r="L211">
        <v>32.022698699999999</v>
      </c>
      <c r="M211">
        <v>3.4689294801802433</v>
      </c>
      <c r="N211">
        <v>27.224111719432983</v>
      </c>
      <c r="O211" s="1" t="str">
        <f>HYPERLINK(".\sm_car_250531_2225\sm_car_250531_2225_210_Ca139TrN_MaRAD_ode23t_1.png","figure")</f>
        <v>figure</v>
      </c>
      <c r="P211" t="s">
        <v>15</v>
      </c>
      <c r="V211">
        <f>K211-'2022a_250601_0524'!K211</f>
        <v>-15</v>
      </c>
      <c r="W211" s="11">
        <f>V211/'2022a_250601_0524'!K211</f>
        <v>-1.4058106841611996E-2</v>
      </c>
      <c r="X211">
        <f>L211-'2022a_250601_0524'!L211</f>
        <v>-1.4221470000000025</v>
      </c>
      <c r="Y211" s="11">
        <f>X211/'2022a_250601_0524'!L211</f>
        <v>-4.2522157607083902E-2</v>
      </c>
    </row>
    <row r="212" spans="1:25" x14ac:dyDescent="0.25">
      <c r="A212">
        <v>211</v>
      </c>
      <c r="B212">
        <v>184</v>
      </c>
      <c r="C212" t="s">
        <v>105</v>
      </c>
      <c r="D212" t="s">
        <v>120</v>
      </c>
      <c r="E212" t="s">
        <v>49</v>
      </c>
      <c r="F212" t="s">
        <v>19</v>
      </c>
      <c r="G212" t="s">
        <v>20</v>
      </c>
      <c r="H212" t="s">
        <v>21</v>
      </c>
      <c r="I212" t="s">
        <v>70</v>
      </c>
      <c r="J212" t="s">
        <v>23</v>
      </c>
      <c r="K212">
        <v>1368</v>
      </c>
      <c r="L212">
        <v>50.226801999999999</v>
      </c>
      <c r="M212">
        <v>36.421672056134021</v>
      </c>
      <c r="N212">
        <v>0.17307553849885904</v>
      </c>
      <c r="O212" s="1" t="str">
        <f>HYPERLINK(".\sm_car_250531_2225\sm_car_250531_2225_211_Ca184TrN_MaSKD_ode23t_1.png","figure")</f>
        <v>figure</v>
      </c>
      <c r="P212" t="s">
        <v>15</v>
      </c>
      <c r="V212">
        <f>K212-'2022a_250601_0524'!K212</f>
        <v>36</v>
      </c>
      <c r="W212" s="11">
        <f>V212/'2022a_250601_0524'!K212</f>
        <v>2.7027027027027029E-2</v>
      </c>
      <c r="X212">
        <f>L212-'2022a_250601_0524'!L212</f>
        <v>-1.506679400000003</v>
      </c>
      <c r="Y212" s="11">
        <f>X212/'2022a_250601_0524'!L212</f>
        <v>-2.9123874118396426E-2</v>
      </c>
    </row>
    <row r="213" spans="1:25" x14ac:dyDescent="0.25">
      <c r="A213">
        <v>212</v>
      </c>
      <c r="B213">
        <v>184</v>
      </c>
      <c r="C213" t="s">
        <v>105</v>
      </c>
      <c r="D213" t="s">
        <v>120</v>
      </c>
      <c r="E213" t="s">
        <v>49</v>
      </c>
      <c r="F213" t="s">
        <v>19</v>
      </c>
      <c r="G213" t="s">
        <v>20</v>
      </c>
      <c r="H213" t="s">
        <v>21</v>
      </c>
      <c r="I213" t="s">
        <v>71</v>
      </c>
      <c r="J213" t="s">
        <v>23</v>
      </c>
      <c r="K213">
        <v>632</v>
      </c>
      <c r="L213">
        <v>22.327620599999999</v>
      </c>
      <c r="M213">
        <v>13.806265898223858</v>
      </c>
      <c r="N213">
        <v>23.738598138819427</v>
      </c>
      <c r="O213" s="1" t="str">
        <f>HYPERLINK(".\sm_car_250531_2225\sm_car_250531_2225_212_Ca184TrN_MaRAD_ode23t_1.png","figure")</f>
        <v>figure</v>
      </c>
      <c r="P213" t="s">
        <v>15</v>
      </c>
      <c r="V213">
        <f>K213-'2022a_250601_0524'!K213</f>
        <v>4</v>
      </c>
      <c r="W213" s="11">
        <f>V213/'2022a_250601_0524'!K213</f>
        <v>6.369426751592357E-3</v>
      </c>
      <c r="X213">
        <f>L213-'2022a_250601_0524'!L213</f>
        <v>-2.0249613000000011</v>
      </c>
      <c r="Y213" s="11">
        <f>X213/'2022a_250601_0524'!L213</f>
        <v>-8.3151811512848298E-2</v>
      </c>
    </row>
    <row r="214" spans="1:25" x14ac:dyDescent="0.25">
      <c r="A214">
        <v>213</v>
      </c>
      <c r="B214">
        <v>198</v>
      </c>
      <c r="C214" t="s">
        <v>105</v>
      </c>
      <c r="D214" t="s">
        <v>120</v>
      </c>
      <c r="E214" t="s">
        <v>107</v>
      </c>
      <c r="F214" t="s">
        <v>19</v>
      </c>
      <c r="G214" t="s">
        <v>20</v>
      </c>
      <c r="H214" t="s">
        <v>21</v>
      </c>
      <c r="I214" t="s">
        <v>70</v>
      </c>
      <c r="J214" t="s">
        <v>23</v>
      </c>
      <c r="K214">
        <v>1420</v>
      </c>
      <c r="L214">
        <v>30.6310535</v>
      </c>
      <c r="M214">
        <v>36.72787342644569</v>
      </c>
      <c r="N214">
        <v>0.16334277692630675</v>
      </c>
      <c r="O214" s="1" t="str">
        <f>HYPERLINK(".\sm_car_250531_2225\sm_car_250531_2225_213_Ca198TrN_MaSKD_ode23t_1.png","figure")</f>
        <v>figure</v>
      </c>
      <c r="P214" t="s">
        <v>15</v>
      </c>
      <c r="V214">
        <f>K214-'2022a_250601_0524'!K214</f>
        <v>17</v>
      </c>
      <c r="W214" s="11">
        <f>V214/'2022a_250601_0524'!K214</f>
        <v>1.2116892373485389E-2</v>
      </c>
      <c r="X214">
        <f>L214-'2022a_250601_0524'!L214</f>
        <v>-2.0884921999999975</v>
      </c>
      <c r="Y214" s="11">
        <f>X214/'2022a_250601_0524'!L214</f>
        <v>-6.3830109963904466E-2</v>
      </c>
    </row>
    <row r="215" spans="1:25" x14ac:dyDescent="0.25">
      <c r="A215">
        <v>214</v>
      </c>
      <c r="B215">
        <v>198</v>
      </c>
      <c r="C215" t="s">
        <v>105</v>
      </c>
      <c r="D215" t="s">
        <v>120</v>
      </c>
      <c r="E215" t="s">
        <v>107</v>
      </c>
      <c r="F215" t="s">
        <v>19</v>
      </c>
      <c r="G215" t="s">
        <v>20</v>
      </c>
      <c r="H215" t="s">
        <v>21</v>
      </c>
      <c r="I215" t="s">
        <v>71</v>
      </c>
      <c r="J215" t="s">
        <v>23</v>
      </c>
      <c r="K215">
        <v>668</v>
      </c>
      <c r="L215">
        <v>13.774976799999999</v>
      </c>
      <c r="M215">
        <v>13.781245446614966</v>
      </c>
      <c r="N215">
        <v>23.689679235266993</v>
      </c>
      <c r="O215" s="1" t="str">
        <f>HYPERLINK(".\sm_car_250531_2225\sm_car_250531_2225_214_Ca198TrN_MaRAD_ode23t_1.png","figure")</f>
        <v>figure</v>
      </c>
      <c r="P215" t="s">
        <v>15</v>
      </c>
      <c r="V215">
        <f>K215-'2022a_250601_0524'!K215</f>
        <v>-1</v>
      </c>
      <c r="W215" s="11">
        <f>V215/'2022a_250601_0524'!K215</f>
        <v>-1.4947683109118087E-3</v>
      </c>
      <c r="X215">
        <f>L215-'2022a_250601_0524'!L215</f>
        <v>-1.9718137000000002</v>
      </c>
      <c r="Y215" s="11">
        <f>X215/'2022a_250601_0524'!L215</f>
        <v>-0.12522003769593559</v>
      </c>
    </row>
    <row r="216" spans="1:25" x14ac:dyDescent="0.25">
      <c r="A216">
        <v>215</v>
      </c>
      <c r="B216">
        <v>189</v>
      </c>
      <c r="C216" t="s">
        <v>45</v>
      </c>
      <c r="D216" t="s">
        <v>17</v>
      </c>
      <c r="E216" t="s">
        <v>107</v>
      </c>
      <c r="F216" t="s">
        <v>19</v>
      </c>
      <c r="G216" t="s">
        <v>26</v>
      </c>
      <c r="H216" t="s">
        <v>21</v>
      </c>
      <c r="I216" t="s">
        <v>132</v>
      </c>
      <c r="J216" t="s">
        <v>23</v>
      </c>
      <c r="K216">
        <v>744</v>
      </c>
      <c r="L216">
        <v>10.6188012</v>
      </c>
      <c r="M216">
        <v>120.08592692541156</v>
      </c>
      <c r="N216">
        <v>-15.851669097129486</v>
      </c>
      <c r="O216" s="1" t="str">
        <f>HYPERLINK(".\sm_car_250531_2225\sm_car_250531_2225_215_Ca189TrN_MaFSH_ode23t_1.png","figure")</f>
        <v>figure</v>
      </c>
      <c r="P216" t="s">
        <v>15</v>
      </c>
      <c r="V216">
        <f>K216-'2022a_250601_0524'!K216</f>
        <v>-16</v>
      </c>
      <c r="W216" s="11">
        <f>V216/'2022a_250601_0524'!K216</f>
        <v>-2.1052631578947368E-2</v>
      </c>
      <c r="X216">
        <f>L216-'2022a_250601_0524'!L216</f>
        <v>-1.9299897000000001</v>
      </c>
      <c r="Y216" s="11">
        <f>X216/'2022a_250601_0524'!L216</f>
        <v>-0.15379885722695405</v>
      </c>
    </row>
    <row r="217" spans="1:25" x14ac:dyDescent="0.25">
      <c r="A217">
        <v>216</v>
      </c>
      <c r="B217">
        <v>189</v>
      </c>
      <c r="C217" t="s">
        <v>45</v>
      </c>
      <c r="D217" t="s">
        <v>17</v>
      </c>
      <c r="E217" t="s">
        <v>107</v>
      </c>
      <c r="F217" t="s">
        <v>19</v>
      </c>
      <c r="G217" t="s">
        <v>26</v>
      </c>
      <c r="H217" t="s">
        <v>21</v>
      </c>
      <c r="I217" t="s">
        <v>133</v>
      </c>
      <c r="J217" t="s">
        <v>23</v>
      </c>
      <c r="K217">
        <v>530</v>
      </c>
      <c r="L217">
        <v>7.5295966999999999</v>
      </c>
      <c r="M217">
        <v>117.00444143124412</v>
      </c>
      <c r="N217">
        <v>-9.4497006291017112</v>
      </c>
      <c r="O217" s="1" t="str">
        <f>HYPERLINK(".\sm_car_250531_2225\sm_car_250531_2225_216_Ca189TrN_MaSWD_ode23t_1.png","figure")</f>
        <v>figure</v>
      </c>
      <c r="P217" t="s">
        <v>15</v>
      </c>
      <c r="V217">
        <f>K217-'2022a_250601_0524'!K217</f>
        <v>0</v>
      </c>
      <c r="W217" s="11">
        <f>V217/'2022a_250601_0524'!K217</f>
        <v>0</v>
      </c>
      <c r="X217">
        <f>L217-'2022a_250601_0524'!L217</f>
        <v>0.5034856999999997</v>
      </c>
      <c r="Y217" s="11">
        <f>X217/'2022a_250601_0524'!L217</f>
        <v>7.16592294087013E-2</v>
      </c>
    </row>
    <row r="218" spans="1:25" x14ac:dyDescent="0.25">
      <c r="A218">
        <v>217</v>
      </c>
      <c r="B218">
        <v>189</v>
      </c>
      <c r="C218" t="s">
        <v>45</v>
      </c>
      <c r="D218" t="s">
        <v>17</v>
      </c>
      <c r="E218" t="s">
        <v>107</v>
      </c>
      <c r="F218" t="s">
        <v>19</v>
      </c>
      <c r="G218" t="s">
        <v>26</v>
      </c>
      <c r="H218" t="s">
        <v>21</v>
      </c>
      <c r="I218" t="s">
        <v>134</v>
      </c>
      <c r="J218" t="s">
        <v>23</v>
      </c>
      <c r="K218">
        <v>533</v>
      </c>
      <c r="L218">
        <v>8.3510959000000007</v>
      </c>
      <c r="M218">
        <v>100.62747031246747</v>
      </c>
      <c r="N218">
        <v>18.072902903376072</v>
      </c>
      <c r="O218" s="1" t="str">
        <f>HYPERLINK(".\sm_car_250531_2225\sm_car_250531_2225_217_Ca189TrN_MaRST_ode23t_1.png","figure")</f>
        <v>figure</v>
      </c>
      <c r="P218" t="s">
        <v>15</v>
      </c>
      <c r="V218">
        <f>K218-'2022a_250601_0524'!K218</f>
        <v>8</v>
      </c>
      <c r="W218" s="11">
        <f>V218/'2022a_250601_0524'!K218</f>
        <v>1.5238095238095238E-2</v>
      </c>
      <c r="X218">
        <f>L218-'2022a_250601_0524'!L218</f>
        <v>-0.1547035999999995</v>
      </c>
      <c r="Y218" s="11">
        <f>X218/'2022a_250601_0524'!L218</f>
        <v>-1.8188013954478881E-2</v>
      </c>
    </row>
    <row r="219" spans="1:25" x14ac:dyDescent="0.25">
      <c r="A219">
        <v>218</v>
      </c>
      <c r="B219">
        <v>189</v>
      </c>
      <c r="C219" t="s">
        <v>45</v>
      </c>
      <c r="D219" t="s">
        <v>17</v>
      </c>
      <c r="E219" t="s">
        <v>107</v>
      </c>
      <c r="F219" t="s">
        <v>19</v>
      </c>
      <c r="G219" t="s">
        <v>26</v>
      </c>
      <c r="H219" t="s">
        <v>21</v>
      </c>
      <c r="I219" t="s">
        <v>135</v>
      </c>
      <c r="J219" t="s">
        <v>23</v>
      </c>
      <c r="K219">
        <v>613</v>
      </c>
      <c r="L219">
        <v>17.565304699999999</v>
      </c>
      <c r="M219">
        <v>230.79141329319017</v>
      </c>
      <c r="N219">
        <v>5.0950728717268488E-2</v>
      </c>
      <c r="O219" s="1" t="str">
        <f>HYPERLINK(".\sm_car_250531_2225\sm_car_250531_2225_218_Ca189TrN_MaSLA_ode23t_1.png","figure")</f>
        <v>figure</v>
      </c>
      <c r="P219" t="s">
        <v>15</v>
      </c>
      <c r="V219">
        <f>K219-'2022a_250601_0524'!K219</f>
        <v>9</v>
      </c>
      <c r="W219" s="11">
        <f>V219/'2022a_250601_0524'!K219</f>
        <v>1.4900662251655629E-2</v>
      </c>
      <c r="X219">
        <f>L219-'2022a_250601_0524'!L219</f>
        <v>1.0930749999999989</v>
      </c>
      <c r="Y219" s="11">
        <f>X219/'2022a_250601_0524'!L219</f>
        <v>6.6358654529932823E-2</v>
      </c>
    </row>
    <row r="220" spans="1:25" x14ac:dyDescent="0.25">
      <c r="A220">
        <v>219</v>
      </c>
      <c r="B220">
        <v>218</v>
      </c>
      <c r="C220" t="s">
        <v>16</v>
      </c>
      <c r="D220" t="s">
        <v>128</v>
      </c>
      <c r="E220" t="s">
        <v>107</v>
      </c>
      <c r="F220" t="s">
        <v>19</v>
      </c>
      <c r="G220" t="s">
        <v>26</v>
      </c>
      <c r="H220" t="s">
        <v>21</v>
      </c>
      <c r="I220" t="s">
        <v>132</v>
      </c>
      <c r="J220" t="s">
        <v>23</v>
      </c>
      <c r="K220">
        <v>728</v>
      </c>
      <c r="L220">
        <v>8.6815117999999991</v>
      </c>
      <c r="M220">
        <v>90.714083467838265</v>
      </c>
      <c r="N220">
        <v>-22.068294670538673</v>
      </c>
      <c r="O220" s="1" t="str">
        <f>HYPERLINK(".\sm_car_250531_2225\sm_car_250531_2225_219_Ca218TrN_MaFSH_ode23t_1.png","figure")</f>
        <v>figure</v>
      </c>
      <c r="P220" t="s">
        <v>15</v>
      </c>
      <c r="V220">
        <f>K220-'2022a_250601_0524'!K220</f>
        <v>-11</v>
      </c>
      <c r="W220" s="11">
        <f>V220/'2022a_250601_0524'!K220</f>
        <v>-1.4884979702300407E-2</v>
      </c>
      <c r="X220">
        <f>L220-'2022a_250601_0524'!L220</f>
        <v>-0.22636160000000061</v>
      </c>
      <c r="Y220" s="11">
        <f>X220/'2022a_250601_0524'!L220</f>
        <v>-2.5411407396068359E-2</v>
      </c>
    </row>
    <row r="221" spans="1:25" x14ac:dyDescent="0.25">
      <c r="A221">
        <v>220</v>
      </c>
      <c r="B221">
        <v>218</v>
      </c>
      <c r="C221" t="s">
        <v>16</v>
      </c>
      <c r="D221" t="s">
        <v>128</v>
      </c>
      <c r="E221" t="s">
        <v>107</v>
      </c>
      <c r="F221" t="s">
        <v>19</v>
      </c>
      <c r="G221" t="s">
        <v>26</v>
      </c>
      <c r="H221" t="s">
        <v>21</v>
      </c>
      <c r="I221" t="s">
        <v>133</v>
      </c>
      <c r="J221" t="s">
        <v>23</v>
      </c>
      <c r="K221">
        <v>555</v>
      </c>
      <c r="L221">
        <v>6.1871081999999999</v>
      </c>
      <c r="M221">
        <v>125.47858259549704</v>
      </c>
      <c r="N221">
        <v>-8.425573058656358</v>
      </c>
      <c r="O221" s="1" t="str">
        <f>HYPERLINK(".\sm_car_250531_2225\sm_car_250531_2225_220_Ca218TrN_MaSWD_ode23t_1.png","figure")</f>
        <v>figure</v>
      </c>
      <c r="P221" t="s">
        <v>15</v>
      </c>
      <c r="V221">
        <f>K221-'2022a_250601_0524'!K221</f>
        <v>1</v>
      </c>
      <c r="W221" s="11">
        <f>V221/'2022a_250601_0524'!K221</f>
        <v>1.8050541516245488E-3</v>
      </c>
      <c r="X221">
        <f>L221-'2022a_250601_0524'!L221</f>
        <v>-0.13036889999999968</v>
      </c>
      <c r="Y221" s="11">
        <f>X221/'2022a_250601_0524'!L221</f>
        <v>-2.0636228345014451E-2</v>
      </c>
    </row>
    <row r="222" spans="1:25" x14ac:dyDescent="0.25">
      <c r="A222">
        <v>221</v>
      </c>
      <c r="B222">
        <v>218</v>
      </c>
      <c r="C222" t="s">
        <v>16</v>
      </c>
      <c r="D222" t="s">
        <v>128</v>
      </c>
      <c r="E222" t="s">
        <v>107</v>
      </c>
      <c r="F222" t="s">
        <v>19</v>
      </c>
      <c r="G222" t="s">
        <v>26</v>
      </c>
      <c r="H222" t="s">
        <v>21</v>
      </c>
      <c r="I222" t="s">
        <v>134</v>
      </c>
      <c r="J222" t="s">
        <v>23</v>
      </c>
      <c r="K222">
        <v>491</v>
      </c>
      <c r="L222">
        <v>5.7836995</v>
      </c>
      <c r="M222">
        <v>90.759053563054991</v>
      </c>
      <c r="N222">
        <v>29.145338404269445</v>
      </c>
      <c r="O222" s="1" t="str">
        <f>HYPERLINK(".\sm_car_250531_2225\sm_car_250531_2225_221_Ca218TrN_MaRST_ode23t_1.png","figure")</f>
        <v>figure</v>
      </c>
      <c r="P222" t="s">
        <v>15</v>
      </c>
      <c r="V222">
        <f>K222-'2022a_250601_0524'!K222</f>
        <v>3</v>
      </c>
      <c r="W222" s="11">
        <f>V222/'2022a_250601_0524'!K222</f>
        <v>6.1475409836065573E-3</v>
      </c>
      <c r="X222">
        <f>L222-'2022a_250601_0524'!L222</f>
        <v>0.45404100000000014</v>
      </c>
      <c r="Y222" s="11">
        <f>X222/'2022a_250601_0524'!L222</f>
        <v>8.5191387027893098E-2</v>
      </c>
    </row>
    <row r="223" spans="1:25" x14ac:dyDescent="0.25">
      <c r="A223">
        <v>222</v>
      </c>
      <c r="B223">
        <v>218</v>
      </c>
      <c r="C223" t="s">
        <v>16</v>
      </c>
      <c r="D223" t="s">
        <v>128</v>
      </c>
      <c r="E223" t="s">
        <v>107</v>
      </c>
      <c r="F223" t="s">
        <v>19</v>
      </c>
      <c r="G223" t="s">
        <v>26</v>
      </c>
      <c r="H223" t="s">
        <v>21</v>
      </c>
      <c r="I223" t="s">
        <v>135</v>
      </c>
      <c r="J223" t="s">
        <v>23</v>
      </c>
      <c r="K223">
        <v>715</v>
      </c>
      <c r="L223">
        <v>15.9371508</v>
      </c>
      <c r="M223">
        <v>230.15495514837511</v>
      </c>
      <c r="N223">
        <v>5.5570432651842395E-2</v>
      </c>
      <c r="O223" s="1" t="str">
        <f>HYPERLINK(".\sm_car_250531_2225\sm_car_250531_2225_222_Ca218TrN_MaSLA_ode23t_1.png","figure")</f>
        <v>figure</v>
      </c>
      <c r="P223" t="s">
        <v>15</v>
      </c>
      <c r="V223">
        <f>K223-'2022a_250601_0524'!K223</f>
        <v>10</v>
      </c>
      <c r="W223" s="11">
        <f>V223/'2022a_250601_0524'!K223</f>
        <v>1.4184397163120567E-2</v>
      </c>
      <c r="X223">
        <f>L223-'2022a_250601_0524'!L223</f>
        <v>-0.97173979999999993</v>
      </c>
      <c r="Y223" s="11">
        <f>X223/'2022a_250601_0524'!L223</f>
        <v>-5.7469163589005653E-2</v>
      </c>
    </row>
    <row r="224" spans="1:25" x14ac:dyDescent="0.25">
      <c r="A224">
        <v>223</v>
      </c>
      <c r="B224">
        <v>156</v>
      </c>
      <c r="C224" t="s">
        <v>45</v>
      </c>
      <c r="D224" t="s">
        <v>17</v>
      </c>
      <c r="E224" t="s">
        <v>18</v>
      </c>
      <c r="F224" t="s">
        <v>19</v>
      </c>
      <c r="G224" t="s">
        <v>38</v>
      </c>
      <c r="H224" t="s">
        <v>21</v>
      </c>
      <c r="I224" t="s">
        <v>54</v>
      </c>
      <c r="J224" t="s">
        <v>23</v>
      </c>
      <c r="K224">
        <v>26318</v>
      </c>
      <c r="L224">
        <v>398.33534689999999</v>
      </c>
      <c r="M224">
        <v>19.414066437447758</v>
      </c>
      <c r="N224">
        <v>2.7139079070805141</v>
      </c>
      <c r="O224" s="1" t="str">
        <f>HYPERLINK(".\sm_car_250531_2225\sm_car_250531_2225_223_Ca156TrN_MaIPA_ode23t.png","figure")</f>
        <v>figure</v>
      </c>
      <c r="P224" t="s">
        <v>15</v>
      </c>
      <c r="V224">
        <f>K224-'2022a_250601_0524'!K224</f>
        <v>0</v>
      </c>
      <c r="W224" s="11">
        <f>V224/'2022a_250601_0524'!K224</f>
        <v>0</v>
      </c>
      <c r="X224">
        <f>L224-'2022a_250601_0524'!L224</f>
        <v>-3.8859115000000202</v>
      </c>
      <c r="Y224" s="11">
        <f>X224/'2022a_250601_0524'!L224</f>
        <v>-9.6611290896404297E-3</v>
      </c>
    </row>
    <row r="225" spans="1:25" x14ac:dyDescent="0.25">
      <c r="A225">
        <v>224</v>
      </c>
      <c r="B225">
        <v>130</v>
      </c>
      <c r="C225" t="s">
        <v>16</v>
      </c>
      <c r="D225" t="s">
        <v>17</v>
      </c>
      <c r="E225" t="s">
        <v>18</v>
      </c>
      <c r="F225" t="s">
        <v>19</v>
      </c>
      <c r="G225" t="s">
        <v>38</v>
      </c>
      <c r="H225" t="s">
        <v>21</v>
      </c>
      <c r="I225" t="s">
        <v>54</v>
      </c>
      <c r="J225" t="s">
        <v>23</v>
      </c>
      <c r="K225">
        <v>17929</v>
      </c>
      <c r="L225">
        <v>271.19686109999998</v>
      </c>
      <c r="M225">
        <v>16.355246646961099</v>
      </c>
      <c r="N225">
        <v>0.58259379823385327</v>
      </c>
      <c r="O225" s="1" t="str">
        <f>HYPERLINK(".\sm_car_250531_2225\sm_car_250531_2225_224_Ca130TrN_MaIPA_ode23t.png","figure")</f>
        <v>figure</v>
      </c>
      <c r="P225" t="s">
        <v>15</v>
      </c>
      <c r="V225">
        <f>K225-'2022a_250601_0524'!K225</f>
        <v>-450</v>
      </c>
      <c r="W225" s="11">
        <f>V225/'2022a_250601_0524'!K225</f>
        <v>-2.4484465966592307E-2</v>
      </c>
      <c r="X225">
        <f>L225-'2022a_250601_0524'!L225</f>
        <v>-4.9810960000000364</v>
      </c>
      <c r="Y225" s="11">
        <f>X225/'2022a_250601_0524'!L225</f>
        <v>-1.8035820281618108E-2</v>
      </c>
    </row>
    <row r="226" spans="1:25" x14ac:dyDescent="0.25">
      <c r="A226">
        <v>225</v>
      </c>
      <c r="B226">
        <v>171</v>
      </c>
      <c r="C226" t="s">
        <v>45</v>
      </c>
      <c r="D226" t="s">
        <v>17</v>
      </c>
      <c r="E226" t="s">
        <v>72</v>
      </c>
      <c r="F226" t="s">
        <v>19</v>
      </c>
      <c r="G226" t="s">
        <v>26</v>
      </c>
      <c r="H226" t="s">
        <v>21</v>
      </c>
      <c r="I226" t="s">
        <v>73</v>
      </c>
      <c r="J226" t="s">
        <v>23</v>
      </c>
      <c r="K226">
        <v>1370</v>
      </c>
      <c r="L226">
        <v>22.970696199999999</v>
      </c>
      <c r="M226">
        <v>338.70299408615864</v>
      </c>
      <c r="N226">
        <v>0.69507929594247353</v>
      </c>
      <c r="O226" s="1" t="str">
        <f>HYPERLINK(".\sm_car_250531_2225\sm_car_250531_2225_225_Ca171TrN_MaRDP_ode23t_1.png","figure")</f>
        <v>figure</v>
      </c>
      <c r="P226" t="s">
        <v>15</v>
      </c>
      <c r="V226">
        <f>K226-'2022a_250601_0524'!K226</f>
        <v>0</v>
      </c>
      <c r="W226" s="11">
        <f>V226/'2022a_250601_0524'!K226</f>
        <v>0</v>
      </c>
      <c r="X226">
        <f>L226-'2022a_250601_0524'!L226</f>
        <v>-3.0756669999999993</v>
      </c>
      <c r="Y226" s="11">
        <f>X226/'2022a_250601_0524'!L226</f>
        <v>-0.11808431666191307</v>
      </c>
    </row>
    <row r="227" spans="1:25" x14ac:dyDescent="0.25">
      <c r="A227">
        <v>226</v>
      </c>
      <c r="B227">
        <v>172</v>
      </c>
      <c r="C227" t="s">
        <v>46</v>
      </c>
      <c r="D227" t="s">
        <v>17</v>
      </c>
      <c r="E227" t="s">
        <v>72</v>
      </c>
      <c r="F227" t="s">
        <v>19</v>
      </c>
      <c r="G227" t="s">
        <v>26</v>
      </c>
      <c r="H227" t="s">
        <v>21</v>
      </c>
      <c r="I227" t="s">
        <v>73</v>
      </c>
      <c r="J227" t="s">
        <v>23</v>
      </c>
      <c r="K227">
        <v>1239</v>
      </c>
      <c r="L227">
        <v>13.229578800000001</v>
      </c>
      <c r="M227">
        <v>137.31324907911886</v>
      </c>
      <c r="N227">
        <v>3.6867395266246723E-2</v>
      </c>
      <c r="O227" s="1" t="str">
        <f>HYPERLINK(".\sm_car_250531_2225\sm_car_250531_2225_226_Ca172TrN_MaRDP_ode23t_1.png","figure")</f>
        <v>figure</v>
      </c>
      <c r="P227" t="s">
        <v>15</v>
      </c>
      <c r="V227">
        <f>K227-'2022a_250601_0524'!K227</f>
        <v>0</v>
      </c>
      <c r="W227" s="11">
        <f>V227/'2022a_250601_0524'!K227</f>
        <v>0</v>
      </c>
      <c r="X227">
        <f>L227-'2022a_250601_0524'!L227</f>
        <v>1.2072010000000013</v>
      </c>
      <c r="Y227" s="11">
        <f>X227/'2022a_250601_0524'!L227</f>
        <v>0.10041283181102505</v>
      </c>
    </row>
    <row r="228" spans="1:25" x14ac:dyDescent="0.25">
      <c r="A228">
        <v>227</v>
      </c>
      <c r="B228">
        <v>139</v>
      </c>
      <c r="C228" t="s">
        <v>45</v>
      </c>
      <c r="D228" t="s">
        <v>17</v>
      </c>
      <c r="E228" t="s">
        <v>18</v>
      </c>
      <c r="F228" t="s">
        <v>19</v>
      </c>
      <c r="G228" t="s">
        <v>26</v>
      </c>
      <c r="H228" t="s">
        <v>21</v>
      </c>
      <c r="I228" t="s">
        <v>74</v>
      </c>
      <c r="J228" t="s">
        <v>23</v>
      </c>
      <c r="K228">
        <v>1437</v>
      </c>
      <c r="L228">
        <v>18.613441000000002</v>
      </c>
      <c r="M228">
        <v>364.59408165534882</v>
      </c>
      <c r="N228">
        <v>0.74703279937509426</v>
      </c>
      <c r="O228" s="1" t="str">
        <f>HYPERLINK(".\sm_car_250531_2225\sm_car_250531_2225_227_Ca139TrN_MaZPL_ode23t_1.png","figure")</f>
        <v>figure</v>
      </c>
      <c r="P228" t="s">
        <v>15</v>
      </c>
      <c r="V228">
        <f>K228-'2022a_250601_0524'!K228</f>
        <v>0</v>
      </c>
      <c r="W228" s="11">
        <f>V228/'2022a_250601_0524'!K228</f>
        <v>0</v>
      </c>
      <c r="X228">
        <f>L228-'2022a_250601_0524'!L228</f>
        <v>-0.47747349999999855</v>
      </c>
      <c r="Y228" s="11">
        <f>X228/'2022a_250601_0524'!L228</f>
        <v>-2.5010509580355542E-2</v>
      </c>
    </row>
    <row r="229" spans="1:25" x14ac:dyDescent="0.25">
      <c r="A229">
        <v>228</v>
      </c>
      <c r="B229">
        <v>165</v>
      </c>
      <c r="C229" t="s">
        <v>45</v>
      </c>
      <c r="D229" t="s">
        <v>35</v>
      </c>
      <c r="E229" t="s">
        <v>49</v>
      </c>
      <c r="F229" t="s">
        <v>19</v>
      </c>
      <c r="G229" t="s">
        <v>26</v>
      </c>
      <c r="H229" t="s">
        <v>21</v>
      </c>
      <c r="I229" t="s">
        <v>74</v>
      </c>
      <c r="J229" t="s">
        <v>23</v>
      </c>
      <c r="K229">
        <v>2085</v>
      </c>
      <c r="L229">
        <v>11.308316400000001</v>
      </c>
      <c r="M229">
        <v>397.61468796591959</v>
      </c>
      <c r="N229">
        <v>0.34020889873195742</v>
      </c>
      <c r="O229" s="1" t="str">
        <f>HYPERLINK(".\sm_car_250531_2225\sm_car_250531_2225_228_Ca165TrN_MaZPL_ode23t_1.png","figure")</f>
        <v>figure</v>
      </c>
      <c r="P229" t="s">
        <v>15</v>
      </c>
      <c r="V229">
        <f>K229-'2022a_250601_0524'!K229</f>
        <v>-24</v>
      </c>
      <c r="W229" s="11">
        <f>V229/'2022a_250601_0524'!K229</f>
        <v>-1.1379800853485065E-2</v>
      </c>
      <c r="X229">
        <f>L229-'2022a_250601_0524'!L229</f>
        <v>0.38932890000000064</v>
      </c>
      <c r="Y229" s="11">
        <f>X229/'2022a_250601_0524'!L229</f>
        <v>3.5656135699395262E-2</v>
      </c>
    </row>
    <row r="230" spans="1:25" x14ac:dyDescent="0.25">
      <c r="A230">
        <v>229</v>
      </c>
      <c r="B230">
        <v>171</v>
      </c>
      <c r="C230" t="s">
        <v>45</v>
      </c>
      <c r="D230" t="s">
        <v>17</v>
      </c>
      <c r="E230" t="s">
        <v>72</v>
      </c>
      <c r="F230" t="s">
        <v>19</v>
      </c>
      <c r="G230" t="s">
        <v>26</v>
      </c>
      <c r="H230" t="s">
        <v>21</v>
      </c>
      <c r="I230" t="s">
        <v>74</v>
      </c>
      <c r="J230" t="s">
        <v>23</v>
      </c>
      <c r="K230">
        <v>1477</v>
      </c>
      <c r="L230">
        <v>23.971216699999999</v>
      </c>
      <c r="M230">
        <v>364.26821920110206</v>
      </c>
      <c r="N230">
        <v>0.76658452668842181</v>
      </c>
      <c r="O230" s="1" t="str">
        <f>HYPERLINK(".\sm_car_250531_2225\sm_car_250531_2225_229_Ca171TrN_MaZPL_ode23t_1.png","figure")</f>
        <v>figure</v>
      </c>
      <c r="P230" t="s">
        <v>15</v>
      </c>
      <c r="V230">
        <f>K230-'2022a_250601_0524'!K230</f>
        <v>0</v>
      </c>
      <c r="W230" s="11">
        <f>V230/'2022a_250601_0524'!K230</f>
        <v>0</v>
      </c>
      <c r="X230">
        <f>L230-'2022a_250601_0524'!L230</f>
        <v>-8.7455399999999628E-2</v>
      </c>
      <c r="Y230" s="11">
        <f>X230/'2022a_250601_0524'!L230</f>
        <v>-3.6350884053987184E-3</v>
      </c>
    </row>
    <row r="231" spans="1:25" x14ac:dyDescent="0.25">
      <c r="A231">
        <v>230</v>
      </c>
      <c r="B231">
        <v>165</v>
      </c>
      <c r="C231" t="s">
        <v>45</v>
      </c>
      <c r="D231" t="s">
        <v>35</v>
      </c>
      <c r="E231" t="s">
        <v>49</v>
      </c>
      <c r="F231" t="s">
        <v>19</v>
      </c>
      <c r="G231" t="s">
        <v>26</v>
      </c>
      <c r="H231" t="s">
        <v>21</v>
      </c>
      <c r="I231" t="s">
        <v>75</v>
      </c>
      <c r="J231" t="s">
        <v>23</v>
      </c>
      <c r="K231">
        <v>508</v>
      </c>
      <c r="L231">
        <v>5.2637732000000002</v>
      </c>
      <c r="M231">
        <v>378.2755360602157</v>
      </c>
      <c r="N231">
        <v>0.32748422660053694</v>
      </c>
      <c r="O231" s="1" t="str">
        <f>HYPERLINK(".\sm_car_250531_2225\sm_car_250531_2225_230_Ca165TrN_MaCPL_ode23t_1.png","figure")</f>
        <v>figure</v>
      </c>
      <c r="P231" t="s">
        <v>15</v>
      </c>
      <c r="V231">
        <f>K231-'2022a_250601_0524'!K231</f>
        <v>5</v>
      </c>
      <c r="W231" s="11">
        <f>V231/'2022a_250601_0524'!K231</f>
        <v>9.9403578528827041E-3</v>
      </c>
      <c r="X231">
        <f>L231-'2022a_250601_0524'!L231</f>
        <v>0.28252010000000016</v>
      </c>
      <c r="Y231" s="11">
        <f>X231/'2022a_250601_0524'!L231</f>
        <v>5.6716672357001931E-2</v>
      </c>
    </row>
    <row r="232" spans="1:25" x14ac:dyDescent="0.25">
      <c r="A232">
        <v>231</v>
      </c>
      <c r="B232">
        <v>170</v>
      </c>
      <c r="C232" t="s">
        <v>45</v>
      </c>
      <c r="D232" t="s">
        <v>35</v>
      </c>
      <c r="E232" t="s">
        <v>49</v>
      </c>
      <c r="F232" t="s">
        <v>19</v>
      </c>
      <c r="G232" t="s">
        <v>20</v>
      </c>
      <c r="H232" t="s">
        <v>21</v>
      </c>
      <c r="I232" t="s">
        <v>75</v>
      </c>
      <c r="J232" t="s">
        <v>23</v>
      </c>
      <c r="K232">
        <v>470</v>
      </c>
      <c r="L232">
        <v>3.4006995999999998</v>
      </c>
      <c r="M232">
        <v>381.42969780778117</v>
      </c>
      <c r="N232">
        <v>0.33424114293474594</v>
      </c>
      <c r="O232" s="1" t="str">
        <f>HYPERLINK(".\sm_car_250531_2225\sm_car_250531_2225_231_Ca170TrN_MaCPL_ode23t_1.png","figure")</f>
        <v>figure</v>
      </c>
      <c r="P232" t="s">
        <v>15</v>
      </c>
      <c r="V232">
        <f>K232-'2022a_250601_0524'!K232</f>
        <v>0</v>
      </c>
      <c r="W232" s="11">
        <f>V232/'2022a_250601_0524'!K232</f>
        <v>0</v>
      </c>
      <c r="X232">
        <f>L232-'2022a_250601_0524'!L232</f>
        <v>6.8670099999999845E-2</v>
      </c>
      <c r="Y232" s="11">
        <f>X232/'2022a_250601_0524'!L232</f>
        <v>2.0609091246040843E-2</v>
      </c>
    </row>
    <row r="233" spans="1:25" x14ac:dyDescent="0.25">
      <c r="A233">
        <v>232</v>
      </c>
      <c r="B233">
        <v>171</v>
      </c>
      <c r="C233" t="s">
        <v>45</v>
      </c>
      <c r="D233" t="s">
        <v>17</v>
      </c>
      <c r="E233" t="s">
        <v>72</v>
      </c>
      <c r="F233" t="s">
        <v>19</v>
      </c>
      <c r="G233" t="s">
        <v>26</v>
      </c>
      <c r="H233" t="s">
        <v>21</v>
      </c>
      <c r="I233" t="s">
        <v>76</v>
      </c>
      <c r="J233" t="s">
        <v>23</v>
      </c>
      <c r="K233">
        <v>2511</v>
      </c>
      <c r="L233">
        <v>42.568829999999998</v>
      </c>
      <c r="M233">
        <v>152.37227718163274</v>
      </c>
      <c r="N233">
        <v>1.918152820179474E-3</v>
      </c>
      <c r="O233" s="1" t="str">
        <f>HYPERLINK(".\sm_car_250531_2225\sm_car_250531_2225_232_Ca171TrN_MaRDR_ode23t_1.png","figure")</f>
        <v>figure</v>
      </c>
      <c r="P233" t="s">
        <v>15</v>
      </c>
      <c r="V233">
        <f>K233-'2022a_250601_0524'!K233</f>
        <v>25</v>
      </c>
      <c r="W233" s="11">
        <f>V233/'2022a_250601_0524'!K233</f>
        <v>1.0056315366049879E-2</v>
      </c>
      <c r="X233">
        <f>L233-'2022a_250601_0524'!L233</f>
        <v>0.39094699999999705</v>
      </c>
      <c r="Y233" s="11">
        <f>X233/'2022a_250601_0524'!L233</f>
        <v>9.269004800454235E-3</v>
      </c>
    </row>
    <row r="234" spans="1:25" x14ac:dyDescent="0.25">
      <c r="A234">
        <v>233</v>
      </c>
      <c r="B234">
        <v>172</v>
      </c>
      <c r="C234" t="s">
        <v>46</v>
      </c>
      <c r="D234" t="s">
        <v>17</v>
      </c>
      <c r="E234" t="s">
        <v>72</v>
      </c>
      <c r="F234" t="s">
        <v>19</v>
      </c>
      <c r="G234" t="s">
        <v>26</v>
      </c>
      <c r="H234" t="s">
        <v>21</v>
      </c>
      <c r="I234" t="s">
        <v>76</v>
      </c>
      <c r="J234" t="s">
        <v>23</v>
      </c>
      <c r="K234">
        <v>2945</v>
      </c>
      <c r="L234">
        <v>29.505224999999999</v>
      </c>
      <c r="M234">
        <v>146.50515875995276</v>
      </c>
      <c r="N234">
        <v>-4.9177025607227689E-3</v>
      </c>
      <c r="O234" s="1" t="str">
        <f>HYPERLINK(".\sm_car_250531_2225\sm_car_250531_2225_233_Ca172TrN_MaRDR_ode23t_1.png","figure")</f>
        <v>figure</v>
      </c>
      <c r="P234" t="s">
        <v>15</v>
      </c>
      <c r="V234">
        <f>K234-'2022a_250601_0524'!K234</f>
        <v>9</v>
      </c>
      <c r="W234" s="11">
        <f>V234/'2022a_250601_0524'!K234</f>
        <v>3.0653950953678476E-3</v>
      </c>
      <c r="X234">
        <f>L234-'2022a_250601_0524'!L234</f>
        <v>1.7466240999999982</v>
      </c>
      <c r="Y234" s="11">
        <f>X234/'2022a_250601_0524'!L234</f>
        <v>6.29219068458165E-2</v>
      </c>
    </row>
    <row r="235" spans="1:25" x14ac:dyDescent="0.25">
      <c r="A235">
        <v>234</v>
      </c>
      <c r="B235">
        <v>139</v>
      </c>
      <c r="C235" t="s">
        <v>45</v>
      </c>
      <c r="D235" t="s">
        <v>17</v>
      </c>
      <c r="E235" t="s">
        <v>18</v>
      </c>
      <c r="F235" t="s">
        <v>19</v>
      </c>
      <c r="G235" t="s">
        <v>26</v>
      </c>
      <c r="H235" t="s">
        <v>21</v>
      </c>
      <c r="I235" t="s">
        <v>77</v>
      </c>
      <c r="J235" t="s">
        <v>23</v>
      </c>
      <c r="K235">
        <v>2978</v>
      </c>
      <c r="L235">
        <v>34.198062200000003</v>
      </c>
      <c r="M235">
        <v>176.47207192053028</v>
      </c>
      <c r="N235">
        <v>7.3447517280593455E-4</v>
      </c>
      <c r="O235" s="1" t="str">
        <f>HYPERLINK(".\sm_car_250531_2225\sm_car_250531_2225_234_Ca139TrN_MaZRR_ode23t_1.png","figure")</f>
        <v>figure</v>
      </c>
      <c r="P235" t="s">
        <v>15</v>
      </c>
      <c r="V235">
        <f>K235-'2022a_250601_0524'!K235</f>
        <v>-63</v>
      </c>
      <c r="W235" s="11">
        <f>V235/'2022a_250601_0524'!K235</f>
        <v>-2.0716869450838539E-2</v>
      </c>
      <c r="X235">
        <f>L235-'2022a_250601_0524'!L235</f>
        <v>-2.253442899999996</v>
      </c>
      <c r="Y235" s="11">
        <f>X235/'2022a_250601_0524'!L235</f>
        <v>-6.1820297785179688E-2</v>
      </c>
    </row>
    <row r="236" spans="1:25" x14ac:dyDescent="0.25">
      <c r="A236">
        <v>235</v>
      </c>
      <c r="B236">
        <v>165</v>
      </c>
      <c r="C236" t="s">
        <v>45</v>
      </c>
      <c r="D236" t="s">
        <v>35</v>
      </c>
      <c r="E236" t="s">
        <v>49</v>
      </c>
      <c r="F236" t="s">
        <v>19</v>
      </c>
      <c r="G236" t="s">
        <v>26</v>
      </c>
      <c r="H236" t="s">
        <v>21</v>
      </c>
      <c r="I236" t="s">
        <v>77</v>
      </c>
      <c r="J236" t="s">
        <v>23</v>
      </c>
      <c r="K236">
        <v>3563</v>
      </c>
      <c r="L236">
        <v>21.511468799999999</v>
      </c>
      <c r="M236">
        <v>176.80127429963727</v>
      </c>
      <c r="N236">
        <v>6.3182030273432408E-5</v>
      </c>
      <c r="O236" s="1" t="str">
        <f>HYPERLINK(".\sm_car_250531_2225\sm_car_250531_2225_235_Ca165TrN_MaZRR_ode23t_1.png","figure")</f>
        <v>figure</v>
      </c>
      <c r="P236" t="s">
        <v>15</v>
      </c>
      <c r="V236">
        <f>K236-'2022a_250601_0524'!K236</f>
        <v>-16</v>
      </c>
      <c r="W236" s="11">
        <f>V236/'2022a_250601_0524'!K236</f>
        <v>-4.4705224923162895E-3</v>
      </c>
      <c r="X236">
        <f>L236-'2022a_250601_0524'!L236</f>
        <v>-1.1641693000000011</v>
      </c>
      <c r="Y236" s="11">
        <f>X236/'2022a_250601_0524'!L236</f>
        <v>-5.1340089962010858E-2</v>
      </c>
    </row>
    <row r="237" spans="1:25" x14ac:dyDescent="0.25">
      <c r="A237">
        <v>236</v>
      </c>
      <c r="B237">
        <v>171</v>
      </c>
      <c r="C237" t="s">
        <v>45</v>
      </c>
      <c r="D237" t="s">
        <v>17</v>
      </c>
      <c r="E237" t="s">
        <v>72</v>
      </c>
      <c r="F237" t="s">
        <v>19</v>
      </c>
      <c r="G237" t="s">
        <v>26</v>
      </c>
      <c r="H237" t="s">
        <v>21</v>
      </c>
      <c r="I237" t="s">
        <v>77</v>
      </c>
      <c r="J237" t="s">
        <v>23</v>
      </c>
      <c r="K237">
        <v>3012</v>
      </c>
      <c r="L237">
        <v>51.104751399999998</v>
      </c>
      <c r="M237">
        <v>176.48909792138664</v>
      </c>
      <c r="N237">
        <v>7.4147227192627844E-4</v>
      </c>
      <c r="O237" s="1" t="str">
        <f>HYPERLINK(".\sm_car_250531_2225\sm_car_250531_2225_236_Ca171TrN_MaZRR_ode23t_1.png","figure")</f>
        <v>figure</v>
      </c>
      <c r="P237" t="s">
        <v>15</v>
      </c>
      <c r="V237">
        <f>K237-'2022a_250601_0524'!K237</f>
        <v>13</v>
      </c>
      <c r="W237" s="11">
        <f>V237/'2022a_250601_0524'!K237</f>
        <v>4.3347782594198069E-3</v>
      </c>
      <c r="X237">
        <f>L237-'2022a_250601_0524'!L237</f>
        <v>-1.8468777000000003</v>
      </c>
      <c r="Y237" s="11">
        <f>X237/'2022a_250601_0524'!L237</f>
        <v>-3.487858128995696E-2</v>
      </c>
    </row>
    <row r="238" spans="1:25" x14ac:dyDescent="0.25">
      <c r="A238">
        <v>237</v>
      </c>
      <c r="B238">
        <v>170</v>
      </c>
      <c r="C238" t="s">
        <v>45</v>
      </c>
      <c r="D238" t="s">
        <v>35</v>
      </c>
      <c r="E238" t="s">
        <v>49</v>
      </c>
      <c r="F238" t="s">
        <v>19</v>
      </c>
      <c r="G238" t="s">
        <v>20</v>
      </c>
      <c r="H238" t="s">
        <v>21</v>
      </c>
      <c r="I238" t="s">
        <v>78</v>
      </c>
      <c r="J238" t="s">
        <v>23</v>
      </c>
      <c r="K238">
        <v>5120</v>
      </c>
      <c r="L238">
        <v>17.886023300000002</v>
      </c>
      <c r="M238">
        <v>-5.998515881097485</v>
      </c>
      <c r="N238">
        <v>-6.1736556814060307E-3</v>
      </c>
      <c r="O238" s="1" t="str">
        <f>HYPERLINK(".\sm_car_250531_2225\sm_car_250531_2225_237_Ca170TrN_MaCMP_ode23t_1.png","figure")</f>
        <v>figure</v>
      </c>
      <c r="P238" t="s">
        <v>15</v>
      </c>
      <c r="V238">
        <f>K238-'2022a_250601_0524'!K238</f>
        <v>10</v>
      </c>
      <c r="W238" s="11">
        <f>V238/'2022a_250601_0524'!K238</f>
        <v>1.9569471624266144E-3</v>
      </c>
      <c r="X238">
        <f>L238-'2022a_250601_0524'!L238</f>
        <v>-1.1027325999999995</v>
      </c>
      <c r="Y238" s="11">
        <f>X238/'2022a_250601_0524'!L238</f>
        <v>-5.8072925146191355E-2</v>
      </c>
    </row>
    <row r="239" spans="1:25" x14ac:dyDescent="0.25">
      <c r="A239">
        <v>238</v>
      </c>
      <c r="B239">
        <v>170</v>
      </c>
      <c r="C239" t="s">
        <v>45</v>
      </c>
      <c r="D239" t="s">
        <v>35</v>
      </c>
      <c r="E239" t="s">
        <v>49</v>
      </c>
      <c r="F239" t="s">
        <v>19</v>
      </c>
      <c r="G239" t="s">
        <v>20</v>
      </c>
      <c r="H239" t="s">
        <v>21</v>
      </c>
      <c r="I239" t="s">
        <v>79</v>
      </c>
      <c r="J239" t="s">
        <v>23</v>
      </c>
      <c r="K239">
        <v>1828</v>
      </c>
      <c r="L239">
        <v>12.661209100000001</v>
      </c>
      <c r="M239">
        <v>-5.9877671270575474</v>
      </c>
      <c r="N239">
        <v>-6.233026449737126E-3</v>
      </c>
      <c r="O239" s="1" t="str">
        <f>HYPERLINK(".\sm_car_250531_2225\sm_car_250531_2225_238_Ca170TrN_MaCMF_ode23t_1.png","figure")</f>
        <v>figure</v>
      </c>
      <c r="P239" t="s">
        <v>15</v>
      </c>
      <c r="V239">
        <f>K239-'2022a_250601_0524'!K239</f>
        <v>5</v>
      </c>
      <c r="W239" s="11">
        <f>V239/'2022a_250601_0524'!K239</f>
        <v>2.7427317608337905E-3</v>
      </c>
      <c r="X239">
        <f>L239-'2022a_250601_0524'!L239</f>
        <v>0.62661250000000024</v>
      </c>
      <c r="Y239" s="11">
        <f>X239/'2022a_250601_0524'!L239</f>
        <v>5.2067594853989554E-2</v>
      </c>
    </row>
    <row r="240" spans="1:25" x14ac:dyDescent="0.25">
      <c r="A240">
        <v>239</v>
      </c>
      <c r="B240">
        <v>170</v>
      </c>
      <c r="C240" t="s">
        <v>45</v>
      </c>
      <c r="D240" t="s">
        <v>35</v>
      </c>
      <c r="E240" t="s">
        <v>49</v>
      </c>
      <c r="F240" t="s">
        <v>19</v>
      </c>
      <c r="G240" t="s">
        <v>20</v>
      </c>
      <c r="H240" t="s">
        <v>21</v>
      </c>
      <c r="I240" t="s">
        <v>80</v>
      </c>
      <c r="J240" t="s">
        <v>23</v>
      </c>
      <c r="K240">
        <v>4512</v>
      </c>
      <c r="L240">
        <v>37.5085403</v>
      </c>
      <c r="M240">
        <v>-329.31966579321391</v>
      </c>
      <c r="N240">
        <v>5.8341838751058415</v>
      </c>
      <c r="O240" s="1" t="str">
        <f>HYPERLINK(".\sm_car_250531_2225\sm_car_250531_2225_239_Ca170TrN_MaMPO_ode23t_1.png","figure")</f>
        <v>figure</v>
      </c>
      <c r="P240" t="s">
        <v>15</v>
      </c>
      <c r="V240">
        <f>K240-'2022a_250601_0524'!K240</f>
        <v>-86</v>
      </c>
      <c r="W240" s="11">
        <f>V240/'2022a_250601_0524'!K240</f>
        <v>-1.8703784254023487E-2</v>
      </c>
      <c r="X240">
        <f>L240-'2022a_250601_0524'!L240</f>
        <v>-1.2619407999999979</v>
      </c>
      <c r="Y240" s="11">
        <f>X240/'2022a_250601_0524'!L240</f>
        <v>-3.2549010592494244E-2</v>
      </c>
    </row>
    <row r="241" spans="1:25" x14ac:dyDescent="0.25">
      <c r="A241">
        <v>240</v>
      </c>
      <c r="B241">
        <v>170</v>
      </c>
      <c r="C241" t="s">
        <v>45</v>
      </c>
      <c r="D241" t="s">
        <v>35</v>
      </c>
      <c r="E241" t="s">
        <v>49</v>
      </c>
      <c r="F241" t="s">
        <v>19</v>
      </c>
      <c r="G241" t="s">
        <v>20</v>
      </c>
      <c r="H241" t="s">
        <v>21</v>
      </c>
      <c r="I241" t="s">
        <v>81</v>
      </c>
      <c r="J241" t="s">
        <v>23</v>
      </c>
      <c r="K241">
        <v>1203</v>
      </c>
      <c r="L241">
        <v>10.8799808</v>
      </c>
      <c r="M241">
        <v>-13.820205647113127</v>
      </c>
      <c r="N241">
        <v>0.23490647106552842</v>
      </c>
      <c r="O241" s="1" t="str">
        <f>HYPERLINK(".\sm_car_250531_2225\sm_car_250531_2225_240_Ca170TrN_MaMCI_ode23t_1.png","figure")</f>
        <v>figure</v>
      </c>
      <c r="P241" t="s">
        <v>15</v>
      </c>
      <c r="V241">
        <f>K241-'2022a_250601_0524'!K241</f>
        <v>18</v>
      </c>
      <c r="W241" s="11">
        <f>V241/'2022a_250601_0524'!K241</f>
        <v>1.5189873417721518E-2</v>
      </c>
      <c r="X241">
        <f>L241-'2022a_250601_0524'!L241</f>
        <v>-0.57329200000000036</v>
      </c>
      <c r="Y241" s="11">
        <f>X241/'2022a_250601_0524'!L241</f>
        <v>-5.0054862920928624E-2</v>
      </c>
    </row>
    <row r="242" spans="1:25" x14ac:dyDescent="0.25">
      <c r="A242">
        <v>241</v>
      </c>
      <c r="B242">
        <v>170</v>
      </c>
      <c r="C242" t="s">
        <v>45</v>
      </c>
      <c r="D242" t="s">
        <v>35</v>
      </c>
      <c r="E242" t="s">
        <v>49</v>
      </c>
      <c r="F242" t="s">
        <v>19</v>
      </c>
      <c r="G242" t="s">
        <v>20</v>
      </c>
      <c r="H242" t="s">
        <v>21</v>
      </c>
      <c r="I242" t="s">
        <v>110</v>
      </c>
      <c r="J242" t="s">
        <v>23</v>
      </c>
      <c r="K242">
        <v>6226</v>
      </c>
      <c r="L242">
        <v>20.451869899999998</v>
      </c>
      <c r="M242">
        <v>-5.9985152196063805</v>
      </c>
      <c r="N242">
        <v>-4.6526482183722592E-3</v>
      </c>
      <c r="O242" s="1" t="str">
        <f>HYPERLINK(".\sm_car_250531_2225\sm_car_250531_2225_241_Ca170TrN_MaCHO_ode23t_1.png","figure")</f>
        <v>figure</v>
      </c>
      <c r="P242" t="s">
        <v>15</v>
      </c>
      <c r="V242">
        <f>K242-'2022a_250601_0524'!K242</f>
        <v>-125</v>
      </c>
      <c r="W242" s="11">
        <f>V242/'2022a_250601_0524'!K242</f>
        <v>-1.9681939851991813E-2</v>
      </c>
      <c r="X242">
        <f>L242-'2022a_250601_0524'!L242</f>
        <v>-0.12425700000000006</v>
      </c>
      <c r="Y242" s="11">
        <f>X242/'2022a_250601_0524'!L242</f>
        <v>-6.0388916050085244E-3</v>
      </c>
    </row>
    <row r="243" spans="1:25" x14ac:dyDescent="0.25">
      <c r="A243">
        <v>242</v>
      </c>
      <c r="B243">
        <v>170</v>
      </c>
      <c r="C243" t="s">
        <v>45</v>
      </c>
      <c r="D243" t="s">
        <v>35</v>
      </c>
      <c r="E243" t="s">
        <v>49</v>
      </c>
      <c r="F243" t="s">
        <v>19</v>
      </c>
      <c r="G243" t="s">
        <v>20</v>
      </c>
      <c r="H243" t="s">
        <v>21</v>
      </c>
      <c r="I243" t="s">
        <v>111</v>
      </c>
      <c r="J243" t="s">
        <v>23</v>
      </c>
      <c r="K243">
        <v>3466</v>
      </c>
      <c r="L243">
        <v>18.4014521</v>
      </c>
      <c r="M243">
        <v>-5.9991295694929567</v>
      </c>
      <c r="N243">
        <v>-4.6889760015809872E-3</v>
      </c>
      <c r="O243" s="1" t="str">
        <f>HYPERLINK(".\sm_car_250531_2225\sm_car_250531_2225_242_Ca170TrN_MaCHF_ode23t_1.png","figure")</f>
        <v>figure</v>
      </c>
      <c r="P243" t="s">
        <v>15</v>
      </c>
      <c r="V243">
        <f>K243-'2022a_250601_0524'!K243</f>
        <v>2</v>
      </c>
      <c r="W243" s="11">
        <f>V243/'2022a_250601_0524'!K243</f>
        <v>5.7736720554272516E-4</v>
      </c>
      <c r="X243">
        <f>L243-'2022a_250601_0524'!L243</f>
        <v>-1.3851349999999982</v>
      </c>
      <c r="Y243" s="11">
        <f>X243/'2022a_250601_0524'!L243</f>
        <v>-7.0003735004911402E-2</v>
      </c>
    </row>
    <row r="244" spans="1:25" x14ac:dyDescent="0.25">
      <c r="A244">
        <v>243</v>
      </c>
      <c r="B244">
        <v>170</v>
      </c>
      <c r="C244" t="s">
        <v>45</v>
      </c>
      <c r="D244" t="s">
        <v>35</v>
      </c>
      <c r="E244" t="s">
        <v>49</v>
      </c>
      <c r="F244" t="s">
        <v>19</v>
      </c>
      <c r="G244" t="s">
        <v>20</v>
      </c>
      <c r="H244" t="s">
        <v>21</v>
      </c>
      <c r="I244" t="s">
        <v>82</v>
      </c>
      <c r="J244" t="s">
        <v>23</v>
      </c>
      <c r="K244">
        <v>7114</v>
      </c>
      <c r="L244">
        <v>32.528548000000001</v>
      </c>
      <c r="M244">
        <v>-750.18868265106153</v>
      </c>
      <c r="N244">
        <v>627.2044189655104</v>
      </c>
      <c r="O244" s="1" t="str">
        <f>HYPERLINK(".\sm_car_250531_2225\sm_car_250531_2225_243_Ca170TrN_MaCKY_ode23t_1.png","figure")</f>
        <v>figure</v>
      </c>
      <c r="P244" t="s">
        <v>15</v>
      </c>
      <c r="V244">
        <f>K244-'2022a_250601_0524'!K244</f>
        <v>25</v>
      </c>
      <c r="W244" s="11">
        <f>V244/'2022a_250601_0524'!K244</f>
        <v>3.5265904923120327E-3</v>
      </c>
      <c r="X244">
        <f>L244-'2022a_250601_0524'!L244</f>
        <v>0.99136060000000015</v>
      </c>
      <c r="Y244" s="11">
        <f>X244/'2022a_250601_0524'!L244</f>
        <v>3.1434654822769643E-2</v>
      </c>
    </row>
    <row r="245" spans="1:25" x14ac:dyDescent="0.25">
      <c r="A245">
        <v>244</v>
      </c>
      <c r="B245">
        <v>170</v>
      </c>
      <c r="C245" t="s">
        <v>45</v>
      </c>
      <c r="D245" t="s">
        <v>35</v>
      </c>
      <c r="E245" t="s">
        <v>49</v>
      </c>
      <c r="F245" t="s">
        <v>19</v>
      </c>
      <c r="G245" t="s">
        <v>20</v>
      </c>
      <c r="H245" t="s">
        <v>21</v>
      </c>
      <c r="I245" t="s">
        <v>83</v>
      </c>
      <c r="J245" t="s">
        <v>23</v>
      </c>
      <c r="K245">
        <v>2179</v>
      </c>
      <c r="L245">
        <v>16.464273299999999</v>
      </c>
      <c r="M245">
        <v>-756.85151361597184</v>
      </c>
      <c r="N245">
        <v>631.61494275046846</v>
      </c>
      <c r="O245" s="1" t="str">
        <f>HYPERLINK(".\sm_car_250531_2225\sm_car_250531_2225_244_Ca170TrN_MaCKF_ode23t_1.png","figure")</f>
        <v>figure</v>
      </c>
      <c r="P245" t="s">
        <v>15</v>
      </c>
      <c r="V245">
        <f>K245-'2022a_250601_0524'!K245</f>
        <v>26</v>
      </c>
      <c r="W245" s="11">
        <f>V245/'2022a_250601_0524'!K245</f>
        <v>1.2076172782164421E-2</v>
      </c>
      <c r="X245">
        <f>L245-'2022a_250601_0524'!L245</f>
        <v>9.0238299999999327E-2</v>
      </c>
      <c r="Y245" s="11">
        <f>X245/'2022a_250601_0524'!L245</f>
        <v>5.5110606518185244E-3</v>
      </c>
    </row>
    <row r="246" spans="1:25" x14ac:dyDescent="0.25">
      <c r="A246">
        <v>245</v>
      </c>
      <c r="B246">
        <v>170</v>
      </c>
      <c r="C246" t="s">
        <v>45</v>
      </c>
      <c r="D246" t="s">
        <v>35</v>
      </c>
      <c r="E246" t="s">
        <v>49</v>
      </c>
      <c r="F246" t="s">
        <v>19</v>
      </c>
      <c r="G246" t="s">
        <v>20</v>
      </c>
      <c r="H246" t="s">
        <v>21</v>
      </c>
      <c r="I246" t="s">
        <v>84</v>
      </c>
      <c r="J246" t="s">
        <v>23</v>
      </c>
      <c r="K246">
        <v>2734</v>
      </c>
      <c r="L246">
        <v>18.101165200000001</v>
      </c>
      <c r="M246">
        <v>176.88277088569959</v>
      </c>
      <c r="N246">
        <v>287.46322573154868</v>
      </c>
      <c r="O246" s="1" t="str">
        <f>HYPERLINK(".\sm_car_250531_2225\sm_car_250531_2225_245_Ca170TrN_MaCNN_ode23t_1.png","figure")</f>
        <v>figure</v>
      </c>
      <c r="P246" t="s">
        <v>15</v>
      </c>
      <c r="V246">
        <f>K246-'2022a_250601_0524'!K246</f>
        <v>-12</v>
      </c>
      <c r="W246" s="11">
        <f>V246/'2022a_250601_0524'!K246</f>
        <v>-4.3699927166788053E-3</v>
      </c>
      <c r="X246">
        <f>L246-'2022a_250601_0524'!L246</f>
        <v>1.6087315000000011</v>
      </c>
      <c r="Y246" s="11">
        <f>X246/'2022a_250601_0524'!L246</f>
        <v>9.7543608739806609E-2</v>
      </c>
    </row>
    <row r="247" spans="1:25" x14ac:dyDescent="0.25">
      <c r="A247">
        <v>246</v>
      </c>
      <c r="B247">
        <v>170</v>
      </c>
      <c r="C247" t="s">
        <v>45</v>
      </c>
      <c r="D247" t="s">
        <v>35</v>
      </c>
      <c r="E247" t="s">
        <v>49</v>
      </c>
      <c r="F247" t="s">
        <v>19</v>
      </c>
      <c r="G247" t="s">
        <v>20</v>
      </c>
      <c r="H247" t="s">
        <v>21</v>
      </c>
      <c r="I247" t="s">
        <v>85</v>
      </c>
      <c r="J247" t="s">
        <v>23</v>
      </c>
      <c r="K247">
        <v>4390</v>
      </c>
      <c r="L247">
        <v>70.710819999999998</v>
      </c>
      <c r="M247">
        <v>3001.3324715008007</v>
      </c>
      <c r="N247">
        <v>-3058.4970845935964</v>
      </c>
      <c r="O247" s="1" t="str">
        <f>HYPERLINK(".\sm_car_250531_2225\sm_car_250531_2225_246_Ca170TrN_MaCNF_ode23t_1.png","figure")</f>
        <v>figure</v>
      </c>
      <c r="P247" t="s">
        <v>15</v>
      </c>
      <c r="V247">
        <f>K247-'2022a_250601_0524'!K247</f>
        <v>63</v>
      </c>
      <c r="W247" s="11">
        <f>V247/'2022a_250601_0524'!K247</f>
        <v>1.4559741160157152E-2</v>
      </c>
      <c r="X247">
        <f>L247-'2022a_250601_0524'!L247</f>
        <v>-0.26850980000000391</v>
      </c>
      <c r="Y247" s="11">
        <f>X247/'2022a_250601_0524'!L247</f>
        <v>-3.7829294916786309E-3</v>
      </c>
    </row>
    <row r="248" spans="1:25" x14ac:dyDescent="0.25">
      <c r="A248">
        <v>247</v>
      </c>
      <c r="B248">
        <v>170</v>
      </c>
      <c r="C248" t="s">
        <v>45</v>
      </c>
      <c r="D248" t="s">
        <v>35</v>
      </c>
      <c r="E248" t="s">
        <v>49</v>
      </c>
      <c r="F248" t="s">
        <v>19</v>
      </c>
      <c r="G248" t="s">
        <v>20</v>
      </c>
      <c r="H248" t="s">
        <v>21</v>
      </c>
      <c r="I248" t="s">
        <v>86</v>
      </c>
      <c r="J248" t="s">
        <v>23</v>
      </c>
      <c r="K248">
        <v>2964</v>
      </c>
      <c r="L248">
        <v>14.075384400000001</v>
      </c>
      <c r="M248">
        <v>522.91243284738221</v>
      </c>
      <c r="N248">
        <v>-164.11419700223377</v>
      </c>
      <c r="O248" s="1" t="str">
        <f>HYPERLINK(".\sm_car_250531_2225\sm_car_250531_2225_247_Ca170TrN_MaCSZ_ode23t_1.png","figure")</f>
        <v>figure</v>
      </c>
      <c r="P248" t="s">
        <v>15</v>
      </c>
      <c r="V248">
        <f>K248-'2022a_250601_0524'!K248</f>
        <v>8</v>
      </c>
      <c r="W248" s="11">
        <f>V248/'2022a_250601_0524'!K248</f>
        <v>2.7063599458728013E-3</v>
      </c>
      <c r="X248">
        <f>L248-'2022a_250601_0524'!L248</f>
        <v>0.20029140000000112</v>
      </c>
      <c r="Y248" s="11">
        <f>X248/'2022a_250601_0524'!L248</f>
        <v>1.4435319460561534E-2</v>
      </c>
    </row>
    <row r="249" spans="1:25" x14ac:dyDescent="0.25">
      <c r="A249">
        <v>248</v>
      </c>
      <c r="B249">
        <v>170</v>
      </c>
      <c r="C249" t="s">
        <v>45</v>
      </c>
      <c r="D249" t="s">
        <v>35</v>
      </c>
      <c r="E249" t="s">
        <v>49</v>
      </c>
      <c r="F249" t="s">
        <v>19</v>
      </c>
      <c r="G249" t="s">
        <v>20</v>
      </c>
      <c r="H249" t="s">
        <v>21</v>
      </c>
      <c r="I249" t="s">
        <v>87</v>
      </c>
      <c r="J249" t="s">
        <v>23</v>
      </c>
      <c r="K249">
        <v>5805</v>
      </c>
      <c r="L249">
        <v>84.894819100000007</v>
      </c>
      <c r="M249">
        <v>-8.9753501274948952</v>
      </c>
      <c r="N249">
        <v>8.079876469058148E-3</v>
      </c>
      <c r="O249" s="1" t="str">
        <f>HYPERLINK(".\sm_car_250531_2225\sm_car_250531_2225_248_Ca170TrN_MaCSF_ode23t_1.png","figure")</f>
        <v>figure</v>
      </c>
      <c r="P249" t="s">
        <v>15</v>
      </c>
      <c r="V249">
        <f>K249-'2022a_250601_0524'!K249</f>
        <v>109</v>
      </c>
      <c r="W249" s="11">
        <f>V249/'2022a_250601_0524'!K249</f>
        <v>1.9136235955056181E-2</v>
      </c>
      <c r="X249">
        <f>L249-'2022a_250601_0524'!L249</f>
        <v>0.35539420000000632</v>
      </c>
      <c r="Y249" s="11">
        <f>X249/'2022a_250601_0524'!L249</f>
        <v>4.2038871262774146E-3</v>
      </c>
    </row>
    <row r="250" spans="1:25" x14ac:dyDescent="0.25">
      <c r="A250">
        <v>249</v>
      </c>
      <c r="B250">
        <v>170</v>
      </c>
      <c r="C250" t="s">
        <v>45</v>
      </c>
      <c r="D250" t="s">
        <v>35</v>
      </c>
      <c r="E250" t="s">
        <v>49</v>
      </c>
      <c r="F250" t="s">
        <v>19</v>
      </c>
      <c r="G250" t="s">
        <v>20</v>
      </c>
      <c r="H250" t="s">
        <v>21</v>
      </c>
      <c r="I250" t="s">
        <v>88</v>
      </c>
      <c r="J250" t="s">
        <v>23</v>
      </c>
      <c r="K250">
        <v>2217</v>
      </c>
      <c r="L250">
        <v>19.212557</v>
      </c>
      <c r="M250">
        <v>208.56831999377235</v>
      </c>
      <c r="N250">
        <v>379.22585840367367</v>
      </c>
      <c r="O250" s="1" t="str">
        <f>HYPERLINK(".\sm_car_250531_2225\sm_car_250531_2225_249_Ca170TrN_MaCPU_ode23t_1.png","figure")</f>
        <v>figure</v>
      </c>
      <c r="P250" t="s">
        <v>15</v>
      </c>
      <c r="V250">
        <f>K250-'2022a_250601_0524'!K250</f>
        <v>96</v>
      </c>
      <c r="W250" s="11">
        <f>V250/'2022a_250601_0524'!K250</f>
        <v>4.5261669024045263E-2</v>
      </c>
      <c r="X250">
        <f>L250-'2022a_250601_0524'!L250</f>
        <v>2.3730834999999999</v>
      </c>
      <c r="Y250" s="11">
        <f>X250/'2022a_250601_0524'!L250</f>
        <v>0.14092385370599619</v>
      </c>
    </row>
    <row r="251" spans="1:25" x14ac:dyDescent="0.25">
      <c r="A251">
        <v>250</v>
      </c>
      <c r="B251">
        <v>170</v>
      </c>
      <c r="C251" t="s">
        <v>45</v>
      </c>
      <c r="D251" t="s">
        <v>35</v>
      </c>
      <c r="E251" t="s">
        <v>49</v>
      </c>
      <c r="F251" t="s">
        <v>19</v>
      </c>
      <c r="G251" t="s">
        <v>20</v>
      </c>
      <c r="H251" t="s">
        <v>21</v>
      </c>
      <c r="I251" t="s">
        <v>89</v>
      </c>
      <c r="J251" t="s">
        <v>23</v>
      </c>
      <c r="K251">
        <v>2500</v>
      </c>
      <c r="L251">
        <v>18.0451671</v>
      </c>
      <c r="M251">
        <v>183.11084265796853</v>
      </c>
      <c r="N251">
        <v>-170.13492333400791</v>
      </c>
      <c r="O251" s="1" t="str">
        <f>HYPERLINK(".\sm_car_250531_2225\sm_car_250531_2225_250_Ca170TrN_MaCPD_ode23t_1.png","figure")</f>
        <v>figure</v>
      </c>
      <c r="P251" t="s">
        <v>15</v>
      </c>
      <c r="V251">
        <f>K251-'2022a_250601_0524'!K251</f>
        <v>-118</v>
      </c>
      <c r="W251" s="11">
        <f>V251/'2022a_250601_0524'!K251</f>
        <v>-4.5072574484339191E-2</v>
      </c>
      <c r="X251">
        <f>L251-'2022a_250601_0524'!L251</f>
        <v>-0.59358920000000026</v>
      </c>
      <c r="Y251" s="11">
        <f>X251/'2022a_250601_0524'!L251</f>
        <v>-3.1847039064510987E-2</v>
      </c>
    </row>
    <row r="252" spans="1:25" x14ac:dyDescent="0.25">
      <c r="A252">
        <v>251</v>
      </c>
      <c r="B252">
        <v>202</v>
      </c>
      <c r="C252" t="s">
        <v>45</v>
      </c>
      <c r="D252" t="s">
        <v>35</v>
      </c>
      <c r="E252" t="s">
        <v>107</v>
      </c>
      <c r="F252" t="s">
        <v>19</v>
      </c>
      <c r="G252" t="s">
        <v>20</v>
      </c>
      <c r="H252" t="s">
        <v>21</v>
      </c>
      <c r="I252" t="s">
        <v>79</v>
      </c>
      <c r="J252" t="s">
        <v>23</v>
      </c>
      <c r="K252">
        <v>1832</v>
      </c>
      <c r="L252">
        <v>4.6062684000000003</v>
      </c>
      <c r="M252">
        <v>-5.9845417531597418</v>
      </c>
      <c r="N252">
        <v>-6.2970680057873752E-3</v>
      </c>
      <c r="O252" s="1" t="str">
        <f>HYPERLINK(".\sm_car_250531_2225\sm_car_250531_2225_251_Ca202TrN_MaCMF_ode23t_1.png","figure")</f>
        <v>figure</v>
      </c>
      <c r="P252" t="s">
        <v>15</v>
      </c>
      <c r="V252">
        <f>K252-'2022a_250601_0524'!K252</f>
        <v>-1</v>
      </c>
      <c r="W252" s="11">
        <f>V252/'2022a_250601_0524'!K252</f>
        <v>-5.455537370430987E-4</v>
      </c>
      <c r="X252">
        <f>L252-'2022a_250601_0524'!L252</f>
        <v>0.30235470000000042</v>
      </c>
      <c r="Y252" s="11">
        <f>X252/'2022a_250601_0524'!L252</f>
        <v>7.0251106568424093E-2</v>
      </c>
    </row>
    <row r="253" spans="1:25" x14ac:dyDescent="0.25">
      <c r="A253">
        <v>252</v>
      </c>
      <c r="B253">
        <v>202</v>
      </c>
      <c r="C253" t="s">
        <v>45</v>
      </c>
      <c r="D253" t="s">
        <v>35</v>
      </c>
      <c r="E253" t="s">
        <v>107</v>
      </c>
      <c r="F253" t="s">
        <v>19</v>
      </c>
      <c r="G253" t="s">
        <v>20</v>
      </c>
      <c r="H253" t="s">
        <v>21</v>
      </c>
      <c r="I253" t="s">
        <v>80</v>
      </c>
      <c r="J253" t="s">
        <v>23</v>
      </c>
      <c r="K253">
        <v>4453</v>
      </c>
      <c r="L253">
        <v>23.144658499999998</v>
      </c>
      <c r="M253">
        <v>-329.32191795099794</v>
      </c>
      <c r="N253">
        <v>5.8397593116200452</v>
      </c>
      <c r="O253" s="1" t="str">
        <f>HYPERLINK(".\sm_car_250531_2225\sm_car_250531_2225_252_Ca202TrN_MaMPO_ode23t_1.png","figure")</f>
        <v>figure</v>
      </c>
      <c r="P253" t="s">
        <v>15</v>
      </c>
      <c r="V253">
        <f>K253-'2022a_250601_0524'!K253</f>
        <v>-67</v>
      </c>
      <c r="W253" s="11">
        <f>V253/'2022a_250601_0524'!K253</f>
        <v>-1.4823008849557522E-2</v>
      </c>
      <c r="X253">
        <f>L253-'2022a_250601_0524'!L253</f>
        <v>-2.0529008000000033</v>
      </c>
      <c r="Y253" s="11">
        <f>X253/'2022a_250601_0524'!L253</f>
        <v>-8.1472208302333593E-2</v>
      </c>
    </row>
    <row r="254" spans="1:25" x14ac:dyDescent="0.25">
      <c r="A254">
        <v>253</v>
      </c>
      <c r="B254">
        <v>202</v>
      </c>
      <c r="C254" t="s">
        <v>45</v>
      </c>
      <c r="D254" t="s">
        <v>35</v>
      </c>
      <c r="E254" t="s">
        <v>107</v>
      </c>
      <c r="F254" t="s">
        <v>19</v>
      </c>
      <c r="G254" t="s">
        <v>20</v>
      </c>
      <c r="H254" t="s">
        <v>21</v>
      </c>
      <c r="I254" t="s">
        <v>81</v>
      </c>
      <c r="J254" t="s">
        <v>23</v>
      </c>
      <c r="K254">
        <v>1206</v>
      </c>
      <c r="L254">
        <v>6.3261390999999998</v>
      </c>
      <c r="M254">
        <v>-13.817658524580104</v>
      </c>
      <c r="N254">
        <v>0.23622475022077083</v>
      </c>
      <c r="O254" s="1" t="str">
        <f>HYPERLINK(".\sm_car_250531_2225\sm_car_250531_2225_253_Ca202TrN_MaMCI_ode23t_1.png","figure")</f>
        <v>figure</v>
      </c>
      <c r="P254" t="s">
        <v>15</v>
      </c>
      <c r="V254">
        <f>K254-'2022a_250601_0524'!K254</f>
        <v>20</v>
      </c>
      <c r="W254" s="11">
        <f>V254/'2022a_250601_0524'!K254</f>
        <v>1.6863406408094434E-2</v>
      </c>
      <c r="X254">
        <f>L254-'2022a_250601_0524'!L254</f>
        <v>-0.97783960000000025</v>
      </c>
      <c r="Y254" s="11">
        <f>X254/'2022a_250601_0524'!L254</f>
        <v>-0.13387766314269239</v>
      </c>
    </row>
    <row r="255" spans="1:25" x14ac:dyDescent="0.25">
      <c r="A255">
        <v>254</v>
      </c>
      <c r="B255">
        <v>202</v>
      </c>
      <c r="C255" t="s">
        <v>45</v>
      </c>
      <c r="D255" t="s">
        <v>35</v>
      </c>
      <c r="E255" t="s">
        <v>107</v>
      </c>
      <c r="F255" t="s">
        <v>19</v>
      </c>
      <c r="G255" t="s">
        <v>20</v>
      </c>
      <c r="H255" t="s">
        <v>21</v>
      </c>
      <c r="I255" t="s">
        <v>83</v>
      </c>
      <c r="J255" t="s">
        <v>23</v>
      </c>
      <c r="K255">
        <v>3591</v>
      </c>
      <c r="L255">
        <v>10.0443695</v>
      </c>
      <c r="M255">
        <v>-5.9989356787411685</v>
      </c>
      <c r="N255">
        <v>-2.4283408440701031E-2</v>
      </c>
      <c r="O255" s="1" t="str">
        <f>HYPERLINK(".\sm_car_250531_2225\sm_car_250531_2225_254_Ca202TrN_MaCKF_ode23t_1.png","figure")</f>
        <v>figure</v>
      </c>
      <c r="P255" t="s">
        <v>15</v>
      </c>
      <c r="V255">
        <f>K255-'2022a_250601_0524'!K255</f>
        <v>-21</v>
      </c>
      <c r="W255" s="11">
        <f>V255/'2022a_250601_0524'!K255</f>
        <v>-5.8139534883720929E-3</v>
      </c>
      <c r="X255">
        <f>L255-'2022a_250601_0524'!L255</f>
        <v>0.71148610000000012</v>
      </c>
      <c r="Y255" s="11">
        <f>X255/'2022a_250601_0524'!L255</f>
        <v>7.6234328610598534E-2</v>
      </c>
    </row>
    <row r="256" spans="1:25" x14ac:dyDescent="0.25">
      <c r="A256">
        <v>255</v>
      </c>
      <c r="B256">
        <v>202</v>
      </c>
      <c r="C256" t="s">
        <v>45</v>
      </c>
      <c r="D256" t="s">
        <v>35</v>
      </c>
      <c r="E256" t="s">
        <v>107</v>
      </c>
      <c r="F256" t="s">
        <v>19</v>
      </c>
      <c r="G256" t="s">
        <v>20</v>
      </c>
      <c r="H256" t="s">
        <v>21</v>
      </c>
      <c r="I256" t="s">
        <v>85</v>
      </c>
      <c r="J256" t="s">
        <v>23</v>
      </c>
      <c r="K256">
        <v>10409</v>
      </c>
      <c r="L256">
        <v>109.71952020000001</v>
      </c>
      <c r="M256">
        <v>-8.9934981542116503</v>
      </c>
      <c r="N256">
        <v>4.6089901786531662E-2</v>
      </c>
      <c r="O256" s="1" t="str">
        <f>HYPERLINK(".\sm_car_250531_2225\sm_car_250531_2225_255_Ca202TrN_MaCNF_ode23t_1.png","figure")</f>
        <v>figure</v>
      </c>
      <c r="P256" t="s">
        <v>15</v>
      </c>
      <c r="V256">
        <f>K256-'2022a_250601_0524'!K256</f>
        <v>193</v>
      </c>
      <c r="W256" s="11">
        <f>V256/'2022a_250601_0524'!K256</f>
        <v>1.8891934220830072E-2</v>
      </c>
      <c r="X256">
        <f>L256-'2022a_250601_0524'!L256</f>
        <v>0.80344080000000417</v>
      </c>
      <c r="Y256" s="11">
        <f>X256/'2022a_250601_0524'!L256</f>
        <v>7.3766959334748529E-3</v>
      </c>
    </row>
    <row r="257" spans="1:25" x14ac:dyDescent="0.25">
      <c r="A257">
        <v>256</v>
      </c>
      <c r="B257">
        <v>202</v>
      </c>
      <c r="C257" t="s">
        <v>45</v>
      </c>
      <c r="D257" t="s">
        <v>35</v>
      </c>
      <c r="E257" t="s">
        <v>107</v>
      </c>
      <c r="F257" t="s">
        <v>19</v>
      </c>
      <c r="G257" t="s">
        <v>20</v>
      </c>
      <c r="H257" t="s">
        <v>21</v>
      </c>
      <c r="I257" t="s">
        <v>87</v>
      </c>
      <c r="J257" t="s">
        <v>23</v>
      </c>
      <c r="K257">
        <v>5783</v>
      </c>
      <c r="L257">
        <v>47.274348600000003</v>
      </c>
      <c r="M257">
        <v>-8.9833263790702809</v>
      </c>
      <c r="N257">
        <v>8.1079667055905819E-3</v>
      </c>
      <c r="O257" s="1" t="str">
        <f>HYPERLINK(".\sm_car_250531_2225\sm_car_250531_2225_256_Ca202TrN_MaCSF_ode23t_1.png","figure")</f>
        <v>figure</v>
      </c>
      <c r="P257" t="s">
        <v>15</v>
      </c>
      <c r="V257">
        <f>K257-'2022a_250601_0524'!K257</f>
        <v>83</v>
      </c>
      <c r="W257" s="11">
        <f>V257/'2022a_250601_0524'!K257</f>
        <v>1.456140350877193E-2</v>
      </c>
      <c r="X257">
        <f>L257-'2022a_250601_0524'!L257</f>
        <v>0.64526220000000478</v>
      </c>
      <c r="Y257" s="11">
        <f>X257/'2022a_250601_0524'!L257</f>
        <v>1.3838190919391567E-2</v>
      </c>
    </row>
    <row r="258" spans="1:25" x14ac:dyDescent="0.25">
      <c r="A258">
        <v>257</v>
      </c>
      <c r="B258">
        <v>202</v>
      </c>
      <c r="C258" t="s">
        <v>45</v>
      </c>
      <c r="D258" t="s">
        <v>35</v>
      </c>
      <c r="E258" t="s">
        <v>107</v>
      </c>
      <c r="F258" t="s">
        <v>19</v>
      </c>
      <c r="G258" t="s">
        <v>20</v>
      </c>
      <c r="H258" t="s">
        <v>21</v>
      </c>
      <c r="I258" t="s">
        <v>78</v>
      </c>
      <c r="J258" t="s">
        <v>23</v>
      </c>
      <c r="K258">
        <v>5416</v>
      </c>
      <c r="L258">
        <v>19.532319099999999</v>
      </c>
      <c r="M258">
        <v>-5.9959825679866974</v>
      </c>
      <c r="N258">
        <v>-6.1028729034417707E-3</v>
      </c>
      <c r="O258" s="1" t="str">
        <f>HYPERLINK(".\sm_car_250531_2225\sm_car_250531_2225_257_Ca202TrN_MaCMP_ode23t_1.png","figure")</f>
        <v>figure</v>
      </c>
      <c r="P258" t="s">
        <v>15</v>
      </c>
      <c r="V258">
        <f>K258-'2022a_250601_0524'!K258</f>
        <v>-2</v>
      </c>
      <c r="W258" s="11">
        <f>V258/'2022a_250601_0524'!K258</f>
        <v>-3.6913990402362494E-4</v>
      </c>
      <c r="X258">
        <f>L258-'2022a_250601_0524'!L258</f>
        <v>0.95775379999999899</v>
      </c>
      <c r="Y258" s="11">
        <f>X258/'2022a_250601_0524'!L258</f>
        <v>5.1562649490375909E-2</v>
      </c>
    </row>
    <row r="259" spans="1:25" x14ac:dyDescent="0.25">
      <c r="A259">
        <v>258</v>
      </c>
      <c r="B259">
        <v>202</v>
      </c>
      <c r="C259" t="s">
        <v>45</v>
      </c>
      <c r="D259" t="s">
        <v>35</v>
      </c>
      <c r="E259" t="s">
        <v>107</v>
      </c>
      <c r="F259" t="s">
        <v>19</v>
      </c>
      <c r="G259" t="s">
        <v>20</v>
      </c>
      <c r="H259" t="s">
        <v>21</v>
      </c>
      <c r="I259" t="s">
        <v>82</v>
      </c>
      <c r="J259" t="s">
        <v>23</v>
      </c>
      <c r="K259">
        <v>15082</v>
      </c>
      <c r="L259">
        <v>55.079042899999997</v>
      </c>
      <c r="M259">
        <v>-5.999580669585284</v>
      </c>
      <c r="N259">
        <v>-2.6016513403504228E-2</v>
      </c>
      <c r="O259" s="1" t="str">
        <f>HYPERLINK(".\sm_car_250531_2225\sm_car_250531_2225_258_Ca202TrN_MaCKY_ode23t_1.png","figure")</f>
        <v>figure</v>
      </c>
      <c r="P259" t="s">
        <v>15</v>
      </c>
      <c r="V259">
        <f>K259-'2022a_250601_0524'!K259</f>
        <v>-18</v>
      </c>
      <c r="W259" s="11">
        <f>V259/'2022a_250601_0524'!K259</f>
        <v>-1.1920529801324503E-3</v>
      </c>
      <c r="X259">
        <f>L259-'2022a_250601_0524'!L259</f>
        <v>0.46244659999999982</v>
      </c>
      <c r="Y259" s="11">
        <f>X259/'2022a_250601_0524'!L259</f>
        <v>8.4671442625215334E-3</v>
      </c>
    </row>
    <row r="260" spans="1:25" x14ac:dyDescent="0.25">
      <c r="A260">
        <v>259</v>
      </c>
      <c r="B260">
        <v>202</v>
      </c>
      <c r="C260" t="s">
        <v>45</v>
      </c>
      <c r="D260" t="s">
        <v>35</v>
      </c>
      <c r="E260" t="s">
        <v>107</v>
      </c>
      <c r="F260" t="s">
        <v>19</v>
      </c>
      <c r="G260" t="s">
        <v>20</v>
      </c>
      <c r="H260" t="s">
        <v>21</v>
      </c>
      <c r="I260" t="s">
        <v>75</v>
      </c>
      <c r="J260" t="s">
        <v>23</v>
      </c>
      <c r="K260">
        <v>455</v>
      </c>
      <c r="L260">
        <v>2.5158116000000001</v>
      </c>
      <c r="M260">
        <v>381.04323470632642</v>
      </c>
      <c r="N260">
        <v>0.3335145224833066</v>
      </c>
      <c r="O260" s="1" t="str">
        <f>HYPERLINK(".\sm_car_250531_2225\sm_car_250531_2225_259_Ca202TrN_MaCPL_ode23t_1.png","figure")</f>
        <v>figure</v>
      </c>
      <c r="P260" t="s">
        <v>15</v>
      </c>
      <c r="V260">
        <f>K260-'2022a_250601_0524'!K260</f>
        <v>1</v>
      </c>
      <c r="W260" s="11">
        <f>V260/'2022a_250601_0524'!K260</f>
        <v>2.2026431718061676E-3</v>
      </c>
      <c r="X260">
        <f>L260-'2022a_250601_0524'!L260</f>
        <v>-7.2092999999999741E-2</v>
      </c>
      <c r="Y260" s="11">
        <f>X260/'2022a_250601_0524'!L260</f>
        <v>-2.7857672960587398E-2</v>
      </c>
    </row>
    <row r="261" spans="1:25" x14ac:dyDescent="0.25">
      <c r="A261">
        <v>260</v>
      </c>
      <c r="B261">
        <v>140</v>
      </c>
      <c r="C261" t="s">
        <v>45</v>
      </c>
      <c r="D261" t="s">
        <v>17</v>
      </c>
      <c r="E261" t="s">
        <v>49</v>
      </c>
      <c r="F261" t="s">
        <v>19</v>
      </c>
      <c r="G261" t="s">
        <v>26</v>
      </c>
      <c r="H261" t="s">
        <v>21</v>
      </c>
      <c r="I261" t="s">
        <v>112</v>
      </c>
      <c r="J261" t="s">
        <v>23</v>
      </c>
      <c r="K261">
        <v>2683</v>
      </c>
      <c r="L261">
        <v>40.385732699999998</v>
      </c>
      <c r="M261">
        <v>176.28236838311079</v>
      </c>
      <c r="N261">
        <v>6.7855543948698452E-4</v>
      </c>
      <c r="O261" s="1" t="str">
        <f>HYPERLINK(".\sm_car_250531_2225\sm_car_250531_2225_260_Ca140TrN_MaCRR_ode23t_1.png","figure")</f>
        <v>figure</v>
      </c>
      <c r="P261" t="s">
        <v>15</v>
      </c>
      <c r="V261">
        <f>K261-'2022a_250601_0524'!K261</f>
        <v>-43</v>
      </c>
      <c r="W261" s="11">
        <f>V261/'2022a_250601_0524'!K261</f>
        <v>-1.5774027879677181E-2</v>
      </c>
      <c r="X261">
        <f>L261-'2022a_250601_0524'!L261</f>
        <v>-1.7466567000000026</v>
      </c>
      <c r="Y261" s="11">
        <f>X261/'2022a_250601_0524'!L261</f>
        <v>-4.1456388419309598E-2</v>
      </c>
    </row>
    <row r="262" spans="1:25" x14ac:dyDescent="0.25">
      <c r="A262">
        <v>261</v>
      </c>
      <c r="B262">
        <v>189</v>
      </c>
      <c r="C262" t="s">
        <v>45</v>
      </c>
      <c r="D262" t="s">
        <v>17</v>
      </c>
      <c r="E262" t="s">
        <v>107</v>
      </c>
      <c r="F262" t="s">
        <v>19</v>
      </c>
      <c r="G262" t="s">
        <v>26</v>
      </c>
      <c r="H262" t="s">
        <v>21</v>
      </c>
      <c r="I262" t="s">
        <v>112</v>
      </c>
      <c r="J262" t="s">
        <v>23</v>
      </c>
      <c r="K262">
        <v>3366</v>
      </c>
      <c r="L262">
        <v>37.483022300000002</v>
      </c>
      <c r="M262">
        <v>176.34134859485351</v>
      </c>
      <c r="N262">
        <v>6.9893834487776694E-4</v>
      </c>
      <c r="O262" s="1" t="str">
        <f>HYPERLINK(".\sm_car_250531_2225\sm_car_250531_2225_261_Ca189TrN_MaCRR_ode23t_1.png","figure")</f>
        <v>figure</v>
      </c>
      <c r="P262" t="s">
        <v>15</v>
      </c>
      <c r="V262">
        <f>K262-'2022a_250601_0524'!K262</f>
        <v>22</v>
      </c>
      <c r="W262" s="11">
        <f>V262/'2022a_250601_0524'!K262</f>
        <v>6.5789473684210523E-3</v>
      </c>
      <c r="X262">
        <f>L262-'2022a_250601_0524'!L262</f>
        <v>-1.4098275999999998</v>
      </c>
      <c r="Y262" s="11">
        <f>X262/'2022a_250601_0524'!L262</f>
        <v>-3.6249017586134767E-2</v>
      </c>
    </row>
    <row r="263" spans="1:25" x14ac:dyDescent="0.25">
      <c r="A263">
        <v>262</v>
      </c>
      <c r="B263">
        <v>173</v>
      </c>
      <c r="C263" t="s">
        <v>45</v>
      </c>
      <c r="D263" t="s">
        <v>35</v>
      </c>
      <c r="E263" t="s">
        <v>49</v>
      </c>
      <c r="F263" t="s">
        <v>19</v>
      </c>
      <c r="G263" t="s">
        <v>90</v>
      </c>
      <c r="H263" t="s">
        <v>21</v>
      </c>
      <c r="I263" t="s">
        <v>91</v>
      </c>
      <c r="J263" t="s">
        <v>92</v>
      </c>
      <c r="K263">
        <v>1544</v>
      </c>
      <c r="L263">
        <v>55.991351600000002</v>
      </c>
      <c r="M263">
        <v>51.298906188174229</v>
      </c>
      <c r="N263">
        <v>9.1603186451271294E-3</v>
      </c>
      <c r="O263" s="1" t="str">
        <f>HYPERLINK(".\sm_car_250531_2225\sm_car_250531_2225_262_Ca173TrN_MaDCA_daessc_1.png","figure")</f>
        <v>figure</v>
      </c>
      <c r="P263" t="s">
        <v>15</v>
      </c>
      <c r="V263">
        <f>K263-'2022a_250601_0524'!K263</f>
        <v>-102</v>
      </c>
      <c r="W263" s="11">
        <f>V263/'2022a_250601_0524'!K263</f>
        <v>-6.1968408262454436E-2</v>
      </c>
      <c r="X263">
        <f>L263-'2022a_250601_0524'!L263</f>
        <v>-10.482204600000003</v>
      </c>
      <c r="Y263" s="11">
        <f>X263/'2022a_250601_0524'!L263</f>
        <v>-0.15768984238577569</v>
      </c>
    </row>
    <row r="264" spans="1:25" x14ac:dyDescent="0.25">
      <c r="A264">
        <v>263</v>
      </c>
      <c r="B264">
        <v>173</v>
      </c>
      <c r="C264" t="s">
        <v>45</v>
      </c>
      <c r="D264" t="s">
        <v>35</v>
      </c>
      <c r="E264" t="s">
        <v>49</v>
      </c>
      <c r="F264" t="s">
        <v>19</v>
      </c>
      <c r="G264" t="s">
        <v>90</v>
      </c>
      <c r="H264" t="s">
        <v>21</v>
      </c>
      <c r="I264" t="s">
        <v>93</v>
      </c>
      <c r="J264" t="s">
        <v>92</v>
      </c>
      <c r="K264">
        <v>4163</v>
      </c>
      <c r="L264">
        <v>108.550961</v>
      </c>
      <c r="M264">
        <v>980.46466282281574</v>
      </c>
      <c r="N264">
        <v>0.73482984112452543</v>
      </c>
      <c r="O264" s="1" t="str">
        <f>HYPERLINK(".\sm_car_250531_2225\sm_car_250531_2225_263_Ca173TrN_MaDC1_daessc_1.png","figure")</f>
        <v>figure</v>
      </c>
      <c r="P264" t="s">
        <v>15</v>
      </c>
      <c r="V264">
        <f>K264-'2022a_250601_0524'!K264</f>
        <v>155</v>
      </c>
      <c r="W264" s="11">
        <f>V264/'2022a_250601_0524'!K264</f>
        <v>3.8672654690618764E-2</v>
      </c>
      <c r="X264">
        <f>L264-'2022a_250601_0524'!L264</f>
        <v>9.5673414000000037</v>
      </c>
      <c r="Y264" s="11">
        <f>X264/'2022a_250601_0524'!L264</f>
        <v>9.6655804653965227E-2</v>
      </c>
    </row>
    <row r="265" spans="1:25" x14ac:dyDescent="0.25">
      <c r="A265">
        <v>264</v>
      </c>
      <c r="B265">
        <v>165</v>
      </c>
      <c r="C265" t="s">
        <v>45</v>
      </c>
      <c r="D265" t="s">
        <v>35</v>
      </c>
      <c r="E265" t="s">
        <v>49</v>
      </c>
      <c r="F265" t="s">
        <v>19</v>
      </c>
      <c r="G265" t="s">
        <v>26</v>
      </c>
      <c r="H265" t="s">
        <v>21</v>
      </c>
      <c r="I265" t="s">
        <v>91</v>
      </c>
      <c r="J265" t="s">
        <v>23</v>
      </c>
      <c r="K265">
        <v>339</v>
      </c>
      <c r="L265">
        <v>3.8061376999999998</v>
      </c>
      <c r="M265">
        <v>53.509077075066649</v>
      </c>
      <c r="N265">
        <v>1.0039275824066019E-2</v>
      </c>
      <c r="O265" s="1" t="str">
        <f>HYPERLINK(".\sm_car_250531_2225\sm_car_250531_2225_264_Ca165TrN_MaDCA_ode23t_1.png","figure")</f>
        <v>figure</v>
      </c>
      <c r="P265" t="s">
        <v>15</v>
      </c>
      <c r="V265">
        <f>K265-'2022a_250601_0524'!K265</f>
        <v>0</v>
      </c>
      <c r="W265" s="11">
        <f>V265/'2022a_250601_0524'!K265</f>
        <v>0</v>
      </c>
      <c r="X265">
        <f>L265-'2022a_250601_0524'!L265</f>
        <v>-8.1253999999999937E-2</v>
      </c>
      <c r="Y265" s="11">
        <f>X265/'2022a_250601_0524'!L265</f>
        <v>-2.0901932779246284E-2</v>
      </c>
    </row>
    <row r="266" spans="1:25" x14ac:dyDescent="0.25">
      <c r="A266">
        <v>265</v>
      </c>
      <c r="B266">
        <v>165</v>
      </c>
      <c r="C266" t="s">
        <v>45</v>
      </c>
      <c r="D266" t="s">
        <v>35</v>
      </c>
      <c r="E266" t="s">
        <v>49</v>
      </c>
      <c r="F266" t="s">
        <v>19</v>
      </c>
      <c r="G266" t="s">
        <v>26</v>
      </c>
      <c r="H266" t="s">
        <v>21</v>
      </c>
      <c r="I266" t="s">
        <v>93</v>
      </c>
      <c r="J266" t="s">
        <v>23</v>
      </c>
      <c r="K266">
        <v>1205</v>
      </c>
      <c r="L266">
        <v>7.8323081999999999</v>
      </c>
      <c r="M266">
        <v>992.65497886577782</v>
      </c>
      <c r="N266">
        <v>0.79687187688750794</v>
      </c>
      <c r="O266" s="1" t="str">
        <f>HYPERLINK(".\sm_car_250531_2225\sm_car_250531_2225_265_Ca165TrN_MaDC1_ode23t_1.png","figure")</f>
        <v>figure</v>
      </c>
      <c r="P266" t="s">
        <v>15</v>
      </c>
      <c r="V266">
        <f>K266-'2022a_250601_0524'!K266</f>
        <v>-2</v>
      </c>
      <c r="W266" s="11">
        <f>V266/'2022a_250601_0524'!K266</f>
        <v>-1.6570008285004142E-3</v>
      </c>
      <c r="X266">
        <f>L266-'2022a_250601_0524'!L266</f>
        <v>-0.94567699999999988</v>
      </c>
      <c r="Y266" s="11">
        <f>X266/'2022a_250601_0524'!L266</f>
        <v>-0.10773280866319983</v>
      </c>
    </row>
    <row r="267" spans="1:25" x14ac:dyDescent="0.25">
      <c r="A267">
        <v>266</v>
      </c>
      <c r="B267">
        <v>196</v>
      </c>
      <c r="C267" t="s">
        <v>45</v>
      </c>
      <c r="D267" t="s">
        <v>35</v>
      </c>
      <c r="E267" t="s">
        <v>107</v>
      </c>
      <c r="F267" t="s">
        <v>19</v>
      </c>
      <c r="G267" t="s">
        <v>90</v>
      </c>
      <c r="H267" t="s">
        <v>21</v>
      </c>
      <c r="I267" t="s">
        <v>93</v>
      </c>
      <c r="J267" t="s">
        <v>92</v>
      </c>
      <c r="K267">
        <v>4057</v>
      </c>
      <c r="L267">
        <v>50.103707499999999</v>
      </c>
      <c r="M267">
        <v>980.4611885529315</v>
      </c>
      <c r="N267">
        <v>0.73503776385960096</v>
      </c>
      <c r="O267" s="1" t="str">
        <f>HYPERLINK(".\sm_car_250531_2225\sm_car_250531_2225_266_Ca196TrN_MaDC1_daessc_1.png","figure")</f>
        <v>figure</v>
      </c>
      <c r="P267" t="s">
        <v>15</v>
      </c>
      <c r="V267">
        <f>K267-'2022a_250601_0524'!K267</f>
        <v>35</v>
      </c>
      <c r="W267" s="11">
        <f>V267/'2022a_250601_0524'!K267</f>
        <v>8.70213823968175E-3</v>
      </c>
      <c r="X267">
        <f>L267-'2022a_250601_0524'!L267</f>
        <v>0.97607789999999994</v>
      </c>
      <c r="Y267" s="11">
        <f>X267/'2022a_250601_0524'!L267</f>
        <v>1.986820670867458E-2</v>
      </c>
    </row>
    <row r="268" spans="1:25" x14ac:dyDescent="0.25">
      <c r="A268">
        <v>267</v>
      </c>
      <c r="B268">
        <v>179</v>
      </c>
      <c r="C268" t="s">
        <v>45</v>
      </c>
      <c r="D268" t="s">
        <v>57</v>
      </c>
      <c r="E268" t="s">
        <v>18</v>
      </c>
      <c r="F268" t="s">
        <v>19</v>
      </c>
      <c r="G268" t="s">
        <v>26</v>
      </c>
      <c r="H268" t="s">
        <v>21</v>
      </c>
      <c r="I268" t="s">
        <v>22</v>
      </c>
      <c r="J268" t="s">
        <v>23</v>
      </c>
      <c r="K268">
        <v>469</v>
      </c>
      <c r="L268">
        <v>4.7946739000000003</v>
      </c>
      <c r="M268">
        <v>147.79577462033984</v>
      </c>
      <c r="N268">
        <v>9.6896843636243471E-2</v>
      </c>
      <c r="O268" s="1" t="str">
        <f>HYPERLINK(".\sm_car_250531_2225\sm_car_250531_2225_267_Ca179TrN_MaWOT_ode23t_1.png","figure")</f>
        <v>figure</v>
      </c>
      <c r="P268" t="s">
        <v>15</v>
      </c>
      <c r="V268">
        <f>K268-'2022a_250601_0524'!K268</f>
        <v>-27</v>
      </c>
      <c r="W268" s="11">
        <f>V268/'2022a_250601_0524'!K268</f>
        <v>-5.4435483870967742E-2</v>
      </c>
      <c r="X268">
        <f>L268-'2022a_250601_0524'!L268</f>
        <v>-0.96826729999999994</v>
      </c>
      <c r="Y268" s="11">
        <f>X268/'2022a_250601_0524'!L268</f>
        <v>-0.16801616854948995</v>
      </c>
    </row>
    <row r="269" spans="1:25" x14ac:dyDescent="0.25">
      <c r="A269">
        <v>268</v>
      </c>
      <c r="B269">
        <v>180</v>
      </c>
      <c r="C269" t="s">
        <v>45</v>
      </c>
      <c r="D269" t="s">
        <v>57</v>
      </c>
      <c r="E269" t="s">
        <v>49</v>
      </c>
      <c r="F269" t="s">
        <v>19</v>
      </c>
      <c r="G269" t="s">
        <v>26</v>
      </c>
      <c r="H269" t="s">
        <v>21</v>
      </c>
      <c r="I269" t="s">
        <v>22</v>
      </c>
      <c r="J269" t="s">
        <v>23</v>
      </c>
      <c r="K269">
        <v>508</v>
      </c>
      <c r="L269">
        <v>7.0164315999999998</v>
      </c>
      <c r="M269">
        <v>147.84980388293806</v>
      </c>
      <c r="N269">
        <v>9.6056388603589504E-2</v>
      </c>
      <c r="O269" s="1" t="str">
        <f>HYPERLINK(".\sm_car_250531_2225\sm_car_250531_2225_268_Ca180TrN_MaWOT_ode23t_1.png","figure")</f>
        <v>figure</v>
      </c>
      <c r="P269" t="s">
        <v>15</v>
      </c>
      <c r="V269">
        <f>K269-'2022a_250601_0524'!K269</f>
        <v>0</v>
      </c>
      <c r="W269" s="11">
        <f>V269/'2022a_250601_0524'!K269</f>
        <v>0</v>
      </c>
      <c r="X269">
        <f>L269-'2022a_250601_0524'!L269</f>
        <v>-0.59304660000000009</v>
      </c>
      <c r="Y269" s="11">
        <f>X269/'2022a_250601_0524'!L269</f>
        <v>-7.7935251854719834E-2</v>
      </c>
    </row>
    <row r="270" spans="1:25" x14ac:dyDescent="0.25">
      <c r="A270">
        <v>269</v>
      </c>
      <c r="B270">
        <v>197</v>
      </c>
      <c r="C270" t="s">
        <v>45</v>
      </c>
      <c r="D270" t="s">
        <v>57</v>
      </c>
      <c r="E270" t="s">
        <v>107</v>
      </c>
      <c r="F270" t="s">
        <v>19</v>
      </c>
      <c r="G270" t="s">
        <v>26</v>
      </c>
      <c r="H270" t="s">
        <v>21</v>
      </c>
      <c r="I270" t="s">
        <v>22</v>
      </c>
      <c r="J270" t="s">
        <v>23</v>
      </c>
      <c r="K270">
        <v>458</v>
      </c>
      <c r="L270">
        <v>2.2372955000000001</v>
      </c>
      <c r="M270">
        <v>147.84410192199061</v>
      </c>
      <c r="N270">
        <v>9.6083867831797176E-2</v>
      </c>
      <c r="O270" s="1" t="str">
        <f>HYPERLINK(".\sm_car_250531_2225\sm_car_250531_2225_269_Ca197TrN_MaWOT_ode23t_1.png","figure")</f>
        <v>figure</v>
      </c>
      <c r="P270" t="s">
        <v>15</v>
      </c>
      <c r="V270">
        <f>K270-'2022a_250601_0524'!K270</f>
        <v>11</v>
      </c>
      <c r="W270" s="11">
        <f>V270/'2022a_250601_0524'!K270</f>
        <v>2.4608501118568233E-2</v>
      </c>
      <c r="X270">
        <f>L270-'2022a_250601_0524'!L270</f>
        <v>-7.6521000000000505E-3</v>
      </c>
      <c r="Y270" s="11">
        <f>X270/'2022a_250601_0524'!L270</f>
        <v>-3.4085873541102028E-3</v>
      </c>
    </row>
    <row r="271" spans="1:25" x14ac:dyDescent="0.25">
      <c r="A271">
        <v>270</v>
      </c>
      <c r="B271">
        <v>182</v>
      </c>
      <c r="C271" t="s">
        <v>45</v>
      </c>
      <c r="D271" t="s">
        <v>17</v>
      </c>
      <c r="E271" t="s">
        <v>49</v>
      </c>
      <c r="F271" t="s">
        <v>19</v>
      </c>
      <c r="G271" t="s">
        <v>26</v>
      </c>
      <c r="H271" t="s">
        <v>21</v>
      </c>
      <c r="I271" t="s">
        <v>64</v>
      </c>
      <c r="J271" t="s">
        <v>23</v>
      </c>
      <c r="K271">
        <v>425</v>
      </c>
      <c r="L271">
        <v>12.6595251</v>
      </c>
      <c r="M271">
        <v>62.247790880992</v>
      </c>
      <c r="N271">
        <v>-24.541572966824855</v>
      </c>
      <c r="O271" s="1" t="str">
        <f>HYPERLINK(".\sm_car_250531_2225\sm_car_250531_2225_270_Ca182TrN_MaTUR_ode23t_1.png","figure")</f>
        <v>figure</v>
      </c>
      <c r="P271" t="s">
        <v>15</v>
      </c>
      <c r="V271">
        <f>K271-'2022a_250601_0524'!K271</f>
        <v>0</v>
      </c>
      <c r="W271" s="11">
        <f>V271/'2022a_250601_0524'!K271</f>
        <v>0</v>
      </c>
      <c r="X271">
        <f>L271-'2022a_250601_0524'!L271</f>
        <v>-0.70268830000000015</v>
      </c>
      <c r="Y271" s="11">
        <f>X271/'2022a_250601_0524'!L271</f>
        <v>-5.2587717241516299E-2</v>
      </c>
    </row>
    <row r="272" spans="1:25" x14ac:dyDescent="0.25">
      <c r="A272">
        <v>271</v>
      </c>
      <c r="B272">
        <v>203</v>
      </c>
      <c r="C272" t="s">
        <v>45</v>
      </c>
      <c r="D272" t="s">
        <v>17</v>
      </c>
      <c r="E272" t="s">
        <v>107</v>
      </c>
      <c r="F272" t="s">
        <v>19</v>
      </c>
      <c r="G272" t="s">
        <v>26</v>
      </c>
      <c r="H272" t="s">
        <v>21</v>
      </c>
      <c r="I272" t="s">
        <v>64</v>
      </c>
      <c r="J272" t="s">
        <v>23</v>
      </c>
      <c r="K272">
        <v>368</v>
      </c>
      <c r="L272">
        <v>4.7729606000000002</v>
      </c>
      <c r="M272">
        <v>62.254814014817171</v>
      </c>
      <c r="N272">
        <v>-24.556623537306013</v>
      </c>
      <c r="O272" s="1" t="str">
        <f>HYPERLINK(".\sm_car_250531_2225\sm_car_250531_2225_271_Ca203TrN_MaTUR_ode23t_1.png","figure")</f>
        <v>figure</v>
      </c>
      <c r="P272" t="s">
        <v>15</v>
      </c>
      <c r="V272">
        <f>K272-'2022a_250601_0524'!K272</f>
        <v>0</v>
      </c>
      <c r="W272" s="11">
        <f>V272/'2022a_250601_0524'!K272</f>
        <v>0</v>
      </c>
      <c r="X272">
        <f>L272-'2022a_250601_0524'!L272</f>
        <v>8.1487400000000321E-2</v>
      </c>
      <c r="Y272" s="11">
        <f>X272/'2022a_250601_0524'!L272</f>
        <v>1.7369256207197415E-2</v>
      </c>
    </row>
    <row r="273" spans="1:25" x14ac:dyDescent="0.25">
      <c r="A273">
        <v>272</v>
      </c>
      <c r="B273">
        <v>185</v>
      </c>
      <c r="C273" t="s">
        <v>45</v>
      </c>
      <c r="D273" t="s">
        <v>17</v>
      </c>
      <c r="E273" t="s">
        <v>18</v>
      </c>
      <c r="F273" t="s">
        <v>19</v>
      </c>
      <c r="G273" t="s">
        <v>26</v>
      </c>
      <c r="H273" t="s">
        <v>21</v>
      </c>
      <c r="I273" t="s">
        <v>64</v>
      </c>
      <c r="J273" t="s">
        <v>23</v>
      </c>
      <c r="K273">
        <v>515</v>
      </c>
      <c r="L273">
        <v>20.770143699999998</v>
      </c>
      <c r="M273">
        <v>112.7068315345371</v>
      </c>
      <c r="N273">
        <v>-79.241208826314192</v>
      </c>
      <c r="O273" s="1" t="str">
        <f>HYPERLINK(".\sm_car_250531_2225\sm_car_250531_2225_272_Ca185TrN_MaTUR_ode23t_1.png","figure")</f>
        <v>figure</v>
      </c>
      <c r="P273" t="s">
        <v>15</v>
      </c>
      <c r="V273">
        <f>K273-'2022a_250601_0524'!K273</f>
        <v>0</v>
      </c>
      <c r="W273" s="11">
        <f>V273/'2022a_250601_0524'!K273</f>
        <v>0</v>
      </c>
      <c r="X273">
        <f>L273-'2022a_250601_0524'!L273</f>
        <v>-1.9514644000000025</v>
      </c>
      <c r="Y273" s="11">
        <f>X273/'2022a_250601_0524'!L273</f>
        <v>-8.588584009597465E-2</v>
      </c>
    </row>
    <row r="274" spans="1:25" x14ac:dyDescent="0.25">
      <c r="A274">
        <v>273</v>
      </c>
      <c r="B274">
        <v>188</v>
      </c>
      <c r="C274" t="s">
        <v>45</v>
      </c>
      <c r="D274" t="s">
        <v>113</v>
      </c>
      <c r="E274" t="s">
        <v>49</v>
      </c>
      <c r="F274" t="s">
        <v>19</v>
      </c>
      <c r="G274" t="s">
        <v>26</v>
      </c>
      <c r="H274" t="s">
        <v>21</v>
      </c>
      <c r="I274" t="s">
        <v>64</v>
      </c>
      <c r="J274" t="s">
        <v>23</v>
      </c>
      <c r="K274">
        <v>538</v>
      </c>
      <c r="L274">
        <v>7.1566890000000001</v>
      </c>
      <c r="M274">
        <v>140.60859017668929</v>
      </c>
      <c r="N274">
        <v>-71.740086664623803</v>
      </c>
      <c r="O274" s="1" t="str">
        <f>HYPERLINK(".\sm_car_250531_2225\sm_car_250531_2225_273_Ca188TrN_MaTUR_ode23t_1.png","figure")</f>
        <v>figure</v>
      </c>
      <c r="P274" t="s">
        <v>15</v>
      </c>
      <c r="V274">
        <f>K274-'2022a_250601_0524'!K274</f>
        <v>0</v>
      </c>
      <c r="W274" s="11">
        <f>V274/'2022a_250601_0524'!K274</f>
        <v>0</v>
      </c>
      <c r="X274">
        <f>L274-'2022a_250601_0524'!L274</f>
        <v>-0.51128299999999971</v>
      </c>
      <c r="Y274" s="11">
        <f>X274/'2022a_250601_0524'!L274</f>
        <v>-6.6677734347491066E-2</v>
      </c>
    </row>
    <row r="275" spans="1:25" x14ac:dyDescent="0.25">
      <c r="A275">
        <v>274</v>
      </c>
      <c r="B275" t="s">
        <v>94</v>
      </c>
      <c r="C275" t="s">
        <v>95</v>
      </c>
      <c r="D275" t="s">
        <v>35</v>
      </c>
      <c r="E275" t="s">
        <v>18</v>
      </c>
      <c r="F275" t="s">
        <v>19</v>
      </c>
      <c r="G275" t="s">
        <v>96</v>
      </c>
      <c r="H275" t="s">
        <v>21</v>
      </c>
      <c r="I275" t="s">
        <v>22</v>
      </c>
      <c r="J275" t="s">
        <v>23</v>
      </c>
      <c r="K275">
        <v>441</v>
      </c>
      <c r="L275">
        <v>14.5206938</v>
      </c>
      <c r="M275">
        <v>79.220922629445354</v>
      </c>
      <c r="N275">
        <v>-0.33365900389598846</v>
      </c>
      <c r="O275" s="1" t="str">
        <f>HYPERLINK(".\sm_car_250531_2225\sm_car_Axle3_250531_2225_274_CaAxle3_000TrN_MaWOT_ode23t_1.png","figure")</f>
        <v>figure</v>
      </c>
      <c r="P275" t="s">
        <v>15</v>
      </c>
      <c r="V275">
        <f>K275-'2022a_250601_0524'!K275</f>
        <v>0</v>
      </c>
      <c r="W275" s="11">
        <f>V275/'2022a_250601_0524'!K275</f>
        <v>0</v>
      </c>
      <c r="X275">
        <f>L275-'2022a_250601_0524'!L275</f>
        <v>0.50464930000000052</v>
      </c>
      <c r="Y275" s="11">
        <f>X275/'2022a_250601_0524'!L275</f>
        <v>3.600511542325658E-2</v>
      </c>
    </row>
    <row r="276" spans="1:25" x14ac:dyDescent="0.25">
      <c r="A276">
        <v>275</v>
      </c>
      <c r="B276" t="s">
        <v>99</v>
      </c>
      <c r="C276" t="s">
        <v>100</v>
      </c>
      <c r="D276" t="s">
        <v>35</v>
      </c>
      <c r="E276" t="s">
        <v>18</v>
      </c>
      <c r="F276" t="s">
        <v>19</v>
      </c>
      <c r="G276" t="s">
        <v>96</v>
      </c>
      <c r="H276" t="s">
        <v>21</v>
      </c>
      <c r="I276" t="s">
        <v>22</v>
      </c>
      <c r="J276" t="s">
        <v>23</v>
      </c>
      <c r="K276">
        <v>476</v>
      </c>
      <c r="L276">
        <v>12.8577333</v>
      </c>
      <c r="M276">
        <v>68.926561662831958</v>
      </c>
      <c r="N276">
        <v>8.3279586275803619E-2</v>
      </c>
      <c r="O276" s="1" t="str">
        <f>HYPERLINK(".\sm_car_250531_2225\sm_car_Axle3_250531_2225_275_CaAxle3_008TrN_MaWOT_ode23t_1.png","figure")</f>
        <v>figure</v>
      </c>
      <c r="P276" t="s">
        <v>15</v>
      </c>
      <c r="V276">
        <f>K276-'2022a_250601_0524'!K276</f>
        <v>0</v>
      </c>
      <c r="W276" s="11">
        <f>V276/'2022a_250601_0524'!K276</f>
        <v>0</v>
      </c>
      <c r="X276">
        <f>L276-'2022a_250601_0524'!L276</f>
        <v>8.2283000000000328E-2</v>
      </c>
      <c r="Y276" s="11">
        <f>X276/'2022a_250601_0524'!L276</f>
        <v>6.4407123089821995E-3</v>
      </c>
    </row>
    <row r="277" spans="1:25" x14ac:dyDescent="0.25">
      <c r="A277">
        <v>276</v>
      </c>
      <c r="B277" t="s">
        <v>97</v>
      </c>
      <c r="C277" t="s">
        <v>95</v>
      </c>
      <c r="D277" t="s">
        <v>35</v>
      </c>
      <c r="E277" t="s">
        <v>49</v>
      </c>
      <c r="F277" t="s">
        <v>19</v>
      </c>
      <c r="G277" t="s">
        <v>98</v>
      </c>
      <c r="H277" t="s">
        <v>21</v>
      </c>
      <c r="I277" t="s">
        <v>22</v>
      </c>
      <c r="J277" t="s">
        <v>23</v>
      </c>
      <c r="K277">
        <v>426</v>
      </c>
      <c r="L277">
        <v>13.3633621</v>
      </c>
      <c r="M277">
        <v>79.265706861750871</v>
      </c>
      <c r="N277">
        <v>-0.31323883463624247</v>
      </c>
      <c r="O277" s="1" t="str">
        <f>HYPERLINK(".\sm_car_250531_2225\sm_car_Axle3_250531_2225_276_CaAxle3_003TrN_MaWOT_ode23t_1.png","figure")</f>
        <v>figure</v>
      </c>
      <c r="P277" t="s">
        <v>15</v>
      </c>
      <c r="V277">
        <f>K277-'2022a_250601_0524'!K277</f>
        <v>0</v>
      </c>
      <c r="W277" s="11">
        <f>V277/'2022a_250601_0524'!K277</f>
        <v>0</v>
      </c>
      <c r="X277">
        <f>L277-'2022a_250601_0524'!L277</f>
        <v>-0.20952699999999957</v>
      </c>
      <c r="Y277" s="11">
        <f>X277/'2022a_250601_0524'!L277</f>
        <v>-1.543717026318292E-2</v>
      </c>
    </row>
    <row r="278" spans="1:25" x14ac:dyDescent="0.25">
      <c r="A278">
        <v>277</v>
      </c>
      <c r="B278" t="s">
        <v>114</v>
      </c>
      <c r="C278" t="s">
        <v>95</v>
      </c>
      <c r="D278" t="s">
        <v>35</v>
      </c>
      <c r="E278" t="s">
        <v>107</v>
      </c>
      <c r="F278" t="s">
        <v>19</v>
      </c>
      <c r="G278" t="s">
        <v>98</v>
      </c>
      <c r="H278" t="s">
        <v>21</v>
      </c>
      <c r="I278" t="s">
        <v>22</v>
      </c>
      <c r="J278" t="s">
        <v>23</v>
      </c>
      <c r="K278">
        <v>427</v>
      </c>
      <c r="L278">
        <v>2.1480329</v>
      </c>
      <c r="M278">
        <v>80.145520056216895</v>
      </c>
      <c r="N278">
        <v>-0.31945069771391377</v>
      </c>
      <c r="O278" s="1" t="str">
        <f>HYPERLINK(".\sm_car_250531_2225\sm_car_Axle3_250531_2225_277_CaAxle3_017TrN_MaWOT_ode23t_1.png","figure")</f>
        <v>figure</v>
      </c>
      <c r="P278" t="s">
        <v>15</v>
      </c>
      <c r="V278">
        <f>K278-'2022a_250601_0524'!K278</f>
        <v>0</v>
      </c>
      <c r="W278" s="11">
        <f>V278/'2022a_250601_0524'!K278</f>
        <v>0</v>
      </c>
      <c r="X278">
        <f>L278-'2022a_250601_0524'!L278</f>
        <v>-1.10456000000001E-2</v>
      </c>
      <c r="Y278" s="11">
        <f>X278/'2022a_250601_0524'!L278</f>
        <v>-5.1158862449883595E-3</v>
      </c>
    </row>
    <row r="279" spans="1:25" x14ac:dyDescent="0.25">
      <c r="A279">
        <v>278</v>
      </c>
      <c r="B279" t="s">
        <v>101</v>
      </c>
      <c r="C279" t="s">
        <v>100</v>
      </c>
      <c r="D279" t="s">
        <v>35</v>
      </c>
      <c r="E279" t="s">
        <v>49</v>
      </c>
      <c r="F279" t="s">
        <v>19</v>
      </c>
      <c r="G279" t="s">
        <v>96</v>
      </c>
      <c r="H279" t="s">
        <v>102</v>
      </c>
      <c r="I279" t="s">
        <v>22</v>
      </c>
      <c r="J279" t="s">
        <v>23</v>
      </c>
      <c r="K279">
        <v>389</v>
      </c>
      <c r="L279">
        <v>34.258885900000003</v>
      </c>
      <c r="M279">
        <v>23.441197642076311</v>
      </c>
      <c r="N279">
        <v>2.5338231217298043E-3</v>
      </c>
      <c r="O279" s="1" t="str">
        <f>HYPERLINK(".\sm_car_250531_2225\sm_car_Axle3_250531_2225_278_CaAxle3_010TrK_MaWOT_ode23t_1.png","figure")</f>
        <v>figure</v>
      </c>
      <c r="P279" t="s">
        <v>15</v>
      </c>
      <c r="V279">
        <f>K279-'2022a_250601_0524'!K279</f>
        <v>0</v>
      </c>
      <c r="W279" s="11">
        <f>V279/'2022a_250601_0524'!K279</f>
        <v>0</v>
      </c>
      <c r="X279">
        <f>L279-'2022a_250601_0524'!L279</f>
        <v>-0.24558659999999577</v>
      </c>
      <c r="Y279" s="11">
        <f>X279/'2022a_250601_0524'!L279</f>
        <v>-7.1175294738963415E-3</v>
      </c>
    </row>
    <row r="280" spans="1:25" x14ac:dyDescent="0.25">
      <c r="A280">
        <v>279</v>
      </c>
      <c r="B280" t="s">
        <v>101</v>
      </c>
      <c r="C280" t="s">
        <v>100</v>
      </c>
      <c r="D280" t="s">
        <v>35</v>
      </c>
      <c r="E280" t="s">
        <v>49</v>
      </c>
      <c r="F280" t="s">
        <v>19</v>
      </c>
      <c r="G280" t="s">
        <v>96</v>
      </c>
      <c r="H280" t="s">
        <v>102</v>
      </c>
      <c r="I280" t="s">
        <v>22</v>
      </c>
      <c r="J280" t="s">
        <v>23</v>
      </c>
      <c r="K280">
        <v>408</v>
      </c>
      <c r="L280">
        <v>34.220621299999998</v>
      </c>
      <c r="M280">
        <v>23.429999926382738</v>
      </c>
      <c r="N280">
        <v>2.5300522592802965E-3</v>
      </c>
      <c r="O280" s="1" t="str">
        <f>HYPERLINK(".\sm_car_250531_2225\sm_car_Axle3_250531_2225_279_CaAxle3_010TrK_MaWOT_ode23t_1.png","figure")</f>
        <v>figure</v>
      </c>
      <c r="P280" t="s">
        <v>15</v>
      </c>
      <c r="V280">
        <f>K280-'2022a_250601_0524'!K280</f>
        <v>0</v>
      </c>
      <c r="W280" s="11">
        <f>V280/'2022a_250601_0524'!K280</f>
        <v>0</v>
      </c>
      <c r="X280">
        <f>L280-'2022a_250601_0524'!L280</f>
        <v>1.4093090999999944</v>
      </c>
      <c r="Y280" s="11">
        <f>X280/'2022a_250601_0524'!L280</f>
        <v>4.2951927414838179E-2</v>
      </c>
    </row>
    <row r="281" spans="1:25" x14ac:dyDescent="0.25">
      <c r="A281">
        <v>280</v>
      </c>
      <c r="B281" t="s">
        <v>115</v>
      </c>
      <c r="C281" t="s">
        <v>100</v>
      </c>
      <c r="D281" t="s">
        <v>35</v>
      </c>
      <c r="E281" t="s">
        <v>107</v>
      </c>
      <c r="F281" t="s">
        <v>19</v>
      </c>
      <c r="G281" t="s">
        <v>96</v>
      </c>
      <c r="H281" t="s">
        <v>102</v>
      </c>
      <c r="I281" t="s">
        <v>22</v>
      </c>
      <c r="J281" t="s">
        <v>23</v>
      </c>
      <c r="K281">
        <v>398</v>
      </c>
      <c r="L281">
        <v>2.8061484999999999</v>
      </c>
      <c r="M281">
        <v>26.938643279552089</v>
      </c>
      <c r="N281">
        <v>3.6338408759568099E-3</v>
      </c>
      <c r="O281" s="1" t="str">
        <f>HYPERLINK(".\sm_car_250531_2225\sm_car_Axle3_250531_2225_280_CaAxle3_019TrK_MaWOT_ode23t_1.png","figure")</f>
        <v>figure</v>
      </c>
      <c r="P281" t="s">
        <v>15</v>
      </c>
      <c r="V281">
        <f>K281-'2022a_250601_0524'!K281</f>
        <v>0</v>
      </c>
      <c r="W281" s="11">
        <f>V281/'2022a_250601_0524'!K281</f>
        <v>0</v>
      </c>
      <c r="X281">
        <f>L281-'2022a_250601_0524'!L281</f>
        <v>3.8879399999999897E-2</v>
      </c>
      <c r="Y281" s="11">
        <f>X281/'2022a_250601_0524'!L281</f>
        <v>1.4049735893050624E-2</v>
      </c>
    </row>
    <row r="282" spans="1:25" x14ac:dyDescent="0.25">
      <c r="A282">
        <v>281</v>
      </c>
      <c r="B282" t="s">
        <v>115</v>
      </c>
      <c r="C282" t="s">
        <v>100</v>
      </c>
      <c r="D282" t="s">
        <v>35</v>
      </c>
      <c r="E282" t="s">
        <v>107</v>
      </c>
      <c r="F282" t="s">
        <v>19</v>
      </c>
      <c r="G282" t="s">
        <v>96</v>
      </c>
      <c r="H282" t="s">
        <v>102</v>
      </c>
      <c r="I282" t="s">
        <v>22</v>
      </c>
      <c r="J282" t="s">
        <v>23</v>
      </c>
      <c r="K282">
        <v>407</v>
      </c>
      <c r="L282">
        <v>2.8689353999999998</v>
      </c>
      <c r="M282">
        <v>26.922858662192844</v>
      </c>
      <c r="N282">
        <v>3.6250774264289382E-3</v>
      </c>
      <c r="O282" s="1" t="str">
        <f>HYPERLINK(".\sm_car_250531_2225\sm_car_Axle3_250531_2225_281_CaAxle3_019TrK_MaWOT_ode23t_1.png","figure")</f>
        <v>figure</v>
      </c>
      <c r="P282" t="s">
        <v>15</v>
      </c>
      <c r="V282">
        <f>K282-'2022a_250601_0524'!K282</f>
        <v>0</v>
      </c>
      <c r="W282" s="11">
        <f>V282/'2022a_250601_0524'!K282</f>
        <v>0</v>
      </c>
      <c r="X282">
        <f>L282-'2022a_250601_0524'!L282</f>
        <v>-0.64187770000000022</v>
      </c>
      <c r="Y282" s="11">
        <f>X282/'2022a_250601_0524'!L282</f>
        <v>-0.18282878686991347</v>
      </c>
    </row>
    <row r="283" spans="1:25" x14ac:dyDescent="0.25">
      <c r="A283">
        <v>282</v>
      </c>
      <c r="B283" t="s">
        <v>115</v>
      </c>
      <c r="C283" t="s">
        <v>100</v>
      </c>
      <c r="D283" t="s">
        <v>35</v>
      </c>
      <c r="E283" t="s">
        <v>107</v>
      </c>
      <c r="F283" t="s">
        <v>19</v>
      </c>
      <c r="G283" t="s">
        <v>96</v>
      </c>
      <c r="H283" t="s">
        <v>102</v>
      </c>
      <c r="I283" t="s">
        <v>53</v>
      </c>
      <c r="J283" t="s">
        <v>23</v>
      </c>
      <c r="K283">
        <v>688</v>
      </c>
      <c r="L283">
        <v>4.6069025000000003</v>
      </c>
      <c r="M283">
        <v>253.84536403149775</v>
      </c>
      <c r="N283">
        <v>-0.10514927563352039</v>
      </c>
      <c r="O283" s="1" t="str">
        <f>HYPERLINK(".\sm_car_250531_2225\sm_car_Axle3_250531_2225_282_CaAxle3_019TrK_MaDLC_ode23t_1.png","figure")</f>
        <v>figure</v>
      </c>
      <c r="P283" t="s">
        <v>15</v>
      </c>
      <c r="V283">
        <f>K283-'2022a_250601_0524'!K283</f>
        <v>-11</v>
      </c>
      <c r="W283" s="11">
        <f>V283/'2022a_250601_0524'!K283</f>
        <v>-1.5736766809728183E-2</v>
      </c>
      <c r="X283">
        <f>L283-'2022a_250601_0524'!L283</f>
        <v>0.24969200000000047</v>
      </c>
      <c r="Y283" s="11">
        <f>X283/'2022a_250601_0524'!L283</f>
        <v>5.7305471011786208E-2</v>
      </c>
    </row>
    <row r="284" spans="1:25" x14ac:dyDescent="0.25">
      <c r="A284">
        <v>283</v>
      </c>
      <c r="B284" t="s">
        <v>115</v>
      </c>
      <c r="C284" t="s">
        <v>100</v>
      </c>
      <c r="D284" t="s">
        <v>35</v>
      </c>
      <c r="E284" t="s">
        <v>107</v>
      </c>
      <c r="F284" t="s">
        <v>19</v>
      </c>
      <c r="G284" t="s">
        <v>96</v>
      </c>
      <c r="H284" t="s">
        <v>102</v>
      </c>
      <c r="I284" t="s">
        <v>53</v>
      </c>
      <c r="J284" t="s">
        <v>23</v>
      </c>
      <c r="K284">
        <v>790</v>
      </c>
      <c r="L284">
        <v>4.7744555999999996</v>
      </c>
      <c r="M284">
        <v>253.87790477188014</v>
      </c>
      <c r="N284">
        <v>-0.1040298213269395</v>
      </c>
      <c r="O284" s="1" t="str">
        <f>HYPERLINK(".\sm_car_250531_2225\sm_car_Axle3_250531_2225_283_CaAxle3_019TrK_MaDLC_ode23t_1.png","figure")</f>
        <v>figure</v>
      </c>
      <c r="P284" t="s">
        <v>15</v>
      </c>
      <c r="V284">
        <f>K284-'2022a_250601_0524'!K284</f>
        <v>-2</v>
      </c>
      <c r="W284" s="11">
        <f>V284/'2022a_250601_0524'!K284</f>
        <v>-2.5252525252525255E-3</v>
      </c>
      <c r="X284">
        <f>L284-'2022a_250601_0524'!L284</f>
        <v>0.12775519999999929</v>
      </c>
      <c r="Y284" s="11">
        <f>X284/'2022a_250601_0524'!L284</f>
        <v>2.7493745884714083E-2</v>
      </c>
    </row>
    <row r="285" spans="1:25" x14ac:dyDescent="0.25">
      <c r="A285">
        <v>284</v>
      </c>
      <c r="B285" t="s">
        <v>115</v>
      </c>
      <c r="C285" t="s">
        <v>100</v>
      </c>
      <c r="D285" t="s">
        <v>35</v>
      </c>
      <c r="E285" t="s">
        <v>107</v>
      </c>
      <c r="F285" t="s">
        <v>19</v>
      </c>
      <c r="G285" t="s">
        <v>96</v>
      </c>
      <c r="H285" t="s">
        <v>102</v>
      </c>
      <c r="I285" t="s">
        <v>53</v>
      </c>
      <c r="J285" t="s">
        <v>23</v>
      </c>
      <c r="K285">
        <v>668</v>
      </c>
      <c r="L285">
        <v>4.6852210000000003</v>
      </c>
      <c r="M285">
        <v>254.56677099345757</v>
      </c>
      <c r="N285">
        <v>-0.10607780767875319</v>
      </c>
      <c r="O285" s="1" t="str">
        <f>HYPERLINK(".\sm_car_250531_2225\sm_car_Axle3_250531_2225_284_CaAxle3_019TrK_MaDLC_ode23t_1.png","figure")</f>
        <v>figure</v>
      </c>
      <c r="P285" t="s">
        <v>15</v>
      </c>
      <c r="V285">
        <f>K285-'2022a_250601_0524'!K285</f>
        <v>-17</v>
      </c>
      <c r="W285" s="11">
        <f>V285/'2022a_250601_0524'!K285</f>
        <v>-2.4817518248175182E-2</v>
      </c>
      <c r="X285">
        <f>L285-'2022a_250601_0524'!L285</f>
        <v>-0.29792409999999947</v>
      </c>
      <c r="Y285" s="11">
        <f>X285/'2022a_250601_0524'!L285</f>
        <v>-5.9786358619177971E-2</v>
      </c>
    </row>
    <row r="286" spans="1:25" x14ac:dyDescent="0.25">
      <c r="A286">
        <v>285</v>
      </c>
      <c r="B286" t="s">
        <v>115</v>
      </c>
      <c r="C286" t="s">
        <v>100</v>
      </c>
      <c r="D286" t="s">
        <v>35</v>
      </c>
      <c r="E286" t="s">
        <v>107</v>
      </c>
      <c r="F286" t="s">
        <v>19</v>
      </c>
      <c r="G286" t="s">
        <v>96</v>
      </c>
      <c r="H286" t="s">
        <v>102</v>
      </c>
      <c r="I286" t="s">
        <v>53</v>
      </c>
      <c r="J286" t="s">
        <v>23</v>
      </c>
      <c r="K286">
        <v>921</v>
      </c>
      <c r="L286">
        <v>5.1927298000000004</v>
      </c>
      <c r="M286">
        <v>253.46908796506602</v>
      </c>
      <c r="N286">
        <v>-9.783082857833314E-2</v>
      </c>
      <c r="O286" s="1" t="str">
        <f>HYPERLINK(".\sm_car_250531_2225\sm_car_Axle3_250531_2225_285_CaAxle3_019TrK_MaDLC_ode23t_1.png","figure")</f>
        <v>figure</v>
      </c>
      <c r="P286" t="s">
        <v>15</v>
      </c>
      <c r="V286">
        <f>K286-'2022a_250601_0524'!K286</f>
        <v>-6</v>
      </c>
      <c r="W286" s="11">
        <f>V286/'2022a_250601_0524'!K286</f>
        <v>-6.4724919093851136E-3</v>
      </c>
      <c r="X286">
        <f>L286-'2022a_250601_0524'!L286</f>
        <v>-5.3311899999999746E-2</v>
      </c>
      <c r="Y286" s="11">
        <f>X286/'2022a_250601_0524'!L286</f>
        <v>-1.016230961336044E-2</v>
      </c>
    </row>
    <row r="287" spans="1:25" x14ac:dyDescent="0.25">
      <c r="A287">
        <v>286</v>
      </c>
      <c r="B287" t="s">
        <v>138</v>
      </c>
      <c r="C287" t="s">
        <v>139</v>
      </c>
      <c r="D287" t="s">
        <v>35</v>
      </c>
      <c r="E287" t="s">
        <v>49</v>
      </c>
      <c r="F287" t="s">
        <v>19</v>
      </c>
      <c r="G287" t="s">
        <v>96</v>
      </c>
      <c r="H287" t="s">
        <v>102</v>
      </c>
      <c r="I287" t="s">
        <v>22</v>
      </c>
      <c r="J287" t="s">
        <v>23</v>
      </c>
      <c r="K287">
        <v>346</v>
      </c>
      <c r="L287">
        <v>3.2498459</v>
      </c>
      <c r="M287">
        <v>85.306904634675533</v>
      </c>
      <c r="N287">
        <v>7.0142610387136706E-2</v>
      </c>
      <c r="O287" s="1" t="str">
        <f>HYPERLINK(".\sm_car_250531_2225\sm_car_Axle3_250531_2225_286_CaAxle3_023TrK_MaWOT_ode23t_1.png","figure")</f>
        <v>figure</v>
      </c>
      <c r="P287" t="s">
        <v>15</v>
      </c>
      <c r="V287">
        <f>K287-'2022a_250601_0524'!K287</f>
        <v>3</v>
      </c>
      <c r="W287" s="11">
        <f>V287/'2022a_250601_0524'!K287</f>
        <v>8.7463556851311956E-3</v>
      </c>
      <c r="X287">
        <f>L287-'2022a_250601_0524'!L287</f>
        <v>0.3308078000000001</v>
      </c>
      <c r="Y287" s="11">
        <f>X287/'2022a_250601_0524'!L287</f>
        <v>0.11332767461993734</v>
      </c>
    </row>
  </sheetData>
  <conditionalFormatting sqref="V2:V28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{C10F5913-A608-409D-9535-F37464A49E9E}</x14:id>
        </ext>
      </extLst>
    </cfRule>
  </conditionalFormatting>
  <conditionalFormatting sqref="W2:W28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{35D63C30-3652-42EC-AE32-EEE01DDA9F2B}</x14:id>
        </ext>
      </extLst>
    </cfRule>
  </conditionalFormatting>
  <conditionalFormatting sqref="Y2:Y28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{11BCB01E-2C96-4715-93BA-2993D2E47B78}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0F5913-A608-409D-9535-F37464A49E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V2:V287</xm:sqref>
        </x14:conditionalFormatting>
        <x14:conditionalFormatting xmlns:xm="http://schemas.microsoft.com/office/excel/2006/main">
          <x14:cfRule type="dataBar" id="{35D63C30-3652-42EC-AE32-EEE01DDA9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W2:W287</xm:sqref>
        </x14:conditionalFormatting>
        <x14:conditionalFormatting xmlns:xm="http://schemas.microsoft.com/office/excel/2006/main">
          <x14:cfRule type="dataBar" id="{11BCB01E-2C96-4715-93BA-2993D2E47B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Y2:Y287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7C25D-E964-41AE-B5A7-BCB5FC0CBEB5}">
  <dimension ref="A1:Y287"/>
  <sheetViews>
    <sheetView topLeftCell="A253" zoomScale="85" zoomScaleNormal="85" workbookViewId="0">
      <selection activeCell="B163" sqref="B163"/>
    </sheetView>
  </sheetViews>
  <sheetFormatPr defaultRowHeight="15" x14ac:dyDescent="0.25"/>
  <cols>
    <col min="1" max="1" width="4.42578125" bestFit="1" customWidth="1"/>
    <col min="2" max="2" width="10" bestFit="1" customWidth="1"/>
    <col min="3" max="3" width="14" bestFit="1" customWidth="1"/>
    <col min="4" max="4" width="12.42578125" bestFit="1" customWidth="1"/>
    <col min="5" max="5" width="11.85546875" bestFit="1" customWidth="1"/>
    <col min="6" max="6" width="11.42578125" bestFit="1" customWidth="1"/>
    <col min="7" max="7" width="16.85546875" bestFit="1" customWidth="1"/>
    <col min="8" max="8" width="8.5703125" bestFit="1" customWidth="1"/>
    <col min="9" max="9" width="27.140625" bestFit="1" customWidth="1"/>
    <col min="10" max="10" width="7.140625" bestFit="1" customWidth="1"/>
    <col min="11" max="11" width="7.28515625" bestFit="1" customWidth="1"/>
    <col min="12" max="12" width="7.5703125" bestFit="1" customWidth="1"/>
    <col min="13" max="13" width="8.5703125" bestFit="1" customWidth="1"/>
    <col min="14" max="14" width="9.28515625" bestFit="1" customWidth="1"/>
    <col min="15" max="15" width="6.5703125" bestFit="1" customWidth="1"/>
    <col min="16" max="16" width="4.85546875" bestFit="1" customWidth="1"/>
    <col min="18" max="18" width="30.7109375" bestFit="1" customWidth="1"/>
  </cols>
  <sheetData>
    <row r="1" spans="1:2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R1" s="2" t="s">
        <v>146</v>
      </c>
    </row>
    <row r="2" spans="1:25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423</v>
      </c>
      <c r="L2" s="4">
        <v>7.1119687000000003</v>
      </c>
      <c r="M2" s="4">
        <v>231.2177424405688</v>
      </c>
      <c r="N2" s="4">
        <v>-4.8384781673831328E-3</v>
      </c>
      <c r="O2" s="1" t="str">
        <f>HYPERLINK(".\sm_car_250601_1258\sm_car_250601_1258_001_Ca000TrN_MaWOT_ode23t.png","figure")</f>
        <v>figure</v>
      </c>
      <c r="P2" t="s">
        <v>15</v>
      </c>
      <c r="R2" s="2" t="s">
        <v>116</v>
      </c>
      <c r="V2">
        <f>K2-'2022a_250601_0524'!K2</f>
        <v>0</v>
      </c>
      <c r="W2" s="11">
        <f>V2/'2022a_250601_0524'!K2</f>
        <v>0</v>
      </c>
      <c r="X2">
        <f>L2-'2022a_250601_0524'!L2</f>
        <v>0.40628240000000027</v>
      </c>
      <c r="Y2" s="11">
        <f>X2/'2022a_250601_0524'!L2</f>
        <v>6.0587743270960982E-2</v>
      </c>
    </row>
    <row r="3" spans="1:25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24</v>
      </c>
      <c r="J3" t="s">
        <v>23</v>
      </c>
      <c r="K3">
        <v>533</v>
      </c>
      <c r="L3" s="4">
        <v>7.4711150000000002</v>
      </c>
      <c r="M3" s="4">
        <v>71.236125327442352</v>
      </c>
      <c r="N3" s="4">
        <v>-0.53981194400981525</v>
      </c>
      <c r="O3" s="1" t="str">
        <f>HYPERLINK(".\sm_car_250601_1258\sm_car_250601_1258_002_Ca000TrN_MaLSS_ode23t.png","figure")</f>
        <v>figure</v>
      </c>
      <c r="P3" t="s">
        <v>15</v>
      </c>
      <c r="R3" s="2" t="s">
        <v>117</v>
      </c>
      <c r="V3">
        <f>K3-'2022a_250601_0524'!K3</f>
        <v>0</v>
      </c>
      <c r="W3" s="11">
        <f>V3/'2022a_250601_0524'!K3</f>
        <v>0</v>
      </c>
      <c r="X3">
        <f>L3-'2022a_250601_0524'!L3</f>
        <v>0.21338300000000032</v>
      </c>
      <c r="Y3" s="11">
        <f>X3/'2022a_250601_0524'!L3</f>
        <v>2.940078250340469E-2</v>
      </c>
    </row>
    <row r="4" spans="1:25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21</v>
      </c>
      <c r="I4" t="s">
        <v>22</v>
      </c>
      <c r="J4" t="s">
        <v>23</v>
      </c>
      <c r="K4">
        <v>421</v>
      </c>
      <c r="L4" s="4">
        <v>7.4690801999999996</v>
      </c>
      <c r="M4" s="4">
        <v>230.31073710127711</v>
      </c>
      <c r="N4" s="4">
        <v>-1.2513166869400516E-2</v>
      </c>
      <c r="O4" s="1" t="str">
        <f>HYPERLINK(".\sm_car_250601_1258\sm_car_250601_1258_003_Ca001TrN_MaWOT_ode23t.png","figure")</f>
        <v>figure</v>
      </c>
      <c r="P4" t="s">
        <v>15</v>
      </c>
      <c r="R4" s="2" t="s">
        <v>118</v>
      </c>
      <c r="V4">
        <f>K4-'2022a_250601_0524'!K4</f>
        <v>0</v>
      </c>
      <c r="W4" s="11">
        <f>V4/'2022a_250601_0524'!K4</f>
        <v>0</v>
      </c>
      <c r="X4">
        <f>L4-'2022a_250601_0524'!L4</f>
        <v>0.29518679999999975</v>
      </c>
      <c r="Y4" s="11">
        <f>X4/'2022a_250601_0524'!L4</f>
        <v>4.1147363578053688E-2</v>
      </c>
    </row>
    <row r="5" spans="1:25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25</v>
      </c>
      <c r="H5" t="s">
        <v>21</v>
      </c>
      <c r="I5" t="s">
        <v>24</v>
      </c>
      <c r="J5" t="s">
        <v>23</v>
      </c>
      <c r="K5">
        <v>522</v>
      </c>
      <c r="L5" s="4">
        <v>8.0564608999999994</v>
      </c>
      <c r="M5" s="4">
        <v>70.961988299975928</v>
      </c>
      <c r="N5" s="4">
        <v>-0.53536836924365883</v>
      </c>
      <c r="O5" s="1" t="str">
        <f>HYPERLINK(".\sm_car_250601_1258\sm_car_250601_1258_004_Ca001TrN_MaLSS_ode23t.png","figure")</f>
        <v>figure</v>
      </c>
      <c r="P5" t="s">
        <v>15</v>
      </c>
      <c r="R5" t="s">
        <v>147</v>
      </c>
      <c r="V5">
        <f>K5-'2022a_250601_0524'!K5</f>
        <v>0</v>
      </c>
      <c r="W5" s="11">
        <f>V5/'2022a_250601_0524'!K5</f>
        <v>0</v>
      </c>
      <c r="X5">
        <f>L5-'2022a_250601_0524'!L5</f>
        <v>0.1014627999999993</v>
      </c>
      <c r="Y5" s="11">
        <f>X5/'2022a_250601_0524'!L5</f>
        <v>1.275459764094718E-2</v>
      </c>
    </row>
    <row r="6" spans="1:25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26</v>
      </c>
      <c r="H6" t="s">
        <v>21</v>
      </c>
      <c r="I6" t="s">
        <v>22</v>
      </c>
      <c r="J6" t="s">
        <v>23</v>
      </c>
      <c r="K6">
        <v>469</v>
      </c>
      <c r="L6" s="4">
        <v>12.975593399999999</v>
      </c>
      <c r="M6" s="4">
        <v>230.32984844030403</v>
      </c>
      <c r="N6" s="4">
        <v>5.7593525657349744E-2</v>
      </c>
      <c r="O6" s="1" t="str">
        <f>HYPERLINK(".\sm_car_250601_1258\sm_car_250601_1258_005_Ca002TrN_MaWOT_ode23t.png","figure")</f>
        <v>figure</v>
      </c>
      <c r="P6" t="s">
        <v>15</v>
      </c>
      <c r="V6">
        <f>K6-'2022a_250601_0524'!K6</f>
        <v>38</v>
      </c>
      <c r="W6" s="11">
        <f>V6/'2022a_250601_0524'!K6</f>
        <v>8.8167053364269138E-2</v>
      </c>
      <c r="X6">
        <f>L6-'2022a_250601_0524'!L6</f>
        <v>2.7276811999999993</v>
      </c>
      <c r="Y6" s="11">
        <f>X6/'2022a_250601_0524'!L6</f>
        <v>0.26616945449630208</v>
      </c>
    </row>
    <row r="7" spans="1:25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26</v>
      </c>
      <c r="H7" t="s">
        <v>21</v>
      </c>
      <c r="I7" t="s">
        <v>24</v>
      </c>
      <c r="J7" t="s">
        <v>23</v>
      </c>
      <c r="K7">
        <v>528</v>
      </c>
      <c r="L7" s="4">
        <v>11.213472400000001</v>
      </c>
      <c r="M7" s="4">
        <v>70.958601238773028</v>
      </c>
      <c r="N7" s="4">
        <v>-0.52939640277263789</v>
      </c>
      <c r="O7" s="1" t="str">
        <f>HYPERLINK(".\sm_car_250601_1258\sm_car_250601_1258_006_Ca002TrN_MaLSS_ode23t.png","figure")</f>
        <v>figure</v>
      </c>
      <c r="P7" t="s">
        <v>15</v>
      </c>
      <c r="V7">
        <f>K7-'2022a_250601_0524'!K7</f>
        <v>2</v>
      </c>
      <c r="W7" s="11">
        <f>V7/'2022a_250601_0524'!K7</f>
        <v>3.8022813688212928E-3</v>
      </c>
      <c r="X7">
        <f>L7-'2022a_250601_0524'!L7</f>
        <v>0.24833990000000128</v>
      </c>
      <c r="Y7" s="11">
        <f>X7/'2022a_250601_0524'!L7</f>
        <v>2.2648144014675728E-2</v>
      </c>
    </row>
    <row r="8" spans="1:25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27</v>
      </c>
      <c r="H8" t="s">
        <v>21</v>
      </c>
      <c r="I8" t="s">
        <v>22</v>
      </c>
      <c r="J8" t="s">
        <v>23</v>
      </c>
      <c r="K8">
        <v>466</v>
      </c>
      <c r="L8" s="4">
        <v>11.603651899999999</v>
      </c>
      <c r="M8" s="4">
        <v>229.94910505320564</v>
      </c>
      <c r="N8" s="4">
        <v>5.2191848568346133E-2</v>
      </c>
      <c r="O8" s="1" t="str">
        <f>HYPERLINK(".\sm_car_250601_1258\sm_car_250601_1258_007_Ca003TrN_MaWOT_ode23t.png","figure")</f>
        <v>figure</v>
      </c>
      <c r="P8" t="s">
        <v>15</v>
      </c>
      <c r="V8">
        <f>K8-'2022a_250601_0524'!K8</f>
        <v>-29</v>
      </c>
      <c r="W8" s="11">
        <f>V8/'2022a_250601_0524'!K8</f>
        <v>-5.8585858585858588E-2</v>
      </c>
      <c r="X8">
        <f>L8-'2022a_250601_0524'!L8</f>
        <v>-0.19144290000000019</v>
      </c>
      <c r="Y8" s="11">
        <f>X8/'2022a_250601_0524'!L8</f>
        <v>-1.6230721604713189E-2</v>
      </c>
    </row>
    <row r="9" spans="1:25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27</v>
      </c>
      <c r="H9" t="s">
        <v>21</v>
      </c>
      <c r="I9" t="s">
        <v>24</v>
      </c>
      <c r="J9" t="s">
        <v>23</v>
      </c>
      <c r="K9">
        <v>568</v>
      </c>
      <c r="L9" s="4">
        <v>12.1644118</v>
      </c>
      <c r="M9" s="4">
        <v>70.827126380753825</v>
      </c>
      <c r="N9" s="4">
        <v>-0.5278953723588663</v>
      </c>
      <c r="O9" s="1" t="str">
        <f>HYPERLINK(".\sm_car_250601_1258\sm_car_250601_1258_008_Ca003TrN_MaLSS_ode23t.png","figure")</f>
        <v>figure</v>
      </c>
      <c r="P9" t="s">
        <v>15</v>
      </c>
      <c r="V9">
        <f>K9-'2022a_250601_0524'!K9</f>
        <v>21</v>
      </c>
      <c r="W9" s="11">
        <f>V9/'2022a_250601_0524'!K9</f>
        <v>3.8391224862888484E-2</v>
      </c>
      <c r="X9">
        <f>L9-'2022a_250601_0524'!L9</f>
        <v>0.56628210000000045</v>
      </c>
      <c r="Y9" s="11">
        <f>X9/'2022a_250601_0524'!L9</f>
        <v>4.8825294650740154E-2</v>
      </c>
    </row>
    <row r="10" spans="1:25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20</v>
      </c>
      <c r="H10" t="s">
        <v>21</v>
      </c>
      <c r="I10" t="s">
        <v>22</v>
      </c>
      <c r="J10" t="s">
        <v>23</v>
      </c>
      <c r="K10">
        <v>1085</v>
      </c>
      <c r="L10" s="4">
        <v>10.882400499999999</v>
      </c>
      <c r="M10" s="4">
        <v>231.35048401278598</v>
      </c>
      <c r="N10" s="4">
        <v>-4.0514741091662787E-3</v>
      </c>
      <c r="O10" s="1" t="str">
        <f>HYPERLINK(".\sm_car_250601_1258\sm_car_250601_1258_009_Ca004TrN_MaWOT_ode23t.png","figure")</f>
        <v>figure</v>
      </c>
      <c r="P10" t="s">
        <v>15</v>
      </c>
      <c r="V10">
        <f>K10-'2022a_250601_0524'!K10</f>
        <v>0</v>
      </c>
      <c r="W10" s="11">
        <f>V10/'2022a_250601_0524'!K10</f>
        <v>0</v>
      </c>
      <c r="X10">
        <f>L10-'2022a_250601_0524'!L10</f>
        <v>0.20087599999999917</v>
      </c>
      <c r="Y10" s="11">
        <f>X10/'2022a_250601_0524'!L10</f>
        <v>1.8805929808989267E-2</v>
      </c>
    </row>
    <row r="11" spans="1:25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20</v>
      </c>
      <c r="H11" t="s">
        <v>21</v>
      </c>
      <c r="I11" t="s">
        <v>24</v>
      </c>
      <c r="J11" t="s">
        <v>23</v>
      </c>
      <c r="K11">
        <v>1206</v>
      </c>
      <c r="L11" s="4">
        <v>12.503928399999999</v>
      </c>
      <c r="M11" s="4">
        <v>71.24565934260167</v>
      </c>
      <c r="N11" s="4">
        <v>-0.54254908395302193</v>
      </c>
      <c r="O11" s="1" t="str">
        <f>HYPERLINK(".\sm_car_250601_1258\sm_car_250601_1258_010_Ca004TrN_MaLSS_ode23t.png","figure")</f>
        <v>figure</v>
      </c>
      <c r="P11" t="s">
        <v>15</v>
      </c>
      <c r="V11">
        <f>K11-'2022a_250601_0524'!K11</f>
        <v>0</v>
      </c>
      <c r="W11" s="11">
        <f>V11/'2022a_250601_0524'!K11</f>
        <v>0</v>
      </c>
      <c r="X11">
        <f>L11-'2022a_250601_0524'!L11</f>
        <v>0.25489889999999882</v>
      </c>
      <c r="Y11" s="11">
        <f>X11/'2022a_250601_0524'!L11</f>
        <v>2.0809722109004537E-2</v>
      </c>
    </row>
    <row r="12" spans="1:25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25</v>
      </c>
      <c r="H12" t="s">
        <v>21</v>
      </c>
      <c r="I12" t="s">
        <v>22</v>
      </c>
      <c r="J12" t="s">
        <v>23</v>
      </c>
      <c r="K12">
        <v>1124</v>
      </c>
      <c r="L12" s="4">
        <v>13.1368014</v>
      </c>
      <c r="M12" s="4">
        <v>230.28632888358879</v>
      </c>
      <c r="N12" s="4">
        <v>-1.3535337425784914E-2</v>
      </c>
      <c r="O12" s="1" t="str">
        <f>HYPERLINK(".\sm_car_250601_1258\sm_car_250601_1258_011_Ca005TrN_MaWOT_ode23t.png","figure")</f>
        <v>figure</v>
      </c>
      <c r="P12" t="s">
        <v>15</v>
      </c>
      <c r="V12">
        <f>K12-'2022a_250601_0524'!K12</f>
        <v>0</v>
      </c>
      <c r="W12" s="11">
        <f>V12/'2022a_250601_0524'!K12</f>
        <v>0</v>
      </c>
      <c r="X12">
        <f>L12-'2022a_250601_0524'!L12</f>
        <v>0.35440339999999892</v>
      </c>
      <c r="Y12" s="11">
        <f>X12/'2022a_250601_0524'!L12</f>
        <v>2.7725893060128383E-2</v>
      </c>
    </row>
    <row r="13" spans="1:25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25</v>
      </c>
      <c r="H13" t="s">
        <v>21</v>
      </c>
      <c r="I13" t="s">
        <v>24</v>
      </c>
      <c r="J13" t="s">
        <v>23</v>
      </c>
      <c r="K13">
        <v>1240</v>
      </c>
      <c r="L13" s="4">
        <v>14.3965801</v>
      </c>
      <c r="M13" s="4">
        <v>70.963484438638275</v>
      </c>
      <c r="N13" s="4">
        <v>-0.53562428490382352</v>
      </c>
      <c r="O13" s="1" t="str">
        <f>HYPERLINK(".\sm_car_250601_1258\sm_car_250601_1258_012_Ca005TrN_MaLSS_ode23t.png","figure")</f>
        <v>figure</v>
      </c>
      <c r="P13" t="s">
        <v>15</v>
      </c>
      <c r="V13">
        <f>K13-'2022a_250601_0524'!K13</f>
        <v>0</v>
      </c>
      <c r="W13" s="11">
        <f>V13/'2022a_250601_0524'!K13</f>
        <v>0</v>
      </c>
      <c r="X13">
        <f>L13-'2022a_250601_0524'!L13</f>
        <v>0.20401069999999955</v>
      </c>
      <c r="Y13" s="11">
        <f>X13/'2022a_250601_0524'!L13</f>
        <v>1.4374472602543662E-2</v>
      </c>
    </row>
    <row r="14" spans="1:25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26</v>
      </c>
      <c r="H14" t="s">
        <v>21</v>
      </c>
      <c r="I14" t="s">
        <v>22</v>
      </c>
      <c r="J14" t="s">
        <v>23</v>
      </c>
      <c r="K14">
        <v>1207</v>
      </c>
      <c r="L14" s="4">
        <v>16.835007300000001</v>
      </c>
      <c r="M14" s="4">
        <v>230.35795310585667</v>
      </c>
      <c r="N14" s="4">
        <v>1.2215989600390912E-2</v>
      </c>
      <c r="O14" s="1" t="str">
        <f>HYPERLINK(".\sm_car_250601_1258\sm_car_250601_1258_013_Ca006TrN_MaWOT_ode23t.png","figure")</f>
        <v>figure</v>
      </c>
      <c r="P14" t="s">
        <v>15</v>
      </c>
      <c r="V14">
        <f>K14-'2022a_250601_0524'!K14</f>
        <v>15</v>
      </c>
      <c r="W14" s="11">
        <f>V14/'2022a_250601_0524'!K14</f>
        <v>1.2583892617449664E-2</v>
      </c>
      <c r="X14">
        <f>L14-'2022a_250601_0524'!L14</f>
        <v>0.7073576000000017</v>
      </c>
      <c r="Y14" s="11">
        <f>X14/'2022a_250601_0524'!L14</f>
        <v>4.38599308118654E-2</v>
      </c>
    </row>
    <row r="15" spans="1:25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26</v>
      </c>
      <c r="H15" t="s">
        <v>21</v>
      </c>
      <c r="I15" t="s">
        <v>24</v>
      </c>
      <c r="J15" t="s">
        <v>23</v>
      </c>
      <c r="K15">
        <v>1292</v>
      </c>
      <c r="L15" s="4">
        <v>15.681172399999999</v>
      </c>
      <c r="M15" s="4">
        <v>70.963357904919789</v>
      </c>
      <c r="N15" s="4">
        <v>-0.53351250195833622</v>
      </c>
      <c r="O15" s="1" t="str">
        <f>HYPERLINK(".\sm_car_250601_1258\sm_car_250601_1258_014_Ca006TrN_MaLSS_ode23t.png","figure")</f>
        <v>figure</v>
      </c>
      <c r="P15" t="s">
        <v>15</v>
      </c>
      <c r="V15">
        <f>K15-'2022a_250601_0524'!K15</f>
        <v>1</v>
      </c>
      <c r="W15" s="11">
        <f>V15/'2022a_250601_0524'!K15</f>
        <v>7.7459333849728897E-4</v>
      </c>
      <c r="X15">
        <f>L15-'2022a_250601_0524'!L15</f>
        <v>0.67816730000000014</v>
      </c>
      <c r="Y15" s="11">
        <f>X15/'2022a_250601_0524'!L15</f>
        <v>4.5202097545111154E-2</v>
      </c>
    </row>
    <row r="16" spans="1:25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27</v>
      </c>
      <c r="H16" t="s">
        <v>21</v>
      </c>
      <c r="I16" t="s">
        <v>22</v>
      </c>
      <c r="J16" t="s">
        <v>23</v>
      </c>
      <c r="K16">
        <v>1184</v>
      </c>
      <c r="L16" s="4">
        <v>16.8548607</v>
      </c>
      <c r="M16" s="4">
        <v>229.90086683237078</v>
      </c>
      <c r="N16" s="4">
        <v>3.5062346849572455E-2</v>
      </c>
      <c r="O16" s="1" t="str">
        <f>HYPERLINK(".\sm_car_250601_1258\sm_car_250601_1258_015_Ca007TrN_MaWOT_ode23t.png","figure")</f>
        <v>figure</v>
      </c>
      <c r="P16" t="s">
        <v>15</v>
      </c>
      <c r="V16">
        <f>K16-'2022a_250601_0524'!K16</f>
        <v>-24</v>
      </c>
      <c r="W16" s="11">
        <f>V16/'2022a_250601_0524'!K16</f>
        <v>-1.9867549668874173E-2</v>
      </c>
      <c r="X16">
        <f>L16-'2022a_250601_0524'!L16</f>
        <v>-0.23527930000000197</v>
      </c>
      <c r="Y16" s="11">
        <f>X16/'2022a_250601_0524'!L16</f>
        <v>-1.3766961534545765E-2</v>
      </c>
    </row>
    <row r="17" spans="1:25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27</v>
      </c>
      <c r="H17" t="s">
        <v>21</v>
      </c>
      <c r="I17" t="s">
        <v>24</v>
      </c>
      <c r="J17" t="s">
        <v>23</v>
      </c>
      <c r="K17">
        <v>1262</v>
      </c>
      <c r="L17" s="4">
        <v>17.3976519</v>
      </c>
      <c r="M17" s="4">
        <v>70.828406997431017</v>
      </c>
      <c r="N17" s="4">
        <v>-0.52986907210711842</v>
      </c>
      <c r="O17" s="1" t="str">
        <f>HYPERLINK(".\sm_car_250601_1258\sm_car_250601_1258_016_Ca007TrN_MaLSS_ode23t.png","figure")</f>
        <v>figure</v>
      </c>
      <c r="P17" t="s">
        <v>15</v>
      </c>
      <c r="V17">
        <f>K17-'2022a_250601_0524'!K17</f>
        <v>-23</v>
      </c>
      <c r="W17" s="11">
        <f>V17/'2022a_250601_0524'!K17</f>
        <v>-1.7898832684824902E-2</v>
      </c>
      <c r="X17">
        <f>L17-'2022a_250601_0524'!L17</f>
        <v>0.76736760000000004</v>
      </c>
      <c r="Y17" s="11">
        <f>X17/'2022a_250601_0524'!L17</f>
        <v>4.6142783019049172E-2</v>
      </c>
    </row>
    <row r="18" spans="1:25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>
        <v>408</v>
      </c>
      <c r="L18" s="4">
        <v>5.7591118999999997</v>
      </c>
      <c r="M18" s="4">
        <v>231.97852932808041</v>
      </c>
      <c r="N18" s="4">
        <v>-7.1781087628563625E-2</v>
      </c>
      <c r="O18" s="1" t="str">
        <f>HYPERLINK(".\sm_car_250601_1258\sm_car_250601_1258_017_Ca016TrN_MaWOT_ode23t.png","figure")</f>
        <v>figure</v>
      </c>
      <c r="P18" t="s">
        <v>15</v>
      </c>
      <c r="V18">
        <f>K18-'2022a_250601_0524'!K18</f>
        <v>0</v>
      </c>
      <c r="W18" s="11">
        <f>V18/'2022a_250601_0524'!K18</f>
        <v>0</v>
      </c>
      <c r="X18">
        <f>L18-'2022a_250601_0524'!L18</f>
        <v>2.7666599999999875E-2</v>
      </c>
      <c r="Y18" s="11">
        <f>X18/'2022a_250601_0524'!L18</f>
        <v>4.8271593903199033E-3</v>
      </c>
    </row>
    <row r="19" spans="1:25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20</v>
      </c>
      <c r="H19" t="s">
        <v>21</v>
      </c>
      <c r="I19" t="s">
        <v>24</v>
      </c>
      <c r="J19" t="s">
        <v>23</v>
      </c>
      <c r="K19">
        <v>495</v>
      </c>
      <c r="L19" s="4">
        <v>6.2012017000000004</v>
      </c>
      <c r="M19" s="4">
        <v>71.52744135360156</v>
      </c>
      <c r="N19" s="4">
        <v>-2.1637557861086024E-2</v>
      </c>
      <c r="O19" s="1" t="str">
        <f>HYPERLINK(".\sm_car_250601_1258\sm_car_250601_1258_018_Ca016TrN_MaLSS_ode23t.png","figure")</f>
        <v>figure</v>
      </c>
      <c r="P19" t="s">
        <v>15</v>
      </c>
      <c r="V19">
        <f>K19-'2022a_250601_0524'!K19</f>
        <v>0</v>
      </c>
      <c r="W19" s="11">
        <f>V19/'2022a_250601_0524'!K19</f>
        <v>0</v>
      </c>
      <c r="X19">
        <f>L19-'2022a_250601_0524'!L19</f>
        <v>0.18782019999999999</v>
      </c>
      <c r="Y19" s="11">
        <f>X19/'2022a_250601_0524'!L19</f>
        <v>3.1233707690090838E-2</v>
      </c>
    </row>
    <row r="20" spans="1:25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>
        <v>414</v>
      </c>
      <c r="L20" s="4">
        <v>9.1433879000000005</v>
      </c>
      <c r="M20" s="4">
        <v>231.38140972375047</v>
      </c>
      <c r="N20" s="4">
        <v>7.0624016378307069E-3</v>
      </c>
      <c r="O20" s="1" t="str">
        <f>HYPERLINK(".\sm_car_250601_1258\sm_car_250601_1258_019_Ca032TrN_MaWOT_ode23t.png","figure")</f>
        <v>figure</v>
      </c>
      <c r="P20" t="s">
        <v>15</v>
      </c>
      <c r="V20">
        <f>K20-'2022a_250601_0524'!K20</f>
        <v>0</v>
      </c>
      <c r="W20" s="11">
        <f>V20/'2022a_250601_0524'!K20</f>
        <v>0</v>
      </c>
      <c r="X20">
        <f>L20-'2022a_250601_0524'!L20</f>
        <v>0.45662689999999984</v>
      </c>
      <c r="Y20" s="11">
        <f>X20/'2022a_250601_0524'!L20</f>
        <v>5.2565841284225479E-2</v>
      </c>
    </row>
    <row r="21" spans="1:25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20</v>
      </c>
      <c r="H21" t="s">
        <v>21</v>
      </c>
      <c r="I21" t="s">
        <v>24</v>
      </c>
      <c r="J21" t="s">
        <v>23</v>
      </c>
      <c r="K21">
        <v>517</v>
      </c>
      <c r="L21" s="4">
        <v>8.6586864000000006</v>
      </c>
      <c r="M21" s="4">
        <v>71.24958534660685</v>
      </c>
      <c r="N21" s="4">
        <v>-0.52146089401407703</v>
      </c>
      <c r="O21" s="1" t="str">
        <f>HYPERLINK(".\sm_car_250601_1258\sm_car_250601_1258_020_Ca032TrN_MaLSS_ode23t.png","figure")</f>
        <v>figure</v>
      </c>
      <c r="P21" t="s">
        <v>15</v>
      </c>
      <c r="V21">
        <f>K21-'2022a_250601_0524'!K21</f>
        <v>0</v>
      </c>
      <c r="W21" s="11">
        <f>V21/'2022a_250601_0524'!K21</f>
        <v>0</v>
      </c>
      <c r="X21">
        <f>L21-'2022a_250601_0524'!L21</f>
        <v>0.17994750000000082</v>
      </c>
      <c r="Y21" s="11">
        <f>X21/'2022a_250601_0524'!L21</f>
        <v>2.1223380283593923E-2</v>
      </c>
    </row>
    <row r="22" spans="1:25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>
        <v>406</v>
      </c>
      <c r="L22" s="4">
        <v>8.2643523000000005</v>
      </c>
      <c r="M22" s="4">
        <v>231.3220912823418</v>
      </c>
      <c r="N22" s="4">
        <v>-1.7328937509722402E-2</v>
      </c>
      <c r="O22" s="1" t="str">
        <f>HYPERLINK(".\sm_car_250601_1258\sm_car_250601_1258_021_Ca048TrN_MaWOT_ode23t.png","figure")</f>
        <v>figure</v>
      </c>
      <c r="P22" t="s">
        <v>15</v>
      </c>
      <c r="V22">
        <f>K22-'2022a_250601_0524'!K22</f>
        <v>0</v>
      </c>
      <c r="W22" s="11">
        <f>V22/'2022a_250601_0524'!K22</f>
        <v>0</v>
      </c>
      <c r="X22">
        <f>L22-'2022a_250601_0524'!L22</f>
        <v>0.36725540000000034</v>
      </c>
      <c r="Y22" s="11">
        <f>X22/'2022a_250601_0524'!L22</f>
        <v>4.650511506323296E-2</v>
      </c>
    </row>
    <row r="23" spans="1:25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20</v>
      </c>
      <c r="H23" t="s">
        <v>21</v>
      </c>
      <c r="I23" t="s">
        <v>24</v>
      </c>
      <c r="J23" t="s">
        <v>23</v>
      </c>
      <c r="K23">
        <v>532</v>
      </c>
      <c r="L23" s="4">
        <v>10.0209964</v>
      </c>
      <c r="M23" s="4">
        <v>71.252885645468695</v>
      </c>
      <c r="N23" s="4">
        <v>-0.52884314345820704</v>
      </c>
      <c r="O23" s="1" t="str">
        <f>HYPERLINK(".\sm_car_250601_1258\sm_car_250601_1258_022_Ca048TrN_MaLSS_ode23t.png","figure")</f>
        <v>figure</v>
      </c>
      <c r="P23" t="s">
        <v>15</v>
      </c>
      <c r="V23">
        <f>K23-'2022a_250601_0524'!K23</f>
        <v>0</v>
      </c>
      <c r="W23" s="11">
        <f>V23/'2022a_250601_0524'!K23</f>
        <v>0</v>
      </c>
      <c r="X23">
        <f>L23-'2022a_250601_0524'!L23</f>
        <v>0.53069149999999965</v>
      </c>
      <c r="Y23" s="11">
        <f>X23/'2022a_250601_0524'!L23</f>
        <v>5.5919330895259189E-2</v>
      </c>
    </row>
    <row r="24" spans="1:25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 t="s">
        <v>23</v>
      </c>
      <c r="K24">
        <v>411</v>
      </c>
      <c r="L24" s="4">
        <v>8.8238949000000009</v>
      </c>
      <c r="M24" s="4">
        <v>231.29335429993066</v>
      </c>
      <c r="N24" s="4">
        <v>9.3446067893205604E-3</v>
      </c>
      <c r="O24" s="1" t="str">
        <f>HYPERLINK(".\sm_car_250601_1258\sm_car_250601_1258_023_Ca064TrN_MaWOT_ode23t.png","figure")</f>
        <v>figure</v>
      </c>
      <c r="P24" t="s">
        <v>15</v>
      </c>
      <c r="V24">
        <f>K24-'2022a_250601_0524'!K24</f>
        <v>0</v>
      </c>
      <c r="W24" s="11">
        <f>V24/'2022a_250601_0524'!K24</f>
        <v>0</v>
      </c>
      <c r="X24">
        <f>L24-'2022a_250601_0524'!L24</f>
        <v>0.2996686000000004</v>
      </c>
      <c r="Y24" s="11">
        <f>X24/'2022a_250601_0524'!L24</f>
        <v>3.5154932477566951E-2</v>
      </c>
    </row>
    <row r="25" spans="1:25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20</v>
      </c>
      <c r="H25" t="s">
        <v>21</v>
      </c>
      <c r="I25" t="s">
        <v>24</v>
      </c>
      <c r="J25" t="s">
        <v>23</v>
      </c>
      <c r="K25">
        <v>526</v>
      </c>
      <c r="L25" s="4">
        <v>9.3303028999999995</v>
      </c>
      <c r="M25" s="4">
        <v>71.251970603665541</v>
      </c>
      <c r="N25" s="4">
        <v>-0.51781248972730687</v>
      </c>
      <c r="O25" s="1" t="str">
        <f>HYPERLINK(".\sm_car_250601_1258\sm_car_250601_1258_024_Ca064TrN_MaLSS_ode23t.png","figure")</f>
        <v>figure</v>
      </c>
      <c r="P25" t="s">
        <v>15</v>
      </c>
      <c r="V25">
        <f>K25-'2022a_250601_0524'!K25</f>
        <v>0</v>
      </c>
      <c r="W25" s="11">
        <f>V25/'2022a_250601_0524'!K25</f>
        <v>0</v>
      </c>
      <c r="X25">
        <f>L25-'2022a_250601_0524'!L25</f>
        <v>0.50314260000000033</v>
      </c>
      <c r="Y25" s="11">
        <f>X25/'2022a_250601_0524'!L25</f>
        <v>5.6999372720126132E-2</v>
      </c>
    </row>
    <row r="26" spans="1:25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23</v>
      </c>
      <c r="K26">
        <v>398</v>
      </c>
      <c r="L26" s="4">
        <v>9.2070874000000007</v>
      </c>
      <c r="M26" s="4">
        <v>231.28238490853892</v>
      </c>
      <c r="N26" s="4">
        <v>-2.0507259671197455E-2</v>
      </c>
      <c r="O26" s="1" t="str">
        <f>HYPERLINK(".\sm_car_250601_1258\sm_car_250601_1258_025_Ca080TrN_MaWOT_ode23t.png","figure")</f>
        <v>figure</v>
      </c>
      <c r="P26" t="s">
        <v>15</v>
      </c>
      <c r="V26">
        <f>K26-'2022a_250601_0524'!K26</f>
        <v>0</v>
      </c>
      <c r="W26" s="11">
        <f>V26/'2022a_250601_0524'!K26</f>
        <v>0</v>
      </c>
      <c r="X26">
        <f>L26-'2022a_250601_0524'!L26</f>
        <v>0.19589930000000066</v>
      </c>
      <c r="Y26" s="11">
        <f>X26/'2022a_250601_0524'!L26</f>
        <v>2.1739563953836527E-2</v>
      </c>
    </row>
    <row r="27" spans="1:25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20</v>
      </c>
      <c r="H27" t="s">
        <v>21</v>
      </c>
      <c r="I27" t="s">
        <v>24</v>
      </c>
      <c r="J27" t="s">
        <v>23</v>
      </c>
      <c r="K27">
        <v>507</v>
      </c>
      <c r="L27" s="4">
        <v>9.2128803999999995</v>
      </c>
      <c r="M27" s="4">
        <v>71.24692585665106</v>
      </c>
      <c r="N27" s="4">
        <v>-0.52526631553924674</v>
      </c>
      <c r="O27" s="1" t="str">
        <f>HYPERLINK(".\sm_car_250601_1258\sm_car_250601_1258_026_Ca080TrN_MaLSS_ode23t.png","figure")</f>
        <v>figure</v>
      </c>
      <c r="P27" t="s">
        <v>15</v>
      </c>
      <c r="V27">
        <f>K27-'2022a_250601_0524'!K27</f>
        <v>0</v>
      </c>
      <c r="W27" s="11">
        <f>V27/'2022a_250601_0524'!K27</f>
        <v>0</v>
      </c>
      <c r="X27">
        <f>L27-'2022a_250601_0524'!L27</f>
        <v>0.59675009999999951</v>
      </c>
      <c r="Y27" s="11">
        <f>X27/'2022a_250601_0524'!L27</f>
        <v>6.9259641999610835E-2</v>
      </c>
    </row>
    <row r="28" spans="1:25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23</v>
      </c>
      <c r="K28">
        <v>409</v>
      </c>
      <c r="L28" s="4">
        <v>6.8783896000000002</v>
      </c>
      <c r="M28" s="4">
        <v>233.07854766852083</v>
      </c>
      <c r="N28" s="4">
        <v>2.0066921471783239E-2</v>
      </c>
      <c r="O28" s="1" t="str">
        <f>HYPERLINK(".\sm_car_250601_1258\sm_car_250601_1258_027_Ca096TrN_MaWOT_ode23t.png","figure")</f>
        <v>figure</v>
      </c>
      <c r="P28" t="s">
        <v>15</v>
      </c>
      <c r="V28">
        <f>K28-'2022a_250601_0524'!K28</f>
        <v>0</v>
      </c>
      <c r="W28" s="11">
        <f>V28/'2022a_250601_0524'!K28</f>
        <v>0</v>
      </c>
      <c r="X28">
        <f>L28-'2022a_250601_0524'!L28</f>
        <v>-0.20854329999999965</v>
      </c>
      <c r="Y28" s="11">
        <f>X28/'2022a_250601_0524'!L28</f>
        <v>-2.9426453296883856E-2</v>
      </c>
    </row>
    <row r="29" spans="1:25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20</v>
      </c>
      <c r="H29" t="s">
        <v>21</v>
      </c>
      <c r="I29" t="s">
        <v>24</v>
      </c>
      <c r="J29" t="s">
        <v>23</v>
      </c>
      <c r="K29">
        <v>522</v>
      </c>
      <c r="L29" s="4">
        <v>7.0864098999999996</v>
      </c>
      <c r="M29" s="4">
        <v>71.763515381239785</v>
      </c>
      <c r="N29" s="4">
        <v>-0.52889785164942793</v>
      </c>
      <c r="O29" s="1" t="str">
        <f>HYPERLINK(".\sm_car_250601_1258\sm_car_250601_1258_028_Ca096TrN_MaLSS_ode23t.png","figure")</f>
        <v>figure</v>
      </c>
      <c r="P29" t="s">
        <v>15</v>
      </c>
      <c r="V29">
        <f>K29-'2022a_250601_0524'!K29</f>
        <v>0</v>
      </c>
      <c r="W29" s="11">
        <f>V29/'2022a_250601_0524'!K29</f>
        <v>0</v>
      </c>
      <c r="X29">
        <f>L29-'2022a_250601_0524'!L29</f>
        <v>0.10775129999999944</v>
      </c>
      <c r="Y29" s="11">
        <f>X29/'2022a_250601_0524'!L29</f>
        <v>1.5440116242396416E-2</v>
      </c>
    </row>
    <row r="30" spans="1:25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 t="s">
        <v>23</v>
      </c>
      <c r="K30">
        <v>371</v>
      </c>
      <c r="L30" s="4">
        <v>2.7889724999999999</v>
      </c>
      <c r="M30" s="4">
        <v>242.6385086934819</v>
      </c>
      <c r="N30" s="4">
        <v>0.23540517481115167</v>
      </c>
      <c r="O30" s="1" t="str">
        <f>HYPERLINK(".\sm_car_250601_1258\sm_car_250601_1258_029_Ca112TrN_MaWOT_ode23t.png","figure")</f>
        <v>figure</v>
      </c>
      <c r="P30" t="s">
        <v>15</v>
      </c>
      <c r="V30">
        <f>K30-'2022a_250601_0524'!K30</f>
        <v>0</v>
      </c>
      <c r="W30" s="11">
        <f>V30/'2022a_250601_0524'!K30</f>
        <v>0</v>
      </c>
      <c r="X30">
        <f>L30-'2022a_250601_0524'!L30</f>
        <v>2.669889999999997E-2</v>
      </c>
      <c r="Y30" s="11">
        <f>X30/'2022a_250601_0524'!L30</f>
        <v>9.6655523189303084E-3</v>
      </c>
    </row>
    <row r="31" spans="1:25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20</v>
      </c>
      <c r="H31" t="s">
        <v>21</v>
      </c>
      <c r="I31" t="s">
        <v>24</v>
      </c>
      <c r="J31" t="s">
        <v>23</v>
      </c>
      <c r="K31">
        <v>484</v>
      </c>
      <c r="L31" s="4">
        <v>3.0997911</v>
      </c>
      <c r="M31" s="4">
        <v>74.671083334168515</v>
      </c>
      <c r="N31" s="4">
        <v>-0.3369934257717313</v>
      </c>
      <c r="O31" s="1" t="str">
        <f>HYPERLINK(".\sm_car_250601_1258\sm_car_250601_1258_030_Ca112TrN_MaLSS_ode23t.png","figure")</f>
        <v>figure</v>
      </c>
      <c r="P31" t="s">
        <v>15</v>
      </c>
      <c r="V31">
        <f>K31-'2022a_250601_0524'!K31</f>
        <v>0</v>
      </c>
      <c r="W31" s="11">
        <f>V31/'2022a_250601_0524'!K31</f>
        <v>0</v>
      </c>
      <c r="X31">
        <f>L31-'2022a_250601_0524'!L31</f>
        <v>0.21647820000000007</v>
      </c>
      <c r="Y31" s="11">
        <f>X31/'2022a_250601_0524'!L31</f>
        <v>7.5079676576205123E-2</v>
      </c>
    </row>
    <row r="32" spans="1:25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25</v>
      </c>
      <c r="H32" t="s">
        <v>21</v>
      </c>
      <c r="I32" t="s">
        <v>22</v>
      </c>
      <c r="J32" t="s">
        <v>23</v>
      </c>
      <c r="K32">
        <v>376</v>
      </c>
      <c r="L32" s="4">
        <v>3.0208227000000001</v>
      </c>
      <c r="M32" s="4">
        <v>241.62953780953444</v>
      </c>
      <c r="N32" s="4">
        <v>0.23230223293694249</v>
      </c>
      <c r="O32" s="1" t="str">
        <f>HYPERLINK(".\sm_car_250601_1258\sm_car_250601_1258_031_Ca113TrN_MaWOT_ode23t.png","figure")</f>
        <v>figure</v>
      </c>
      <c r="P32" t="s">
        <v>15</v>
      </c>
      <c r="V32">
        <f>K32-'2022a_250601_0524'!K32</f>
        <v>0</v>
      </c>
      <c r="W32" s="11">
        <f>V32/'2022a_250601_0524'!K32</f>
        <v>0</v>
      </c>
      <c r="X32">
        <f>L32-'2022a_250601_0524'!L32</f>
        <v>4.8695700000000119E-2</v>
      </c>
      <c r="Y32" s="11">
        <f>X32/'2022a_250601_0524'!L32</f>
        <v>1.6384124904487634E-2</v>
      </c>
    </row>
    <row r="33" spans="1:25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25</v>
      </c>
      <c r="H33" t="s">
        <v>21</v>
      </c>
      <c r="I33" t="s">
        <v>24</v>
      </c>
      <c r="J33" t="s">
        <v>23</v>
      </c>
      <c r="K33">
        <v>484</v>
      </c>
      <c r="L33" s="4">
        <v>3.2773294000000002</v>
      </c>
      <c r="M33" s="4">
        <v>74.340098687509567</v>
      </c>
      <c r="N33" s="4">
        <v>-0.33372692734011278</v>
      </c>
      <c r="O33" s="1" t="str">
        <f>HYPERLINK(".\sm_car_250601_1258\sm_car_250601_1258_032_Ca113TrN_MaLSS_ode23t.png","figure")</f>
        <v>figure</v>
      </c>
      <c r="P33" t="s">
        <v>15</v>
      </c>
      <c r="V33">
        <f>K33-'2022a_250601_0524'!K33</f>
        <v>0</v>
      </c>
      <c r="W33" s="11">
        <f>V33/'2022a_250601_0524'!K33</f>
        <v>0</v>
      </c>
      <c r="X33">
        <f>L33-'2022a_250601_0524'!L33</f>
        <v>0.17254650000000016</v>
      </c>
      <c r="Y33" s="11">
        <f>X33/'2022a_250601_0524'!L33</f>
        <v>5.5574417135574976E-2</v>
      </c>
    </row>
    <row r="34" spans="1:25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26</v>
      </c>
      <c r="H34" t="s">
        <v>21</v>
      </c>
      <c r="I34" t="s">
        <v>22</v>
      </c>
      <c r="J34" t="s">
        <v>23</v>
      </c>
      <c r="K34">
        <v>365</v>
      </c>
      <c r="L34" s="4">
        <v>3.4340242000000001</v>
      </c>
      <c r="M34" s="4">
        <v>241.54135549521669</v>
      </c>
      <c r="N34" s="4">
        <v>0.23257023722638706</v>
      </c>
      <c r="O34" s="1" t="str">
        <f>HYPERLINK(".\sm_car_250601_1258\sm_car_250601_1258_033_Ca114TrN_MaWOT_ode23t.png","figure")</f>
        <v>figure</v>
      </c>
      <c r="P34" t="s">
        <v>15</v>
      </c>
      <c r="V34">
        <f>K34-'2022a_250601_0524'!K34</f>
        <v>0</v>
      </c>
      <c r="W34" s="11">
        <f>V34/'2022a_250601_0524'!K34</f>
        <v>0</v>
      </c>
      <c r="X34">
        <f>L34-'2022a_250601_0524'!L34</f>
        <v>0.20523150000000001</v>
      </c>
      <c r="Y34" s="11">
        <f>X34/'2022a_250601_0524'!L34</f>
        <v>6.3562922450859108E-2</v>
      </c>
    </row>
    <row r="35" spans="1:25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26</v>
      </c>
      <c r="H35" t="s">
        <v>21</v>
      </c>
      <c r="I35" t="s">
        <v>24</v>
      </c>
      <c r="J35" t="s">
        <v>23</v>
      </c>
      <c r="K35">
        <v>474</v>
      </c>
      <c r="L35" s="4">
        <v>3.7684536999999998</v>
      </c>
      <c r="M35" s="4">
        <v>74.357376080465997</v>
      </c>
      <c r="N35" s="4">
        <v>-0.33401217897315755</v>
      </c>
      <c r="O35" s="1" t="str">
        <f>HYPERLINK(".\sm_car_250601_1258\sm_car_250601_1258_034_Ca114TrN_MaLSS_ode23t.png","figure")</f>
        <v>figure</v>
      </c>
      <c r="P35" t="s">
        <v>15</v>
      </c>
      <c r="V35">
        <f>K35-'2022a_250601_0524'!K35</f>
        <v>0</v>
      </c>
      <c r="W35" s="11">
        <f>V35/'2022a_250601_0524'!K35</f>
        <v>0</v>
      </c>
      <c r="X35">
        <f>L35-'2022a_250601_0524'!L35</f>
        <v>0.19143789999999994</v>
      </c>
      <c r="Y35" s="11">
        <f>X35/'2022a_250601_0524'!L35</f>
        <v>5.3518885770647125E-2</v>
      </c>
    </row>
    <row r="36" spans="1:25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27</v>
      </c>
      <c r="H36" t="s">
        <v>21</v>
      </c>
      <c r="I36" t="s">
        <v>22</v>
      </c>
      <c r="J36" t="s">
        <v>23</v>
      </c>
      <c r="K36">
        <v>402</v>
      </c>
      <c r="L36" s="4">
        <v>3.4859488999999999</v>
      </c>
      <c r="M36" s="4">
        <v>241.25491004899072</v>
      </c>
      <c r="N36" s="4">
        <v>0.23086755550324103</v>
      </c>
      <c r="O36" s="1" t="str">
        <f>HYPERLINK(".\sm_car_250601_1258\sm_car_250601_1258_035_Ca115TrN_MaWOT_ode23t.png","figure")</f>
        <v>figure</v>
      </c>
      <c r="P36" t="s">
        <v>15</v>
      </c>
      <c r="V36">
        <f>K36-'2022a_250601_0524'!K36</f>
        <v>0</v>
      </c>
      <c r="W36" s="11">
        <f>V36/'2022a_250601_0524'!K36</f>
        <v>0</v>
      </c>
      <c r="X36">
        <f>L36-'2022a_250601_0524'!L36</f>
        <v>1.0692199999999819E-2</v>
      </c>
      <c r="Y36" s="11">
        <f>X36/'2022a_250601_0524'!L36</f>
        <v>3.0766648115518542E-3</v>
      </c>
    </row>
    <row r="37" spans="1:25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27</v>
      </c>
      <c r="H37" t="s">
        <v>21</v>
      </c>
      <c r="I37" t="s">
        <v>24</v>
      </c>
      <c r="J37" t="s">
        <v>23</v>
      </c>
      <c r="K37">
        <v>505</v>
      </c>
      <c r="L37" s="4">
        <v>3.7366562000000001</v>
      </c>
      <c r="M37" s="4">
        <v>74.216397484708779</v>
      </c>
      <c r="N37" s="4">
        <v>-0.33149412046077237</v>
      </c>
      <c r="O37" s="1" t="str">
        <f>HYPERLINK(".\sm_car_250601_1258\sm_car_250601_1258_036_Ca115TrN_MaLSS_ode23t.png","figure")</f>
        <v>figure</v>
      </c>
      <c r="P37" t="s">
        <v>15</v>
      </c>
      <c r="V37">
        <f>K37-'2022a_250601_0524'!K37</f>
        <v>0</v>
      </c>
      <c r="W37" s="11">
        <f>V37/'2022a_250601_0524'!K37</f>
        <v>0</v>
      </c>
      <c r="X37">
        <f>L37-'2022a_250601_0524'!L37</f>
        <v>0.22988499999999989</v>
      </c>
      <c r="Y37" s="11">
        <f>X37/'2022a_250601_0524'!L37</f>
        <v>6.5554604760070995E-2</v>
      </c>
    </row>
    <row r="38" spans="1:25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20</v>
      </c>
      <c r="H38" t="s">
        <v>21</v>
      </c>
      <c r="I38" t="s">
        <v>22</v>
      </c>
      <c r="J38" t="s">
        <v>23</v>
      </c>
      <c r="K38">
        <v>917</v>
      </c>
      <c r="L38" s="4">
        <v>4.8932045999999998</v>
      </c>
      <c r="M38" s="4">
        <v>242.55284377109695</v>
      </c>
      <c r="N38" s="4">
        <v>0.23659137482604095</v>
      </c>
      <c r="O38" s="1" t="str">
        <f>HYPERLINK(".\sm_car_250601_1258\sm_car_250601_1258_037_Ca116TrN_MaWOT_ode23t.png","figure")</f>
        <v>figure</v>
      </c>
      <c r="P38" t="s">
        <v>15</v>
      </c>
      <c r="V38">
        <f>K38-'2022a_250601_0524'!K38</f>
        <v>0</v>
      </c>
      <c r="W38" s="11">
        <f>V38/'2022a_250601_0524'!K38</f>
        <v>0</v>
      </c>
      <c r="X38">
        <f>L38-'2022a_250601_0524'!L38</f>
        <v>0.3429272000000001</v>
      </c>
      <c r="Y38" s="11">
        <f>X38/'2022a_250601_0524'!L38</f>
        <v>7.5364020663883063E-2</v>
      </c>
    </row>
    <row r="39" spans="1:25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20</v>
      </c>
      <c r="H39" t="s">
        <v>21</v>
      </c>
      <c r="I39" t="s">
        <v>24</v>
      </c>
      <c r="J39" t="s">
        <v>23</v>
      </c>
      <c r="K39">
        <v>1057</v>
      </c>
      <c r="L39" s="4">
        <v>5.5312729000000003</v>
      </c>
      <c r="M39" s="4">
        <v>74.662659723869751</v>
      </c>
      <c r="N39" s="4">
        <v>-0.3401055901651473</v>
      </c>
      <c r="O39" s="1" t="str">
        <f>HYPERLINK(".\sm_car_250601_1258\sm_car_250601_1258_038_Ca116TrN_MaLSS_ode23t.png","figure")</f>
        <v>figure</v>
      </c>
      <c r="P39" t="s">
        <v>15</v>
      </c>
      <c r="V39">
        <f>K39-'2022a_250601_0524'!K39</f>
        <v>0</v>
      </c>
      <c r="W39" s="11">
        <f>V39/'2022a_250601_0524'!K39</f>
        <v>0</v>
      </c>
      <c r="X39">
        <f>L39-'2022a_250601_0524'!L39</f>
        <v>0.23120280000000015</v>
      </c>
      <c r="Y39" s="11">
        <f>X39/'2022a_250601_0524'!L39</f>
        <v>4.3622592840800375E-2</v>
      </c>
    </row>
    <row r="40" spans="1:25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25</v>
      </c>
      <c r="H40" t="s">
        <v>21</v>
      </c>
      <c r="I40" t="s">
        <v>22</v>
      </c>
      <c r="J40" t="s">
        <v>23</v>
      </c>
      <c r="K40">
        <v>963</v>
      </c>
      <c r="L40" s="4">
        <v>5.4069769000000001</v>
      </c>
      <c r="M40" s="4">
        <v>241.50229099389202</v>
      </c>
      <c r="N40" s="4">
        <v>0.23261616238238711</v>
      </c>
      <c r="O40" s="1" t="str">
        <f>HYPERLINK(".\sm_car_250601_1258\sm_car_250601_1258_039_Ca117TrN_MaWOT_ode23t.png","figure")</f>
        <v>figure</v>
      </c>
      <c r="P40" t="s">
        <v>15</v>
      </c>
      <c r="V40">
        <f>K40-'2022a_250601_0524'!K40</f>
        <v>0</v>
      </c>
      <c r="W40" s="11">
        <f>V40/'2022a_250601_0524'!K40</f>
        <v>0</v>
      </c>
      <c r="X40">
        <f>L40-'2022a_250601_0524'!L40</f>
        <v>0.34227000000000007</v>
      </c>
      <c r="Y40" s="11">
        <f>X40/'2022a_250601_0524'!L40</f>
        <v>6.7579428930033464E-2</v>
      </c>
    </row>
    <row r="41" spans="1:25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25</v>
      </c>
      <c r="H41" t="s">
        <v>21</v>
      </c>
      <c r="I41" t="s">
        <v>24</v>
      </c>
      <c r="J41" t="s">
        <v>23</v>
      </c>
      <c r="K41">
        <v>1063</v>
      </c>
      <c r="L41" s="4">
        <v>6.0876891000000004</v>
      </c>
      <c r="M41" s="4">
        <v>74.339005108528042</v>
      </c>
      <c r="N41" s="4">
        <v>-0.33658754453363837</v>
      </c>
      <c r="O41" s="1" t="str">
        <f>HYPERLINK(".\sm_car_250601_1258\sm_car_250601_1258_040_Ca117TrN_MaLSS_ode23t.png","figure")</f>
        <v>figure</v>
      </c>
      <c r="P41" t="s">
        <v>15</v>
      </c>
      <c r="V41">
        <f>K41-'2022a_250601_0524'!K41</f>
        <v>0</v>
      </c>
      <c r="W41" s="11">
        <f>V41/'2022a_250601_0524'!K41</f>
        <v>0</v>
      </c>
      <c r="X41">
        <f>L41-'2022a_250601_0524'!L41</f>
        <v>0.38753400000000049</v>
      </c>
      <c r="Y41" s="11">
        <f>X41/'2022a_250601_0524'!L41</f>
        <v>6.7986571102249566E-2</v>
      </c>
    </row>
    <row r="42" spans="1:25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26</v>
      </c>
      <c r="H42" t="s">
        <v>21</v>
      </c>
      <c r="I42" t="s">
        <v>22</v>
      </c>
      <c r="J42" t="s">
        <v>23</v>
      </c>
      <c r="K42">
        <v>947</v>
      </c>
      <c r="L42" s="4">
        <v>5.6179959000000004</v>
      </c>
      <c r="M42" s="4">
        <v>241.23064820859912</v>
      </c>
      <c r="N42" s="4">
        <v>0.23252480072032861</v>
      </c>
      <c r="O42" s="1" t="str">
        <f>HYPERLINK(".\sm_car_250601_1258\sm_car_250601_1258_041_Ca118TrN_MaWOT_ode23t.png","figure")</f>
        <v>figure</v>
      </c>
      <c r="P42" t="s">
        <v>15</v>
      </c>
      <c r="V42">
        <f>K42-'2022a_250601_0524'!K42</f>
        <v>0</v>
      </c>
      <c r="W42" s="11">
        <f>V42/'2022a_250601_0524'!K42</f>
        <v>0</v>
      </c>
      <c r="X42">
        <f>L42-'2022a_250601_0524'!L42</f>
        <v>-4.5899699999999655E-2</v>
      </c>
      <c r="Y42" s="11">
        <f>X42/'2022a_250601_0524'!L42</f>
        <v>-8.1039099661370274E-3</v>
      </c>
    </row>
    <row r="43" spans="1:25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26</v>
      </c>
      <c r="H43" t="s">
        <v>21</v>
      </c>
      <c r="I43" t="s">
        <v>24</v>
      </c>
      <c r="J43" t="s">
        <v>23</v>
      </c>
      <c r="K43">
        <v>1083</v>
      </c>
      <c r="L43" s="4">
        <v>6.5479015</v>
      </c>
      <c r="M43" s="4">
        <v>74.337064431350825</v>
      </c>
      <c r="N43" s="4">
        <v>-0.33611418080232897</v>
      </c>
      <c r="O43" s="1" t="str">
        <f>HYPERLINK(".\sm_car_250601_1258\sm_car_250601_1258_042_Ca118TrN_MaLSS_ode23t.png","figure")</f>
        <v>figure</v>
      </c>
      <c r="P43" t="s">
        <v>15</v>
      </c>
      <c r="V43">
        <f>K43-'2022a_250601_0524'!K43</f>
        <v>0</v>
      </c>
      <c r="W43" s="11">
        <f>V43/'2022a_250601_0524'!K43</f>
        <v>0</v>
      </c>
      <c r="X43">
        <f>L43-'2022a_250601_0524'!L43</f>
        <v>0.36095909999999964</v>
      </c>
      <c r="Y43" s="11">
        <f>X43/'2022a_250601_0524'!L43</f>
        <v>5.834208186583402E-2</v>
      </c>
    </row>
    <row r="44" spans="1:25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27</v>
      </c>
      <c r="H44" t="s">
        <v>21</v>
      </c>
      <c r="I44" t="s">
        <v>22</v>
      </c>
      <c r="J44" t="s">
        <v>23</v>
      </c>
      <c r="K44">
        <v>996</v>
      </c>
      <c r="L44" s="4">
        <v>6.2788262000000001</v>
      </c>
      <c r="M44" s="4">
        <v>240.99456068308641</v>
      </c>
      <c r="N44" s="4">
        <v>0.23171030835918666</v>
      </c>
      <c r="O44" s="1" t="str">
        <f>HYPERLINK(".\sm_car_250601_1258\sm_car_250601_1258_043_Ca119TrN_MaWOT_ode23t.png","figure")</f>
        <v>figure</v>
      </c>
      <c r="P44" t="s">
        <v>15</v>
      </c>
      <c r="V44">
        <f>K44-'2022a_250601_0524'!K44</f>
        <v>0</v>
      </c>
      <c r="W44" s="11">
        <f>V44/'2022a_250601_0524'!K44</f>
        <v>0</v>
      </c>
      <c r="X44">
        <f>L44-'2022a_250601_0524'!L44</f>
        <v>7.5715100000000035E-2</v>
      </c>
      <c r="Y44" s="11">
        <f>X44/'2022a_250601_0524'!L44</f>
        <v>1.2205988056541505E-2</v>
      </c>
    </row>
    <row r="45" spans="1:25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27</v>
      </c>
      <c r="H45" t="s">
        <v>21</v>
      </c>
      <c r="I45" t="s">
        <v>24</v>
      </c>
      <c r="J45" t="s">
        <v>23</v>
      </c>
      <c r="K45">
        <v>1100</v>
      </c>
      <c r="L45" s="4">
        <v>6.6576654</v>
      </c>
      <c r="M45" s="4">
        <v>74.191759012097194</v>
      </c>
      <c r="N45" s="4">
        <v>-0.33397949475133454</v>
      </c>
      <c r="O45" s="1" t="str">
        <f>HYPERLINK(".\sm_car_250601_1258\sm_car_250601_1258_044_Ca119TrN_MaLSS_ode23t.png","figure")</f>
        <v>figure</v>
      </c>
      <c r="P45" t="s">
        <v>15</v>
      </c>
      <c r="V45">
        <f>K45-'2022a_250601_0524'!K45</f>
        <v>0</v>
      </c>
      <c r="W45" s="11">
        <f>V45/'2022a_250601_0524'!K45</f>
        <v>0</v>
      </c>
      <c r="X45">
        <f>L45-'2022a_250601_0524'!L45</f>
        <v>0.3033809999999999</v>
      </c>
      <c r="Y45" s="11">
        <f>X45/'2022a_250601_0524'!L45</f>
        <v>4.7744321925534197E-2</v>
      </c>
    </row>
    <row r="46" spans="1:25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23</v>
      </c>
      <c r="K46">
        <v>324</v>
      </c>
      <c r="L46" s="4">
        <v>7.3610063999999999</v>
      </c>
      <c r="M46" s="4">
        <v>99.814061262987821</v>
      </c>
      <c r="N46" s="4">
        <v>-1.7632181555593908E-2</v>
      </c>
      <c r="O46" s="1" t="str">
        <f>HYPERLINK(".\sm_car_250601_1258\sm_car_250601_1258_045_Ca128TrN_MaWOT_ode23t.png","figure")</f>
        <v>figure</v>
      </c>
      <c r="P46" t="s">
        <v>15</v>
      </c>
      <c r="V46">
        <f>K46-'2022a_250601_0524'!K46</f>
        <v>0</v>
      </c>
      <c r="W46" s="11">
        <f>V46/'2022a_250601_0524'!K46</f>
        <v>0</v>
      </c>
      <c r="X46">
        <f>L46-'2022a_250601_0524'!L46</f>
        <v>1.3709883999999999</v>
      </c>
      <c r="Y46" s="11">
        <f>X46/'2022a_250601_0524'!L46</f>
        <v>0.22887884477141804</v>
      </c>
    </row>
    <row r="47" spans="1:25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23</v>
      </c>
      <c r="K47">
        <v>445</v>
      </c>
      <c r="L47" s="4">
        <v>8.1016759999999994</v>
      </c>
      <c r="M47" s="4">
        <v>36.975822320565428</v>
      </c>
      <c r="N47" s="4">
        <v>-0.13066798550488262</v>
      </c>
      <c r="O47" s="1" t="str">
        <f>HYPERLINK(".\sm_car_250601_1258\sm_car_250601_1258_046_Ca128TrN_MaLSS_ode23t.png","figure")</f>
        <v>figure</v>
      </c>
      <c r="P47" t="s">
        <v>15</v>
      </c>
      <c r="V47">
        <f>K47-'2022a_250601_0524'!K47</f>
        <v>0</v>
      </c>
      <c r="W47" s="11">
        <f>V47/'2022a_250601_0524'!K47</f>
        <v>0</v>
      </c>
      <c r="X47">
        <f>L47-'2022a_250601_0524'!L47</f>
        <v>0.16288499999999928</v>
      </c>
      <c r="Y47" s="11">
        <f>X47/'2022a_250601_0524'!L47</f>
        <v>2.0517607781839739E-2</v>
      </c>
    </row>
    <row r="48" spans="1:25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23</v>
      </c>
      <c r="K48">
        <v>340</v>
      </c>
      <c r="L48" s="4">
        <v>7.6769429999999996</v>
      </c>
      <c r="M48" s="4">
        <v>229.36392419082537</v>
      </c>
      <c r="N48" s="4">
        <v>5.5396184986990567E-2</v>
      </c>
      <c r="O48" s="1" t="str">
        <f>HYPERLINK(".\sm_car_250601_1258\sm_car_250601_1258_047_Ca129TrN_MaWOT_ode23t.png","figure")</f>
        <v>figure</v>
      </c>
      <c r="P48" t="s">
        <v>15</v>
      </c>
      <c r="V48">
        <f>K48-'2022a_250601_0524'!K48</f>
        <v>0</v>
      </c>
      <c r="W48" s="11">
        <f>V48/'2022a_250601_0524'!K48</f>
        <v>0</v>
      </c>
      <c r="X48">
        <f>L48-'2022a_250601_0524'!L48</f>
        <v>0.12299849999999957</v>
      </c>
      <c r="Y48" s="11">
        <f>X48/'2022a_250601_0524'!L48</f>
        <v>1.6282685158727279E-2</v>
      </c>
    </row>
    <row r="49" spans="1:25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23</v>
      </c>
      <c r="K49">
        <v>480</v>
      </c>
      <c r="L49" s="4">
        <v>8.7742836000000004</v>
      </c>
      <c r="M49" s="4">
        <v>70.691904787487161</v>
      </c>
      <c r="N49" s="4">
        <v>-0.52715893519725132</v>
      </c>
      <c r="O49" s="1" t="str">
        <f>HYPERLINK(".\sm_car_250601_1258\sm_car_250601_1258_048_Ca129TrN_MaLSS_ode23t.png","figure")</f>
        <v>figure</v>
      </c>
      <c r="P49" t="s">
        <v>15</v>
      </c>
      <c r="V49">
        <f>K49-'2022a_250601_0524'!K49</f>
        <v>0</v>
      </c>
      <c r="W49" s="11">
        <f>V49/'2022a_250601_0524'!K49</f>
        <v>0</v>
      </c>
      <c r="X49">
        <f>L49-'2022a_250601_0524'!L49</f>
        <v>9.3815400000000437E-2</v>
      </c>
      <c r="Y49" s="11">
        <f>X49/'2022a_250601_0524'!L49</f>
        <v>1.0807642841200713E-2</v>
      </c>
    </row>
    <row r="50" spans="1:25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23</v>
      </c>
      <c r="K50">
        <v>800</v>
      </c>
      <c r="L50" s="4">
        <v>23.961221399999999</v>
      </c>
      <c r="M50" s="4">
        <v>217.28170793130232</v>
      </c>
      <c r="N50" s="4">
        <v>-1.5362249648371662</v>
      </c>
      <c r="O50" s="1" t="str">
        <f>HYPERLINK(".\sm_car_250601_1258\sm_car_250601_1258_049_Ca130TrN_MaWOT_ode23t.png","figure")</f>
        <v>figure</v>
      </c>
      <c r="P50" t="s">
        <v>15</v>
      </c>
      <c r="V50">
        <f>K50-'2022a_250601_0524'!K50</f>
        <v>0</v>
      </c>
      <c r="W50" s="11">
        <f>V50/'2022a_250601_0524'!K50</f>
        <v>0</v>
      </c>
      <c r="X50">
        <f>L50-'2022a_250601_0524'!L50</f>
        <v>0.76978499999999883</v>
      </c>
      <c r="Y50" s="11">
        <f>X50/'2022a_250601_0524'!L50</f>
        <v>3.3192640021210536E-2</v>
      </c>
    </row>
    <row r="51" spans="1:25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23</v>
      </c>
      <c r="K51">
        <v>779</v>
      </c>
      <c r="L51" s="4">
        <v>22.0458286</v>
      </c>
      <c r="M51" s="4">
        <v>68.779505776194313</v>
      </c>
      <c r="N51" s="4">
        <v>-0.5440557391299784</v>
      </c>
      <c r="O51" s="1" t="str">
        <f>HYPERLINK(".\sm_car_250601_1258\sm_car_250601_1258_050_Ca130TrN_MaLSS_ode23t.png","figure")</f>
        <v>figure</v>
      </c>
      <c r="P51" t="s">
        <v>15</v>
      </c>
      <c r="V51">
        <f>K51-'2022a_250601_0524'!K51</f>
        <v>0</v>
      </c>
      <c r="W51" s="11">
        <f>V51/'2022a_250601_0524'!K51</f>
        <v>0</v>
      </c>
      <c r="X51">
        <f>L51-'2022a_250601_0524'!L51</f>
        <v>0.77447760000000088</v>
      </c>
      <c r="Y51" s="11">
        <f>X51/'2022a_250601_0524'!L51</f>
        <v>3.6409422231808451E-2</v>
      </c>
    </row>
    <row r="52" spans="1:25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23</v>
      </c>
      <c r="K52">
        <v>363</v>
      </c>
      <c r="L52" s="4">
        <v>4.8441159000000003</v>
      </c>
      <c r="M52" s="4">
        <v>230.10132280490575</v>
      </c>
      <c r="N52" s="4">
        <v>-4.1828478662908848E-2</v>
      </c>
      <c r="O52" s="1" t="str">
        <f>HYPERLINK(".\sm_car_250601_1258\sm_car_250601_1258_051_Ca131TrN_MaWOT_ode23t.png","figure")</f>
        <v>figure</v>
      </c>
      <c r="P52" t="s">
        <v>15</v>
      </c>
      <c r="V52">
        <f>K52-'2022a_250601_0524'!K52</f>
        <v>0</v>
      </c>
      <c r="W52" s="11">
        <f>V52/'2022a_250601_0524'!K52</f>
        <v>0</v>
      </c>
      <c r="X52">
        <f>L52-'2022a_250601_0524'!L52</f>
        <v>-0.35840289999999975</v>
      </c>
      <c r="Y52" s="11">
        <f>X52/'2022a_250601_0524'!L52</f>
        <v>-6.8890265230757017E-2</v>
      </c>
    </row>
    <row r="53" spans="1:25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23</v>
      </c>
      <c r="K53">
        <v>497</v>
      </c>
      <c r="L53" s="4">
        <v>5.6507364999999998</v>
      </c>
      <c r="M53" s="4">
        <v>70.962308130153446</v>
      </c>
      <c r="N53" s="4">
        <v>-0.54092331374709235</v>
      </c>
      <c r="O53" s="1" t="str">
        <f>HYPERLINK(".\sm_car_250601_1258\sm_car_250601_1258_052_Ca131TrN_MaLSS_ode23t.png","figure")</f>
        <v>figure</v>
      </c>
      <c r="P53" t="s">
        <v>15</v>
      </c>
      <c r="V53">
        <f>K53-'2022a_250601_0524'!K53</f>
        <v>0</v>
      </c>
      <c r="W53" s="11">
        <f>V53/'2022a_250601_0524'!K53</f>
        <v>0</v>
      </c>
      <c r="X53">
        <f>L53-'2022a_250601_0524'!L53</f>
        <v>7.2663799999999945E-2</v>
      </c>
      <c r="Y53" s="11">
        <f>X53/'2022a_250601_0524'!L53</f>
        <v>1.3026685722471841E-2</v>
      </c>
    </row>
    <row r="54" spans="1:25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23</v>
      </c>
      <c r="K54">
        <v>367</v>
      </c>
      <c r="L54" s="4">
        <v>5.0899846000000002</v>
      </c>
      <c r="M54" s="4">
        <v>230.40589816124253</v>
      </c>
      <c r="N54" s="4">
        <v>-9.096984734319408E-3</v>
      </c>
      <c r="O54" s="1" t="str">
        <f>HYPERLINK(".\sm_car_250601_1258\sm_car_250601_1258_053_Ca132TrN_MaWOT_ode23t.png","figure")</f>
        <v>figure</v>
      </c>
      <c r="P54" t="s">
        <v>15</v>
      </c>
      <c r="V54">
        <f>K54-'2022a_250601_0524'!K54</f>
        <v>0</v>
      </c>
      <c r="W54" s="11">
        <f>V54/'2022a_250601_0524'!K54</f>
        <v>0</v>
      </c>
      <c r="X54">
        <f>L54-'2022a_250601_0524'!L54</f>
        <v>1.469699999999996E-2</v>
      </c>
      <c r="Y54" s="11">
        <f>X54/'2022a_250601_0524'!L54</f>
        <v>2.8957964864887577E-3</v>
      </c>
    </row>
    <row r="55" spans="1:25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23</v>
      </c>
      <c r="K55">
        <v>493</v>
      </c>
      <c r="L55" s="4">
        <v>5.8451674999999996</v>
      </c>
      <c r="M55" s="4">
        <v>70.960602131367693</v>
      </c>
      <c r="N55" s="4">
        <v>-0.53634738852393293</v>
      </c>
      <c r="O55" s="1" t="str">
        <f>HYPERLINK(".\sm_car_250601_1258\sm_car_250601_1258_054_Ca132TrN_MaLSS_ode23t.png","figure")</f>
        <v>figure</v>
      </c>
      <c r="P55" t="s">
        <v>15</v>
      </c>
      <c r="V55">
        <f>K55-'2022a_250601_0524'!K55</f>
        <v>0</v>
      </c>
      <c r="W55" s="11">
        <f>V55/'2022a_250601_0524'!K55</f>
        <v>0</v>
      </c>
      <c r="X55">
        <f>L55-'2022a_250601_0524'!L55</f>
        <v>0.14181679999999997</v>
      </c>
      <c r="Y55" s="11">
        <f>X55/'2022a_250601_0524'!L55</f>
        <v>2.4865523349283075E-2</v>
      </c>
    </row>
    <row r="56" spans="1:25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23</v>
      </c>
      <c r="K56">
        <v>354</v>
      </c>
      <c r="L56" s="4">
        <v>5.1015367999999999</v>
      </c>
      <c r="M56" s="4">
        <v>230.38890124053427</v>
      </c>
      <c r="N56" s="4">
        <v>-7.5062799287146644E-3</v>
      </c>
      <c r="O56" s="1" t="str">
        <f>HYPERLINK(".\sm_car_250601_1258\sm_car_250601_1258_055_Ca133TrN_MaWOT_ode23t.png","figure")</f>
        <v>figure</v>
      </c>
      <c r="P56" t="s">
        <v>15</v>
      </c>
      <c r="V56">
        <f>K56-'2022a_250601_0524'!K56</f>
        <v>0</v>
      </c>
      <c r="W56" s="11">
        <f>V56/'2022a_250601_0524'!K56</f>
        <v>0</v>
      </c>
      <c r="X56">
        <f>L56-'2022a_250601_0524'!L56</f>
        <v>-0.35592329999999972</v>
      </c>
      <c r="Y56" s="11">
        <f>X56/'2022a_250601_0524'!L56</f>
        <v>-6.521775578350078E-2</v>
      </c>
    </row>
    <row r="57" spans="1:25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23</v>
      </c>
      <c r="K57">
        <v>497</v>
      </c>
      <c r="L57" s="4">
        <v>5.7578040000000001</v>
      </c>
      <c r="M57" s="4">
        <v>70.970673316838216</v>
      </c>
      <c r="N57" s="4">
        <v>-0.52834200882352278</v>
      </c>
      <c r="O57" s="1" t="str">
        <f>HYPERLINK(".\sm_car_250601_1258\sm_car_250601_1258_056_Ca133TrN_MaLSS_ode23t.png","figure")</f>
        <v>figure</v>
      </c>
      <c r="P57" t="s">
        <v>15</v>
      </c>
      <c r="V57">
        <f>K57-'2022a_250601_0524'!K57</f>
        <v>0</v>
      </c>
      <c r="W57" s="11">
        <f>V57/'2022a_250601_0524'!K57</f>
        <v>0</v>
      </c>
      <c r="X57">
        <f>L57-'2022a_250601_0524'!L57</f>
        <v>0.12675239999999999</v>
      </c>
      <c r="Y57" s="11">
        <f>X57/'2022a_250601_0524'!L57</f>
        <v>2.2509543332900728E-2</v>
      </c>
    </row>
    <row r="58" spans="1:25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23</v>
      </c>
      <c r="K58">
        <v>358</v>
      </c>
      <c r="L58" s="4">
        <v>5.4843826</v>
      </c>
      <c r="M58" s="4">
        <v>230.38627969123687</v>
      </c>
      <c r="N58" s="4">
        <v>-1.2699869487549548E-2</v>
      </c>
      <c r="O58" s="1" t="str">
        <f>HYPERLINK(".\sm_car_250601_1258\sm_car_250601_1258_057_Ca134TrN_MaWOT_ode23t.png","figure")</f>
        <v>figure</v>
      </c>
      <c r="P58" t="s">
        <v>15</v>
      </c>
      <c r="V58">
        <f>K58-'2022a_250601_0524'!K58</f>
        <v>0</v>
      </c>
      <c r="W58" s="11">
        <f>V58/'2022a_250601_0524'!K58</f>
        <v>0</v>
      </c>
      <c r="X58">
        <f>L58-'2022a_250601_0524'!L58</f>
        <v>0.3702734999999997</v>
      </c>
      <c r="Y58" s="11">
        <f>X58/'2022a_250601_0524'!L58</f>
        <v>7.2402346676569668E-2</v>
      </c>
    </row>
    <row r="59" spans="1:25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23</v>
      </c>
      <c r="K59">
        <v>502</v>
      </c>
      <c r="L59" s="4">
        <v>5.8470249000000001</v>
      </c>
      <c r="M59" s="4">
        <v>70.976515589972053</v>
      </c>
      <c r="N59" s="4">
        <v>-0.534342537793145</v>
      </c>
      <c r="O59" s="1" t="str">
        <f>HYPERLINK(".\sm_car_250601_1258\sm_car_250601_1258_058_Ca134TrN_MaLSS_ode23t.png","figure")</f>
        <v>figure</v>
      </c>
      <c r="P59" t="s">
        <v>15</v>
      </c>
      <c r="V59">
        <f>K59-'2022a_250601_0524'!K59</f>
        <v>0</v>
      </c>
      <c r="W59" s="11">
        <f>V59/'2022a_250601_0524'!K59</f>
        <v>0</v>
      </c>
      <c r="X59">
        <f>L59-'2022a_250601_0524'!L59</f>
        <v>8.8886000000000465E-2</v>
      </c>
      <c r="Y59" s="11">
        <f>X59/'2022a_250601_0524'!L59</f>
        <v>1.5436584900722083E-2</v>
      </c>
    </row>
    <row r="60" spans="1:25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23</v>
      </c>
      <c r="K60">
        <v>346</v>
      </c>
      <c r="L60" s="4">
        <v>4.8327513</v>
      </c>
      <c r="M60" s="4">
        <v>230.39182221946751</v>
      </c>
      <c r="N60" s="4">
        <v>-1.1090319417731176E-2</v>
      </c>
      <c r="O60" s="1" t="str">
        <f>HYPERLINK(".\sm_car_250601_1258\sm_car_250601_1258_059_Ca135TrN_MaWOT_ode23t.png","figure")</f>
        <v>figure</v>
      </c>
      <c r="P60" t="s">
        <v>15</v>
      </c>
      <c r="V60">
        <f>K60-'2022a_250601_0524'!K60</f>
        <v>0</v>
      </c>
      <c r="W60" s="11">
        <f>V60/'2022a_250601_0524'!K60</f>
        <v>0</v>
      </c>
      <c r="X60">
        <f>L60-'2022a_250601_0524'!L60</f>
        <v>-7.1323200000000142E-2</v>
      </c>
      <c r="Y60" s="11">
        <f>X60/'2022a_250601_0524'!L60</f>
        <v>-1.4543661602204482E-2</v>
      </c>
    </row>
    <row r="61" spans="1:25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23</v>
      </c>
      <c r="K61">
        <v>490</v>
      </c>
      <c r="L61" s="4">
        <v>5.8687664000000002</v>
      </c>
      <c r="M61" s="4">
        <v>70.979964543448673</v>
      </c>
      <c r="N61" s="4">
        <v>-0.52629443401147824</v>
      </c>
      <c r="O61" s="1" t="str">
        <f>HYPERLINK(".\sm_car_250601_1258\sm_car_250601_1258_060_Ca135TrN_MaLSS_ode23t.png","figure")</f>
        <v>figure</v>
      </c>
      <c r="P61" t="s">
        <v>15</v>
      </c>
      <c r="V61">
        <f>K61-'2022a_250601_0524'!K61</f>
        <v>0</v>
      </c>
      <c r="W61" s="11">
        <f>V61/'2022a_250601_0524'!K61</f>
        <v>0</v>
      </c>
      <c r="X61">
        <f>L61-'2022a_250601_0524'!L61</f>
        <v>0.44434120000000021</v>
      </c>
      <c r="Y61" s="11">
        <f>X61/'2022a_250601_0524'!L61</f>
        <v>8.1914891185152702E-2</v>
      </c>
    </row>
    <row r="62" spans="1:25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23</v>
      </c>
      <c r="K62">
        <v>363</v>
      </c>
      <c r="L62" s="4">
        <v>5.5585939</v>
      </c>
      <c r="M62" s="4">
        <v>230.28749129544778</v>
      </c>
      <c r="N62" s="4">
        <v>5.7437038867938522E-2</v>
      </c>
      <c r="O62" s="1" t="str">
        <f>HYPERLINK(".\sm_car_250601_1258\sm_car_250601_1258_061_Ca136TrN_MaWOT_ode23t.png","figure")</f>
        <v>figure</v>
      </c>
      <c r="P62" t="s">
        <v>15</v>
      </c>
      <c r="V62">
        <f>K62-'2022a_250601_0524'!K62</f>
        <v>0</v>
      </c>
      <c r="W62" s="11">
        <f>V62/'2022a_250601_0524'!K62</f>
        <v>0</v>
      </c>
      <c r="X62">
        <f>L62-'2022a_250601_0524'!L62</f>
        <v>-0.10337840000000043</v>
      </c>
      <c r="Y62" s="11">
        <f>X62/'2022a_250601_0524'!L62</f>
        <v>-1.8258372616906025E-2</v>
      </c>
    </row>
    <row r="63" spans="1:25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23</v>
      </c>
      <c r="K63">
        <v>491</v>
      </c>
      <c r="L63" s="4">
        <v>6.7354215999999996</v>
      </c>
      <c r="M63" s="4">
        <v>70.970897178997788</v>
      </c>
      <c r="N63" s="4">
        <v>-0.52998807998681552</v>
      </c>
      <c r="O63" s="1" t="str">
        <f>HYPERLINK(".\sm_car_250601_1258\sm_car_250601_1258_062_Ca136TrN_MaLSS_ode23t.png","figure")</f>
        <v>figure</v>
      </c>
      <c r="P63" t="s">
        <v>15</v>
      </c>
      <c r="V63">
        <f>K63-'2022a_250601_0524'!K63</f>
        <v>0</v>
      </c>
      <c r="W63" s="11">
        <f>V63/'2022a_250601_0524'!K63</f>
        <v>0</v>
      </c>
      <c r="X63">
        <f>L63-'2022a_250601_0524'!L63</f>
        <v>0.17934989999999917</v>
      </c>
      <c r="Y63" s="11">
        <f>X63/'2022a_250601_0524'!L63</f>
        <v>2.7356305453462196E-2</v>
      </c>
    </row>
    <row r="64" spans="1:25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23</v>
      </c>
      <c r="K64">
        <v>322</v>
      </c>
      <c r="L64" s="4">
        <v>3.9041570000000001</v>
      </c>
      <c r="M64" s="4">
        <v>231.13056882651293</v>
      </c>
      <c r="N64" s="4">
        <v>0.14153927036018177</v>
      </c>
      <c r="O64" s="1" t="str">
        <f>HYPERLINK(".\sm_car_250601_1258\sm_car_250601_1258_063_Ca137TrN_MaWOT_ode23t.png","figure")</f>
        <v>figure</v>
      </c>
      <c r="P64" t="s">
        <v>15</v>
      </c>
      <c r="V64">
        <f>K64-'2022a_250601_0524'!K64</f>
        <v>0</v>
      </c>
      <c r="W64" s="11">
        <f>V64/'2022a_250601_0524'!K64</f>
        <v>0</v>
      </c>
      <c r="X64">
        <f>L64-'2022a_250601_0524'!L64</f>
        <v>-2.4635899999999822E-2</v>
      </c>
      <c r="Y64" s="11">
        <f>X64/'2022a_250601_0524'!L64</f>
        <v>-6.2706028612502891E-3</v>
      </c>
    </row>
    <row r="65" spans="1:25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23</v>
      </c>
      <c r="K65">
        <v>480</v>
      </c>
      <c r="L65" s="4">
        <v>4.8950098999999998</v>
      </c>
      <c r="M65" s="4">
        <v>71.239976441046863</v>
      </c>
      <c r="N65" s="4">
        <v>-0.51296852072698151</v>
      </c>
      <c r="O65" s="1" t="str">
        <f>HYPERLINK(".\sm_car_250601_1258\sm_car_250601_1258_064_Ca137TrN_MaLSS_ode23t.png","figure")</f>
        <v>figure</v>
      </c>
      <c r="P65" t="s">
        <v>15</v>
      </c>
      <c r="V65">
        <f>K65-'2022a_250601_0524'!K65</f>
        <v>0</v>
      </c>
      <c r="W65" s="11">
        <f>V65/'2022a_250601_0524'!K65</f>
        <v>0</v>
      </c>
      <c r="X65">
        <f>L65-'2022a_250601_0524'!L65</f>
        <v>-2.0925199999999755E-2</v>
      </c>
      <c r="Y65" s="11">
        <f>X65/'2022a_250601_0524'!L65</f>
        <v>-4.2566062355053787E-3</v>
      </c>
    </row>
    <row r="66" spans="1:25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23</v>
      </c>
      <c r="K66">
        <v>330</v>
      </c>
      <c r="L66" s="4">
        <v>6.3996658999999996</v>
      </c>
      <c r="M66" s="4">
        <v>231.04126857060766</v>
      </c>
      <c r="N66" s="4">
        <v>0.14657344627996305</v>
      </c>
      <c r="O66" s="1" t="str">
        <f>HYPERLINK(".\sm_car_250601_1258\sm_car_250601_1258_065_Ca138TrN_MaWOT_ode23t.png","figure")</f>
        <v>figure</v>
      </c>
      <c r="P66" t="s">
        <v>15</v>
      </c>
      <c r="V66">
        <f>K66-'2022a_250601_0524'!K66</f>
        <v>0</v>
      </c>
      <c r="W66" s="11">
        <f>V66/'2022a_250601_0524'!K66</f>
        <v>0</v>
      </c>
      <c r="X66">
        <f>L66-'2022a_250601_0524'!L66</f>
        <v>-1.1587718000000002</v>
      </c>
      <c r="Y66" s="11">
        <f>X66/'2022a_250601_0524'!L66</f>
        <v>-0.15330837482460169</v>
      </c>
    </row>
    <row r="67" spans="1:25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23</v>
      </c>
      <c r="K67">
        <v>495</v>
      </c>
      <c r="L67" s="4">
        <v>6.8607341000000002</v>
      </c>
      <c r="M67" s="4">
        <v>71.130252783663053</v>
      </c>
      <c r="N67" s="4">
        <v>-0.82600072700020344</v>
      </c>
      <c r="O67" s="1" t="str">
        <f>HYPERLINK(".\sm_car_250601_1258\sm_car_250601_1258_066_Ca138TrN_MaLSS_ode23t.png","figure")</f>
        <v>figure</v>
      </c>
      <c r="P67" t="s">
        <v>15</v>
      </c>
      <c r="V67">
        <f>K67-'2022a_250601_0524'!K67</f>
        <v>0</v>
      </c>
      <c r="W67" s="11">
        <f>V67/'2022a_250601_0524'!K67</f>
        <v>0</v>
      </c>
      <c r="X67">
        <f>L67-'2022a_250601_0524'!L67</f>
        <v>0.14942770000000039</v>
      </c>
      <c r="Y67" s="11">
        <f>X67/'2022a_250601_0524'!L67</f>
        <v>2.2265068988654785E-2</v>
      </c>
    </row>
    <row r="68" spans="1:25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23</v>
      </c>
      <c r="K68">
        <v>652</v>
      </c>
      <c r="L68" s="4">
        <v>27.285277499999999</v>
      </c>
      <c r="M68" s="4">
        <v>405.34282971654443</v>
      </c>
      <c r="N68" s="4">
        <v>1.6363409677673066</v>
      </c>
      <c r="O68" s="1" t="str">
        <f>HYPERLINK(".\sm_car_250601_1258\sm_car_250601_1258_067_Ca139TrN_MaWOT_ode23t.png","figure")</f>
        <v>figure</v>
      </c>
      <c r="P68" t="s">
        <v>15</v>
      </c>
      <c r="V68">
        <f>K68-'2022a_250601_0524'!K68</f>
        <v>0</v>
      </c>
      <c r="W68" s="11">
        <f>V68/'2022a_250601_0524'!K68</f>
        <v>0</v>
      </c>
      <c r="X68">
        <f>L68-'2022a_250601_0524'!L68</f>
        <v>0.43626079999999945</v>
      </c>
      <c r="Y68" s="11">
        <f>X68/'2022a_250601_0524'!L68</f>
        <v>1.6248669546248203E-2</v>
      </c>
    </row>
    <row r="69" spans="1:25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23</v>
      </c>
      <c r="K69">
        <v>652</v>
      </c>
      <c r="L69" s="4">
        <v>17.501549900000001</v>
      </c>
      <c r="M69" s="4">
        <v>154.37158532024651</v>
      </c>
      <c r="N69" s="4">
        <v>-0.58868509825025073</v>
      </c>
      <c r="O69" s="1" t="str">
        <f>HYPERLINK(".\sm_car_250601_1258\sm_car_250601_1258_068_Ca139TrN_MaLSS_ode23t.png","figure")</f>
        <v>figure</v>
      </c>
      <c r="P69" t="s">
        <v>15</v>
      </c>
      <c r="V69">
        <f>K69-'2022a_250601_0524'!K69</f>
        <v>0</v>
      </c>
      <c r="W69" s="11">
        <f>V69/'2022a_250601_0524'!K69</f>
        <v>0</v>
      </c>
      <c r="X69">
        <f>L69-'2022a_250601_0524'!L69</f>
        <v>0.1303869000000013</v>
      </c>
      <c r="Y69" s="11">
        <f>X69/'2022a_250601_0524'!L69</f>
        <v>7.505939585046857E-3</v>
      </c>
    </row>
    <row r="70" spans="1:25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23</v>
      </c>
      <c r="K70">
        <v>2021</v>
      </c>
      <c r="L70" s="4">
        <v>39.034283899999998</v>
      </c>
      <c r="M70" s="4">
        <v>405.28004150776576</v>
      </c>
      <c r="N70" s="4">
        <v>1.6695322531781871</v>
      </c>
      <c r="O70" s="1" t="str">
        <f>HYPERLINK(".\sm_car_250601_1258\sm_car_250601_1258_069_Ca141TrN_MaWOT_ode23t.png","figure")</f>
        <v>figure</v>
      </c>
      <c r="P70" t="s">
        <v>15</v>
      </c>
      <c r="V70">
        <f>K70-'2022a_250601_0524'!K70</f>
        <v>0</v>
      </c>
      <c r="W70" s="11">
        <f>V70/'2022a_250601_0524'!K70</f>
        <v>0</v>
      </c>
      <c r="X70">
        <f>L70-'2022a_250601_0524'!L70</f>
        <v>1.6021147000000013</v>
      </c>
      <c r="Y70" s="11">
        <f>X70/'2022a_250601_0524'!L70</f>
        <v>4.2800477082690719E-2</v>
      </c>
    </row>
    <row r="71" spans="1:25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23</v>
      </c>
      <c r="K71">
        <v>1895</v>
      </c>
      <c r="L71" s="4">
        <v>36.831568900000001</v>
      </c>
      <c r="M71" s="4">
        <v>154.40028044949671</v>
      </c>
      <c r="N71" s="4">
        <v>-0.57175726874626087</v>
      </c>
      <c r="O71" s="1" t="str">
        <f>HYPERLINK(".\sm_car_250601_1258\sm_car_250601_1258_070_Ca141TrN_MaLSS_ode23t.png","figure")</f>
        <v>figure</v>
      </c>
      <c r="P71" t="s">
        <v>15</v>
      </c>
      <c r="V71">
        <f>K71-'2022a_250601_0524'!K71</f>
        <v>0</v>
      </c>
      <c r="W71" s="11">
        <f>V71/'2022a_250601_0524'!K71</f>
        <v>0</v>
      </c>
      <c r="X71">
        <f>L71-'2022a_250601_0524'!L71</f>
        <v>9.8778261000000001</v>
      </c>
      <c r="Y71" s="11">
        <f>X71/'2022a_250601_0524'!L71</f>
        <v>0.36647326396540369</v>
      </c>
    </row>
    <row r="72" spans="1:25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23</v>
      </c>
      <c r="K72">
        <v>353</v>
      </c>
      <c r="L72" s="4">
        <v>21.913440399999999</v>
      </c>
      <c r="M72" s="4">
        <v>95.821673801111075</v>
      </c>
      <c r="N72" s="4">
        <v>-3.1658773256693203E-2</v>
      </c>
      <c r="O72" s="1" t="str">
        <f>HYPERLINK(".\sm_car_250601_1258\sm_car_250601_1258_071_Ca143TrN_MaWOT_ode23t.png","figure")</f>
        <v>figure</v>
      </c>
      <c r="P72" t="s">
        <v>15</v>
      </c>
      <c r="V72">
        <f>K72-'2022a_250601_0524'!K72</f>
        <v>0</v>
      </c>
      <c r="W72" s="11">
        <f>V72/'2022a_250601_0524'!K72</f>
        <v>0</v>
      </c>
      <c r="X72">
        <f>L72-'2022a_250601_0524'!L72</f>
        <v>0.62982809999999745</v>
      </c>
      <c r="Y72" s="11">
        <f>X72/'2022a_250601_0524'!L72</f>
        <v>2.9592161853089074E-2</v>
      </c>
    </row>
    <row r="73" spans="1:25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23</v>
      </c>
      <c r="K73">
        <v>448</v>
      </c>
      <c r="L73" s="4">
        <v>23.307811699999998</v>
      </c>
      <c r="M73" s="4">
        <v>25.014681132040707</v>
      </c>
      <c r="N73" s="4">
        <v>-5.2905397861808416E-2</v>
      </c>
      <c r="O73" s="1" t="str">
        <f>HYPERLINK(".\sm_car_250601_1258\sm_car_250601_1258_072_Ca143TrN_MaLSS_ode23t.png","figure")</f>
        <v>figure</v>
      </c>
      <c r="P73" t="s">
        <v>15</v>
      </c>
      <c r="V73">
        <f>K73-'2022a_250601_0524'!K73</f>
        <v>0</v>
      </c>
      <c r="W73" s="11">
        <f>V73/'2022a_250601_0524'!K73</f>
        <v>0</v>
      </c>
      <c r="X73">
        <f>L73-'2022a_250601_0524'!L73</f>
        <v>0.21967999999999677</v>
      </c>
      <c r="Y73" s="11">
        <f>X73/'2022a_250601_0524'!L73</f>
        <v>9.5148452397296728E-3</v>
      </c>
    </row>
    <row r="74" spans="1:25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23</v>
      </c>
      <c r="K74">
        <v>354</v>
      </c>
      <c r="L74" s="4">
        <v>16.593613999999999</v>
      </c>
      <c r="M74" s="4">
        <v>114.02109667338847</v>
      </c>
      <c r="N74" s="4">
        <v>0.52989003843524995</v>
      </c>
      <c r="O74" s="1" t="str">
        <f>HYPERLINK(".\sm_car_250601_1258\sm_car_250601_1258_073_Ca144TrN_MaWOT_ode23t.png","figure")</f>
        <v>figure</v>
      </c>
      <c r="P74" t="s">
        <v>15</v>
      </c>
      <c r="V74">
        <f>K74-'2022a_250601_0524'!K74</f>
        <v>0</v>
      </c>
      <c r="W74" s="11">
        <f>V74/'2022a_250601_0524'!K74</f>
        <v>0</v>
      </c>
      <c r="X74">
        <f>L74-'2022a_250601_0524'!L74</f>
        <v>-0.26414899999999975</v>
      </c>
      <c r="Y74" s="11">
        <f>X74/'2022a_250601_0524'!L74</f>
        <v>-1.5669279488624902E-2</v>
      </c>
    </row>
    <row r="75" spans="1:25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23</v>
      </c>
      <c r="K75">
        <v>460</v>
      </c>
      <c r="L75" s="4">
        <v>13.105370799999999</v>
      </c>
      <c r="M75" s="4">
        <v>35.600217061292902</v>
      </c>
      <c r="N75" s="4">
        <v>-3.1094151198819833E-2</v>
      </c>
      <c r="O75" s="1" t="str">
        <f>HYPERLINK(".\sm_car_250601_1258\sm_car_250601_1258_074_Ca144TrN_MaLSS_ode23t.png","figure")</f>
        <v>figure</v>
      </c>
      <c r="P75" t="s">
        <v>15</v>
      </c>
      <c r="V75">
        <f>K75-'2022a_250601_0524'!K75</f>
        <v>0</v>
      </c>
      <c r="W75" s="11">
        <f>V75/'2022a_250601_0524'!K75</f>
        <v>0</v>
      </c>
      <c r="X75">
        <f>L75-'2022a_250601_0524'!L75</f>
        <v>-3.2814036000000009</v>
      </c>
      <c r="Y75" s="11">
        <f>X75/'2022a_250601_0524'!L75</f>
        <v>-0.20024707241957276</v>
      </c>
    </row>
    <row r="76" spans="1:25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23</v>
      </c>
      <c r="K76">
        <v>2380</v>
      </c>
      <c r="L76" s="4">
        <v>27.898837</v>
      </c>
      <c r="M76" s="4">
        <v>399.81124753603279</v>
      </c>
      <c r="N76" s="4">
        <v>-16.045456112949136</v>
      </c>
      <c r="O76" s="1" t="str">
        <f>HYPERLINK(".\sm_car_250601_1258\sm_car_250601_1258_075_Ca147TrN_MaWOT_ode23t.png","figure")</f>
        <v>figure</v>
      </c>
      <c r="P76" t="s">
        <v>15</v>
      </c>
      <c r="V76">
        <f>K76-'2022a_250601_0524'!K76</f>
        <v>0</v>
      </c>
      <c r="W76" s="11">
        <f>V76/'2022a_250601_0524'!K76</f>
        <v>0</v>
      </c>
      <c r="X76">
        <f>L76-'2022a_250601_0524'!L76</f>
        <v>0.18934289999999976</v>
      </c>
      <c r="Y76" s="11">
        <f>X76/'2022a_250601_0524'!L76</f>
        <v>6.8331417136915451E-3</v>
      </c>
    </row>
    <row r="77" spans="1:25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23</v>
      </c>
      <c r="K77">
        <v>1289</v>
      </c>
      <c r="L77" s="4">
        <v>18.7166596</v>
      </c>
      <c r="M77" s="4">
        <v>151.95045176866967</v>
      </c>
      <c r="N77" s="4">
        <v>-2.37086492899404</v>
      </c>
      <c r="O77" s="1" t="str">
        <f>HYPERLINK(".\sm_car_250601_1258\sm_car_250601_1258_076_Ca147TrN_MaLSS_ode23t.png","figure")</f>
        <v>figure</v>
      </c>
      <c r="P77" t="s">
        <v>15</v>
      </c>
      <c r="V77">
        <f>K77-'2022a_250601_0524'!K77</f>
        <v>0</v>
      </c>
      <c r="W77" s="11">
        <f>V77/'2022a_250601_0524'!K77</f>
        <v>0</v>
      </c>
      <c r="X77">
        <f>L77-'2022a_250601_0524'!L77</f>
        <v>0.34295469999999995</v>
      </c>
      <c r="Y77" s="11">
        <f>X77/'2022a_250601_0524'!L77</f>
        <v>1.8665516936652225E-2</v>
      </c>
    </row>
    <row r="78" spans="1:25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23</v>
      </c>
      <c r="K78">
        <v>312</v>
      </c>
      <c r="L78" s="4">
        <v>8.5340685999999994</v>
      </c>
      <c r="M78" s="4">
        <v>229.67542025612829</v>
      </c>
      <c r="N78" s="4">
        <v>5.5980890335133957E-3</v>
      </c>
      <c r="O78" s="1" t="str">
        <f>HYPERLINK(".\sm_car_250601_1258\sm_car_250601_1258_077_Ca215TrN_MaWOT_ode23t.png","figure")</f>
        <v>figure</v>
      </c>
      <c r="P78" t="s">
        <v>15</v>
      </c>
      <c r="V78">
        <f>K78-'2022a_250601_0524'!K78</f>
        <v>0</v>
      </c>
      <c r="W78" s="11">
        <f>V78/'2022a_250601_0524'!K78</f>
        <v>0</v>
      </c>
      <c r="X78">
        <f>L78-'2022a_250601_0524'!L78</f>
        <v>2.3604199999999409E-2</v>
      </c>
      <c r="Y78" s="11">
        <f>X78/'2022a_250601_0524'!L78</f>
        <v>2.773550171950594E-3</v>
      </c>
    </row>
    <row r="79" spans="1:25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23</v>
      </c>
      <c r="K79">
        <v>471</v>
      </c>
      <c r="L79" s="4">
        <v>8.5266096999999998</v>
      </c>
      <c r="M79" s="4">
        <v>81.26828189226714</v>
      </c>
      <c r="N79" s="4">
        <v>-0.22189443475888274</v>
      </c>
      <c r="O79" s="1" t="str">
        <f>HYPERLINK(".\sm_car_250601_1258\sm_car_250601_1258_078_Ca215TrN_MaLSS_ode23t.png","figure")</f>
        <v>figure</v>
      </c>
      <c r="P79" t="s">
        <v>15</v>
      </c>
      <c r="V79">
        <f>K79-'2022a_250601_0524'!K79</f>
        <v>0</v>
      </c>
      <c r="W79" s="11">
        <f>V79/'2022a_250601_0524'!K79</f>
        <v>0</v>
      </c>
      <c r="X79">
        <f>L79-'2022a_250601_0524'!L79</f>
        <v>-2.7530399999999844E-2</v>
      </c>
      <c r="Y79" s="11">
        <f>X79/'2022a_250601_0524'!L79</f>
        <v>-3.218371417601618E-3</v>
      </c>
    </row>
    <row r="80" spans="1:25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26</v>
      </c>
      <c r="H80" t="s">
        <v>21</v>
      </c>
      <c r="I80" t="s">
        <v>22</v>
      </c>
      <c r="J80" t="s">
        <v>23</v>
      </c>
      <c r="K80">
        <v>373</v>
      </c>
      <c r="L80" s="4">
        <v>4.7416017999999998</v>
      </c>
      <c r="M80" s="4">
        <v>230.22411712835432</v>
      </c>
      <c r="N80" s="4">
        <v>0.17085345839859131</v>
      </c>
      <c r="O80" s="1" t="str">
        <f>HYPERLINK(".\sm_car_250601_1258\sm_car_250601_1258_079_Ca218TrN_MaWOT_ode23t.png","figure")</f>
        <v>figure</v>
      </c>
      <c r="P80" t="s">
        <v>15</v>
      </c>
      <c r="V80">
        <f>K80-'2022a_250601_0524'!K80</f>
        <v>0</v>
      </c>
      <c r="W80" s="11">
        <f>V80/'2022a_250601_0524'!K80</f>
        <v>0</v>
      </c>
      <c r="X80">
        <f>L80-'2022a_250601_0524'!L80</f>
        <v>-0.26755240000000047</v>
      </c>
      <c r="Y80" s="11">
        <f>X80/'2022a_250601_0524'!L80</f>
        <v>-5.3412689910803793E-2</v>
      </c>
    </row>
    <row r="81" spans="1:25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26</v>
      </c>
      <c r="H81" t="s">
        <v>21</v>
      </c>
      <c r="I81" t="s">
        <v>24</v>
      </c>
      <c r="J81" t="s">
        <v>23</v>
      </c>
      <c r="K81">
        <v>481</v>
      </c>
      <c r="L81" s="4">
        <v>5.8537604999999999</v>
      </c>
      <c r="M81" s="4">
        <v>70.964788723088489</v>
      </c>
      <c r="N81" s="4">
        <v>-0.51904376443984857</v>
      </c>
      <c r="O81" s="1" t="str">
        <f>HYPERLINK(".\sm_car_250601_1258\sm_car_250601_1258_080_Ca218TrN_MaLSS_ode23t.png","figure")</f>
        <v>figure</v>
      </c>
      <c r="P81" t="s">
        <v>15</v>
      </c>
      <c r="V81">
        <f>K81-'2022a_250601_0524'!K81</f>
        <v>0</v>
      </c>
      <c r="W81" s="11">
        <f>V81/'2022a_250601_0524'!K81</f>
        <v>0</v>
      </c>
      <c r="X81">
        <f>L81-'2022a_250601_0524'!L81</f>
        <v>-0.11262530000000037</v>
      </c>
      <c r="Y81" s="11">
        <f>X81/'2022a_250601_0524'!L81</f>
        <v>-1.8876637176228256E-2</v>
      </c>
    </row>
    <row r="82" spans="1:25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26</v>
      </c>
      <c r="H82" t="s">
        <v>21</v>
      </c>
      <c r="I82" t="s">
        <v>22</v>
      </c>
      <c r="J82" t="s">
        <v>23</v>
      </c>
      <c r="K82">
        <v>390</v>
      </c>
      <c r="L82" s="4">
        <v>7.1921517000000001</v>
      </c>
      <c r="M82" s="4">
        <v>229.44962048659602</v>
      </c>
      <c r="N82" s="4">
        <v>0.1715956450809871</v>
      </c>
      <c r="O82" s="1" t="str">
        <f>HYPERLINK(".\sm_car_250601_1258\sm_car_250601_1258_081_Ca219TrN_MaWOT_ode23t.png","figure")</f>
        <v>figure</v>
      </c>
      <c r="P82" t="s">
        <v>15</v>
      </c>
      <c r="V82">
        <f>K82-'2022a_250601_0524'!K82</f>
        <v>0</v>
      </c>
      <c r="W82" s="11">
        <f>V82/'2022a_250601_0524'!K82</f>
        <v>0</v>
      </c>
      <c r="X82">
        <f>L82-'2022a_250601_0524'!L82</f>
        <v>0.14887590000000017</v>
      </c>
      <c r="Y82" s="11">
        <f>X82/'2022a_250601_0524'!L82</f>
        <v>2.1137309432068551E-2</v>
      </c>
    </row>
    <row r="83" spans="1:25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26</v>
      </c>
      <c r="H83" t="s">
        <v>21</v>
      </c>
      <c r="I83" t="s">
        <v>24</v>
      </c>
      <c r="J83" t="s">
        <v>23</v>
      </c>
      <c r="K83">
        <v>496</v>
      </c>
      <c r="L83" s="4">
        <v>8.1221910000000008</v>
      </c>
      <c r="M83" s="4">
        <v>70.786943112679353</v>
      </c>
      <c r="N83" s="4">
        <v>-0.55859333283835977</v>
      </c>
      <c r="O83" s="1" t="str">
        <f>HYPERLINK(".\sm_car_250601_1258\sm_car_250601_1258_082_Ca219TrN_MaLSS_ode23t.png","figure")</f>
        <v>figure</v>
      </c>
      <c r="P83" t="s">
        <v>15</v>
      </c>
      <c r="V83">
        <f>K83-'2022a_250601_0524'!K83</f>
        <v>0</v>
      </c>
      <c r="W83" s="11">
        <f>V83/'2022a_250601_0524'!K83</f>
        <v>0</v>
      </c>
      <c r="X83">
        <f>L83-'2022a_250601_0524'!L83</f>
        <v>-1.0515299999999783E-2</v>
      </c>
      <c r="Y83" s="11">
        <f>X83/'2022a_250601_0524'!L83</f>
        <v>-1.2929644342375651E-3</v>
      </c>
    </row>
    <row r="84" spans="1:25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26</v>
      </c>
      <c r="H84" t="s">
        <v>21</v>
      </c>
      <c r="I84" t="s">
        <v>22</v>
      </c>
      <c r="J84" t="s">
        <v>23</v>
      </c>
      <c r="K84">
        <v>932</v>
      </c>
      <c r="L84" s="4">
        <v>30.804184100000001</v>
      </c>
      <c r="M84" s="4">
        <v>223.94171462069443</v>
      </c>
      <c r="N84" s="4">
        <v>-1.2147688594958139</v>
      </c>
      <c r="O84" s="1" t="str">
        <f>HYPERLINK(".\sm_car_250601_1258\sm_car_250601_1258_083_Ca220TrN_MaWOT_ode23t.png","figure")</f>
        <v>figure</v>
      </c>
      <c r="P84" t="s">
        <v>15</v>
      </c>
      <c r="V84">
        <f>K84-'2022a_250601_0524'!K84</f>
        <v>0</v>
      </c>
      <c r="W84" s="11">
        <f>V84/'2022a_250601_0524'!K84</f>
        <v>0</v>
      </c>
      <c r="X84">
        <f>L84-'2022a_250601_0524'!L84</f>
        <v>-0.79356429999999989</v>
      </c>
      <c r="Y84" s="11">
        <f>X84/'2022a_250601_0524'!L84</f>
        <v>-2.5114583797369559E-2</v>
      </c>
    </row>
    <row r="85" spans="1:25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26</v>
      </c>
      <c r="H85" t="s">
        <v>21</v>
      </c>
      <c r="I85" t="s">
        <v>24</v>
      </c>
      <c r="J85" t="s">
        <v>23</v>
      </c>
      <c r="K85">
        <v>1080</v>
      </c>
      <c r="L85" s="4">
        <v>39.161363700000003</v>
      </c>
      <c r="M85" s="4">
        <v>69.476996389491319</v>
      </c>
      <c r="N85" s="4">
        <v>-1.503324317865119</v>
      </c>
      <c r="O85" s="1" t="str">
        <f>HYPERLINK(".\sm_car_250601_1258\sm_car_250601_1258_084_Ca220TrN_MaLSS_ode23t.png","figure")</f>
        <v>figure</v>
      </c>
      <c r="P85" t="s">
        <v>15</v>
      </c>
      <c r="V85">
        <f>K85-'2022a_250601_0524'!K85</f>
        <v>0</v>
      </c>
      <c r="W85" s="11">
        <f>V85/'2022a_250601_0524'!K85</f>
        <v>0</v>
      </c>
      <c r="X85">
        <f>L85-'2022a_250601_0524'!L85</f>
        <v>0.78138480000000499</v>
      </c>
      <c r="Y85" s="11">
        <f>X85/'2022a_250601_0524'!L85</f>
        <v>2.035917742518626E-2</v>
      </c>
    </row>
    <row r="86" spans="1:25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23</v>
      </c>
      <c r="K86">
        <v>468</v>
      </c>
      <c r="L86" s="4">
        <v>7.0198381999999997</v>
      </c>
      <c r="M86" s="4">
        <v>293.16432845264791</v>
      </c>
      <c r="N86" s="4">
        <v>5.2423235952798494E-5</v>
      </c>
      <c r="O86" s="1" t="str">
        <f>HYPERLINK(".\sm_car_250601_1258\sm_car_250601_1258_085_Ca223TrN_MaWOT_ode23t.png","figure")</f>
        <v>figure</v>
      </c>
      <c r="P86" t="s">
        <v>15</v>
      </c>
      <c r="V86">
        <f>K86-'2022a_250601_0524'!K86</f>
        <v>0</v>
      </c>
      <c r="W86" s="11">
        <f>V86/'2022a_250601_0524'!K86</f>
        <v>0</v>
      </c>
      <c r="X86">
        <f>L86-'2022a_250601_0524'!L86</f>
        <v>-0.29453940000000056</v>
      </c>
      <c r="Y86" s="11">
        <f>X86/'2022a_250601_0524'!L86</f>
        <v>-4.0268552720056527E-2</v>
      </c>
    </row>
    <row r="87" spans="1:25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23</v>
      </c>
      <c r="K87">
        <v>647</v>
      </c>
      <c r="L87" s="4">
        <v>7.2476718</v>
      </c>
      <c r="M87" s="4">
        <v>103.53157620195991</v>
      </c>
      <c r="N87" s="4">
        <v>-0.15335018436426809</v>
      </c>
      <c r="O87" s="1" t="str">
        <f>HYPERLINK(".\sm_car_250601_1258\sm_car_250601_1258_086_Ca223TrN_MaLSS_ode23t.png","figure")</f>
        <v>figure</v>
      </c>
      <c r="P87" t="s">
        <v>15</v>
      </c>
      <c r="V87">
        <f>K87-'2022a_250601_0524'!K87</f>
        <v>0</v>
      </c>
      <c r="W87" s="11">
        <f>V87/'2022a_250601_0524'!K87</f>
        <v>0</v>
      </c>
      <c r="X87">
        <f>L87-'2022a_250601_0524'!L87</f>
        <v>0.26727420000000013</v>
      </c>
      <c r="Y87" s="11">
        <f>X87/'2022a_250601_0524'!L87</f>
        <v>3.8289251603662249E-2</v>
      </c>
    </row>
    <row r="88" spans="1:25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23</v>
      </c>
      <c r="K88">
        <v>752</v>
      </c>
      <c r="L88" s="4">
        <v>24.469568800000001</v>
      </c>
      <c r="M88" s="4">
        <v>407.69605397951489</v>
      </c>
      <c r="N88" s="4">
        <v>-12.951957221236629</v>
      </c>
      <c r="O88" s="1" t="str">
        <f>HYPERLINK(".\sm_car_250601_1258\sm_car_250601_1258_087_Ca227TrN_MaWOT_ode23t.png","figure")</f>
        <v>figure</v>
      </c>
      <c r="P88" t="s">
        <v>15</v>
      </c>
      <c r="V88">
        <f>K88-'2022a_250601_0524'!K88</f>
        <v>0</v>
      </c>
      <c r="W88" s="11">
        <f>V88/'2022a_250601_0524'!K88</f>
        <v>0</v>
      </c>
      <c r="X88">
        <f>L88-'2022a_250601_0524'!L88</f>
        <v>0.57534880000000044</v>
      </c>
      <c r="Y88" s="11">
        <f>X88/'2022a_250601_0524'!L88</f>
        <v>2.4078994836408154E-2</v>
      </c>
    </row>
    <row r="89" spans="1:25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23</v>
      </c>
      <c r="K89">
        <v>735</v>
      </c>
      <c r="L89" s="4">
        <v>16.6152123</v>
      </c>
      <c r="M89" s="4">
        <v>155.4698394651796</v>
      </c>
      <c r="N89" s="4">
        <v>-2.8695899556885109</v>
      </c>
      <c r="O89" s="1" t="str">
        <f>HYPERLINK(".\sm_car_250601_1258\sm_car_250601_1258_088_Ca227TrN_MaLSS_ode23t.png","figure")</f>
        <v>figure</v>
      </c>
      <c r="P89" t="s">
        <v>15</v>
      </c>
      <c r="V89">
        <f>K89-'2022a_250601_0524'!K89</f>
        <v>0</v>
      </c>
      <c r="W89" s="11">
        <f>V89/'2022a_250601_0524'!K89</f>
        <v>0</v>
      </c>
      <c r="X89">
        <f>L89-'2022a_250601_0524'!L89</f>
        <v>-0.22678229999999999</v>
      </c>
      <c r="Y89" s="11">
        <f>X89/'2022a_250601_0524'!L89</f>
        <v>-1.3465287537854928E-2</v>
      </c>
    </row>
    <row r="90" spans="1:25" x14ac:dyDescent="0.25">
      <c r="A90">
        <v>89</v>
      </c>
      <c r="B90">
        <v>8</v>
      </c>
      <c r="C90" t="s">
        <v>16</v>
      </c>
      <c r="D90" t="s">
        <v>17</v>
      </c>
      <c r="E90" t="s">
        <v>49</v>
      </c>
      <c r="F90" t="s">
        <v>19</v>
      </c>
      <c r="G90" t="s">
        <v>20</v>
      </c>
      <c r="H90" t="s">
        <v>21</v>
      </c>
      <c r="I90" t="s">
        <v>22</v>
      </c>
      <c r="J90" t="s">
        <v>23</v>
      </c>
      <c r="K90">
        <v>382</v>
      </c>
      <c r="L90" s="4">
        <v>11.1473672</v>
      </c>
      <c r="M90" s="4">
        <v>231.31978471892802</v>
      </c>
      <c r="N90" s="4">
        <v>1.0394596207732492E-3</v>
      </c>
      <c r="O90" s="1" t="str">
        <f>HYPERLINK(".\sm_car_250601_1258\sm_car_250601_1258_089_Ca008TrN_MaWOT_ode23t_1.png","figure")</f>
        <v>figure</v>
      </c>
      <c r="P90" t="s">
        <v>15</v>
      </c>
      <c r="V90">
        <f>K90-'2022a_250601_0524'!K90</f>
        <v>0</v>
      </c>
      <c r="W90" s="11">
        <f>V90/'2022a_250601_0524'!K90</f>
        <v>0</v>
      </c>
      <c r="X90">
        <f>L90-'2022a_250601_0524'!L90</f>
        <v>0.46728799999999993</v>
      </c>
      <c r="Y90" s="11">
        <f>X90/'2022a_250601_0524'!L90</f>
        <v>4.3753233590252773E-2</v>
      </c>
    </row>
    <row r="91" spans="1:25" x14ac:dyDescent="0.25">
      <c r="A91">
        <v>90</v>
      </c>
      <c r="B91">
        <v>8</v>
      </c>
      <c r="C91" t="s">
        <v>16</v>
      </c>
      <c r="D91" t="s">
        <v>17</v>
      </c>
      <c r="E91" t="s">
        <v>49</v>
      </c>
      <c r="F91" t="s">
        <v>19</v>
      </c>
      <c r="G91" t="s">
        <v>20</v>
      </c>
      <c r="H91" t="s">
        <v>21</v>
      </c>
      <c r="I91" t="s">
        <v>24</v>
      </c>
      <c r="J91" t="s">
        <v>23</v>
      </c>
      <c r="K91">
        <v>556</v>
      </c>
      <c r="L91" s="4">
        <v>13.4175396</v>
      </c>
      <c r="M91" s="4">
        <v>71.256587613707282</v>
      </c>
      <c r="N91" s="4">
        <v>-0.53995846386788471</v>
      </c>
      <c r="O91" s="1" t="str">
        <f>HYPERLINK(".\sm_car_250601_1258\sm_car_250601_1258_090_Ca008TrN_MaLSS_ode23t_1.png","figure")</f>
        <v>figure</v>
      </c>
      <c r="P91" t="s">
        <v>15</v>
      </c>
      <c r="V91">
        <f>K91-'2022a_250601_0524'!K91</f>
        <v>0</v>
      </c>
      <c r="W91" s="11">
        <f>V91/'2022a_250601_0524'!K91</f>
        <v>0</v>
      </c>
      <c r="X91">
        <f>L91-'2022a_250601_0524'!L91</f>
        <v>0.74532869999999996</v>
      </c>
      <c r="Y91" s="11">
        <f>X91/'2022a_250601_0524'!L91</f>
        <v>5.8815995557649693E-2</v>
      </c>
    </row>
    <row r="92" spans="1:25" x14ac:dyDescent="0.25">
      <c r="A92">
        <v>91</v>
      </c>
      <c r="B92">
        <v>9</v>
      </c>
      <c r="C92" t="s">
        <v>16</v>
      </c>
      <c r="D92" t="s">
        <v>17</v>
      </c>
      <c r="E92" t="s">
        <v>49</v>
      </c>
      <c r="F92" t="s">
        <v>19</v>
      </c>
      <c r="G92" t="s">
        <v>25</v>
      </c>
      <c r="H92" t="s">
        <v>21</v>
      </c>
      <c r="I92" t="s">
        <v>22</v>
      </c>
      <c r="J92" t="s">
        <v>23</v>
      </c>
      <c r="K92">
        <v>391</v>
      </c>
      <c r="L92" s="4">
        <v>12.563586600000001</v>
      </c>
      <c r="M92" s="4">
        <v>230.3615682750586</v>
      </c>
      <c r="N92" s="4">
        <v>-1.2385712971238616E-2</v>
      </c>
      <c r="O92" s="1" t="str">
        <f>HYPERLINK(".\sm_car_250601_1258\sm_car_250601_1258_091_Ca009TrN_MaWOT_ode23t_1.png","figure")</f>
        <v>figure</v>
      </c>
      <c r="P92" t="s">
        <v>15</v>
      </c>
      <c r="V92">
        <f>K92-'2022a_250601_0524'!K92</f>
        <v>0</v>
      </c>
      <c r="W92" s="11">
        <f>V92/'2022a_250601_0524'!K92</f>
        <v>0</v>
      </c>
      <c r="X92">
        <f>L92-'2022a_250601_0524'!L92</f>
        <v>0.18575530000000029</v>
      </c>
      <c r="Y92" s="11">
        <f>X92/'2022a_250601_0524'!L92</f>
        <v>1.5007095790681869E-2</v>
      </c>
    </row>
    <row r="93" spans="1:25" x14ac:dyDescent="0.25">
      <c r="A93">
        <v>92</v>
      </c>
      <c r="B93">
        <v>9</v>
      </c>
      <c r="C93" t="s">
        <v>16</v>
      </c>
      <c r="D93" t="s">
        <v>17</v>
      </c>
      <c r="E93" t="s">
        <v>49</v>
      </c>
      <c r="F93" t="s">
        <v>19</v>
      </c>
      <c r="G93" t="s">
        <v>25</v>
      </c>
      <c r="H93" t="s">
        <v>21</v>
      </c>
      <c r="I93" t="s">
        <v>24</v>
      </c>
      <c r="J93" t="s">
        <v>23</v>
      </c>
      <c r="K93">
        <v>536</v>
      </c>
      <c r="L93" s="4">
        <v>15.7342858</v>
      </c>
      <c r="M93" s="4">
        <v>70.965447811949289</v>
      </c>
      <c r="N93" s="4">
        <v>-0.53172205073161483</v>
      </c>
      <c r="O93" s="1" t="str">
        <f>HYPERLINK(".\sm_car_250601_1258\sm_car_250601_1258_092_Ca009TrN_MaLSS_ode23t_1.png","figure")</f>
        <v>figure</v>
      </c>
      <c r="P93" t="s">
        <v>15</v>
      </c>
      <c r="V93">
        <f>K93-'2022a_250601_0524'!K93</f>
        <v>0</v>
      </c>
      <c r="W93" s="11">
        <f>V93/'2022a_250601_0524'!K93</f>
        <v>0</v>
      </c>
      <c r="X93">
        <f>L93-'2022a_250601_0524'!L93</f>
        <v>1.0010586000000004</v>
      </c>
      <c r="Y93" s="11">
        <f>X93/'2022a_250601_0524'!L93</f>
        <v>6.7945643300742722E-2</v>
      </c>
    </row>
    <row r="94" spans="1:25" x14ac:dyDescent="0.25">
      <c r="A94">
        <v>93</v>
      </c>
      <c r="B94">
        <v>10</v>
      </c>
      <c r="C94" t="s">
        <v>16</v>
      </c>
      <c r="D94" t="s">
        <v>17</v>
      </c>
      <c r="E94" t="s">
        <v>49</v>
      </c>
      <c r="F94" t="s">
        <v>19</v>
      </c>
      <c r="G94" t="s">
        <v>26</v>
      </c>
      <c r="H94" t="s">
        <v>21</v>
      </c>
      <c r="I94" t="s">
        <v>22</v>
      </c>
      <c r="J94" t="s">
        <v>23</v>
      </c>
      <c r="K94">
        <v>419</v>
      </c>
      <c r="L94" s="4">
        <v>14.2798452</v>
      </c>
      <c r="M94" s="4">
        <v>230.34796091996901</v>
      </c>
      <c r="N94" s="4">
        <v>5.6989612211716487E-2</v>
      </c>
      <c r="O94" s="1" t="str">
        <f>HYPERLINK(".\sm_car_250601_1258\sm_car_250601_1258_093_Ca010TrN_MaWOT_ode23t_1.png","figure")</f>
        <v>figure</v>
      </c>
      <c r="P94" t="s">
        <v>15</v>
      </c>
      <c r="V94">
        <f>K94-'2022a_250601_0524'!K94</f>
        <v>0</v>
      </c>
      <c r="W94" s="11">
        <f>V94/'2022a_250601_0524'!K94</f>
        <v>0</v>
      </c>
      <c r="X94">
        <f>L94-'2022a_250601_0524'!L94</f>
        <v>0.68464700000000001</v>
      </c>
      <c r="Y94" s="11">
        <f>X94/'2022a_250601_0524'!L94</f>
        <v>5.0359471772908761E-2</v>
      </c>
    </row>
    <row r="95" spans="1:25" x14ac:dyDescent="0.25">
      <c r="A95">
        <v>94</v>
      </c>
      <c r="B95">
        <v>10</v>
      </c>
      <c r="C95" t="s">
        <v>16</v>
      </c>
      <c r="D95" t="s">
        <v>17</v>
      </c>
      <c r="E95" t="s">
        <v>49</v>
      </c>
      <c r="F95" t="s">
        <v>19</v>
      </c>
      <c r="G95" t="s">
        <v>26</v>
      </c>
      <c r="H95" t="s">
        <v>21</v>
      </c>
      <c r="I95" t="s">
        <v>24</v>
      </c>
      <c r="J95" t="s">
        <v>23</v>
      </c>
      <c r="K95">
        <v>562</v>
      </c>
      <c r="L95" s="4">
        <v>17.496793799999999</v>
      </c>
      <c r="M95" s="4">
        <v>70.975384289103332</v>
      </c>
      <c r="N95" s="4">
        <v>-0.52128753261904026</v>
      </c>
      <c r="O95" s="1" t="str">
        <f>HYPERLINK(".\sm_car_250601_1258\sm_car_250601_1258_094_Ca010TrN_MaLSS_ode23t_1.png","figure")</f>
        <v>figure</v>
      </c>
      <c r="P95" t="s">
        <v>15</v>
      </c>
      <c r="V95">
        <f>K95-'2022a_250601_0524'!K95</f>
        <v>0</v>
      </c>
      <c r="W95" s="11">
        <f>V95/'2022a_250601_0524'!K95</f>
        <v>0</v>
      </c>
      <c r="X95">
        <f>L95-'2022a_250601_0524'!L95</f>
        <v>-6.0327100000002076E-2</v>
      </c>
      <c r="Y95" s="11">
        <f>X95/'2022a_250601_0524'!L95</f>
        <v>-3.436047421647707E-3</v>
      </c>
    </row>
    <row r="96" spans="1:25" x14ac:dyDescent="0.25">
      <c r="A96">
        <v>95</v>
      </c>
      <c r="B96">
        <v>11</v>
      </c>
      <c r="C96" t="s">
        <v>16</v>
      </c>
      <c r="D96" t="s">
        <v>17</v>
      </c>
      <c r="E96" t="s">
        <v>49</v>
      </c>
      <c r="F96" t="s">
        <v>19</v>
      </c>
      <c r="G96" t="s">
        <v>27</v>
      </c>
      <c r="H96" t="s">
        <v>21</v>
      </c>
      <c r="I96" t="s">
        <v>22</v>
      </c>
      <c r="J96" t="s">
        <v>23</v>
      </c>
      <c r="K96">
        <v>463</v>
      </c>
      <c r="L96" s="4">
        <v>15.005859900000001</v>
      </c>
      <c r="M96" s="4">
        <v>229.92215855071231</v>
      </c>
      <c r="N96" s="4">
        <v>5.0845959680894386E-2</v>
      </c>
      <c r="O96" s="1" t="str">
        <f>HYPERLINK(".\sm_car_250601_1258\sm_car_250601_1258_095_Ca011TrN_MaWOT_ode23t_1.png","figure")</f>
        <v>figure</v>
      </c>
      <c r="P96" t="s">
        <v>15</v>
      </c>
      <c r="V96">
        <f>K96-'2022a_250601_0524'!K96</f>
        <v>0</v>
      </c>
      <c r="W96" s="11">
        <f>V96/'2022a_250601_0524'!K96</f>
        <v>0</v>
      </c>
      <c r="X96">
        <f>L96-'2022a_250601_0524'!L96</f>
        <v>-0.45545159999999996</v>
      </c>
      <c r="Y96" s="11">
        <f>X96/'2022a_250601_0524'!L96</f>
        <v>-2.9457501066452216E-2</v>
      </c>
    </row>
    <row r="97" spans="1:25" x14ac:dyDescent="0.25">
      <c r="A97">
        <v>96</v>
      </c>
      <c r="B97">
        <v>11</v>
      </c>
      <c r="C97" t="s">
        <v>16</v>
      </c>
      <c r="D97" t="s">
        <v>17</v>
      </c>
      <c r="E97" t="s">
        <v>49</v>
      </c>
      <c r="F97" t="s">
        <v>19</v>
      </c>
      <c r="G97" t="s">
        <v>27</v>
      </c>
      <c r="H97" t="s">
        <v>21</v>
      </c>
      <c r="I97" t="s">
        <v>24</v>
      </c>
      <c r="J97" t="s">
        <v>23</v>
      </c>
      <c r="K97">
        <v>599</v>
      </c>
      <c r="L97" s="4">
        <v>18.402674399999999</v>
      </c>
      <c r="M97" s="4">
        <v>70.835970917767526</v>
      </c>
      <c r="N97" s="4">
        <v>-0.52696983306563105</v>
      </c>
      <c r="O97" s="1" t="str">
        <f>HYPERLINK(".\sm_car_250601_1258\sm_car_250601_1258_096_Ca011TrN_MaLSS_ode23t_1.png","figure")</f>
        <v>figure</v>
      </c>
      <c r="P97" t="s">
        <v>15</v>
      </c>
      <c r="V97">
        <f>K97-'2022a_250601_0524'!K97</f>
        <v>0</v>
      </c>
      <c r="W97" s="11">
        <f>V97/'2022a_250601_0524'!K97</f>
        <v>0</v>
      </c>
      <c r="X97">
        <f>L97-'2022a_250601_0524'!L97</f>
        <v>1.1256703999999971</v>
      </c>
      <c r="Y97" s="11">
        <f>X97/'2022a_250601_0524'!L97</f>
        <v>6.5154259384323635E-2</v>
      </c>
    </row>
    <row r="98" spans="1:25" x14ac:dyDescent="0.25">
      <c r="A98">
        <v>97</v>
      </c>
      <c r="B98">
        <v>12</v>
      </c>
      <c r="C98" t="s">
        <v>16</v>
      </c>
      <c r="D98" t="s">
        <v>17</v>
      </c>
      <c r="E98" t="s">
        <v>49</v>
      </c>
      <c r="F98" t="s">
        <v>28</v>
      </c>
      <c r="G98" t="s">
        <v>20</v>
      </c>
      <c r="H98" t="s">
        <v>21</v>
      </c>
      <c r="I98" t="s">
        <v>22</v>
      </c>
      <c r="J98" t="s">
        <v>23</v>
      </c>
      <c r="K98">
        <v>852</v>
      </c>
      <c r="L98" s="4">
        <v>12.936340700000001</v>
      </c>
      <c r="M98" s="4">
        <v>231.35029137154615</v>
      </c>
      <c r="N98" s="4">
        <v>-4.0795641440786361E-3</v>
      </c>
      <c r="O98" s="1" t="str">
        <f>HYPERLINK(".\sm_car_250601_1258\sm_car_250601_1258_097_Ca012TrN_MaWOT_ode23t_1.png","figure")</f>
        <v>figure</v>
      </c>
      <c r="P98" t="s">
        <v>15</v>
      </c>
      <c r="V98">
        <f>K98-'2022a_250601_0524'!K98</f>
        <v>0</v>
      </c>
      <c r="W98" s="11">
        <f>V98/'2022a_250601_0524'!K98</f>
        <v>0</v>
      </c>
      <c r="X98">
        <f>L98-'2022a_250601_0524'!L98</f>
        <v>0.75077280000000002</v>
      </c>
      <c r="Y98" s="11">
        <f>X98/'2022a_250601_0524'!L98</f>
        <v>6.1611638141214571E-2</v>
      </c>
    </row>
    <row r="99" spans="1:25" x14ac:dyDescent="0.25">
      <c r="A99">
        <v>98</v>
      </c>
      <c r="B99">
        <v>12</v>
      </c>
      <c r="C99" t="s">
        <v>16</v>
      </c>
      <c r="D99" t="s">
        <v>17</v>
      </c>
      <c r="E99" t="s">
        <v>49</v>
      </c>
      <c r="F99" t="s">
        <v>28</v>
      </c>
      <c r="G99" t="s">
        <v>20</v>
      </c>
      <c r="H99" t="s">
        <v>21</v>
      </c>
      <c r="I99" t="s">
        <v>24</v>
      </c>
      <c r="J99" t="s">
        <v>23</v>
      </c>
      <c r="K99">
        <v>983</v>
      </c>
      <c r="L99" s="4">
        <v>14.487199199999999</v>
      </c>
      <c r="M99" s="4">
        <v>71.248061147625592</v>
      </c>
      <c r="N99" s="4">
        <v>-0.54433560304338646</v>
      </c>
      <c r="O99" s="1" t="str">
        <f>HYPERLINK(".\sm_car_250601_1258\sm_car_250601_1258_098_Ca012TrN_MaLSS_ode23t_1.png","figure")</f>
        <v>figure</v>
      </c>
      <c r="P99" t="s">
        <v>15</v>
      </c>
      <c r="V99">
        <f>K99-'2022a_250601_0524'!K99</f>
        <v>0</v>
      </c>
      <c r="W99" s="11">
        <f>V99/'2022a_250601_0524'!K99</f>
        <v>0</v>
      </c>
      <c r="X99">
        <f>L99-'2022a_250601_0524'!L99</f>
        <v>0.45639939999999868</v>
      </c>
      <c r="Y99" s="11">
        <f>X99/'2022a_250601_0524'!L99</f>
        <v>3.2528395138244272E-2</v>
      </c>
    </row>
    <row r="100" spans="1:25" x14ac:dyDescent="0.25">
      <c r="A100">
        <v>99</v>
      </c>
      <c r="B100">
        <v>13</v>
      </c>
      <c r="C100" t="s">
        <v>16</v>
      </c>
      <c r="D100" t="s">
        <v>17</v>
      </c>
      <c r="E100" t="s">
        <v>49</v>
      </c>
      <c r="F100" t="s">
        <v>28</v>
      </c>
      <c r="G100" t="s">
        <v>25</v>
      </c>
      <c r="H100" t="s">
        <v>21</v>
      </c>
      <c r="I100" t="s">
        <v>22</v>
      </c>
      <c r="J100" t="s">
        <v>23</v>
      </c>
      <c r="K100">
        <v>840</v>
      </c>
      <c r="L100" s="4">
        <v>13.5741348</v>
      </c>
      <c r="M100" s="4">
        <v>230.32945596886307</v>
      </c>
      <c r="N100" s="4">
        <v>-1.217315426962424E-2</v>
      </c>
      <c r="O100" s="1" t="str">
        <f>HYPERLINK(".\sm_car_250601_1258\sm_car_250601_1258_099_Ca013TrN_MaWOT_ode23t_1.png","figure")</f>
        <v>figure</v>
      </c>
      <c r="P100" t="s">
        <v>15</v>
      </c>
      <c r="V100">
        <f>K100-'2022a_250601_0524'!K100</f>
        <v>0</v>
      </c>
      <c r="W100" s="11">
        <f>V100/'2022a_250601_0524'!K100</f>
        <v>0</v>
      </c>
      <c r="X100">
        <f>L100-'2022a_250601_0524'!L100</f>
        <v>0.4048803999999997</v>
      </c>
      <c r="Y100" s="11">
        <f>X100/'2022a_250601_0524'!L100</f>
        <v>3.0744367729732651E-2</v>
      </c>
    </row>
    <row r="101" spans="1:25" x14ac:dyDescent="0.25">
      <c r="A101">
        <v>100</v>
      </c>
      <c r="B101">
        <v>13</v>
      </c>
      <c r="C101" t="s">
        <v>16</v>
      </c>
      <c r="D101" t="s">
        <v>17</v>
      </c>
      <c r="E101" t="s">
        <v>49</v>
      </c>
      <c r="F101" t="s">
        <v>28</v>
      </c>
      <c r="G101" t="s">
        <v>25</v>
      </c>
      <c r="H101" t="s">
        <v>21</v>
      </c>
      <c r="I101" t="s">
        <v>24</v>
      </c>
      <c r="J101" t="s">
        <v>23</v>
      </c>
      <c r="K101">
        <v>1005</v>
      </c>
      <c r="L101" s="4">
        <v>15.948751700000001</v>
      </c>
      <c r="M101" s="4">
        <v>70.956998456429673</v>
      </c>
      <c r="N101" s="4">
        <v>-0.53819342432266781</v>
      </c>
      <c r="O101" s="1" t="str">
        <f>HYPERLINK(".\sm_car_250601_1258\sm_car_250601_1258_100_Ca013TrN_MaLSS_ode23t_1.png","figure")</f>
        <v>figure</v>
      </c>
      <c r="P101" t="s">
        <v>15</v>
      </c>
      <c r="V101">
        <f>K101-'2022a_250601_0524'!K101</f>
        <v>0</v>
      </c>
      <c r="W101" s="11">
        <f>V101/'2022a_250601_0524'!K101</f>
        <v>0</v>
      </c>
      <c r="X101">
        <f>L101-'2022a_250601_0524'!L101</f>
        <v>-0.12042880000000089</v>
      </c>
      <c r="Y101" s="11">
        <f>X101/'2022a_250601_0524'!L101</f>
        <v>-7.4943958716501367E-3</v>
      </c>
    </row>
    <row r="102" spans="1:25" x14ac:dyDescent="0.25">
      <c r="A102">
        <v>101</v>
      </c>
      <c r="B102">
        <v>14</v>
      </c>
      <c r="C102" t="s">
        <v>16</v>
      </c>
      <c r="D102" t="s">
        <v>17</v>
      </c>
      <c r="E102" t="s">
        <v>49</v>
      </c>
      <c r="F102" t="s">
        <v>28</v>
      </c>
      <c r="G102" t="s">
        <v>26</v>
      </c>
      <c r="H102" t="s">
        <v>21</v>
      </c>
      <c r="I102" t="s">
        <v>22</v>
      </c>
      <c r="J102" t="s">
        <v>23</v>
      </c>
      <c r="K102">
        <v>891</v>
      </c>
      <c r="L102" s="4">
        <v>14.2573683</v>
      </c>
      <c r="M102" s="4">
        <v>230.3528565604864</v>
      </c>
      <c r="N102" s="4">
        <v>5.4007323739484192E-2</v>
      </c>
      <c r="O102" s="1" t="str">
        <f>HYPERLINK(".\sm_car_250601_1258\sm_car_250601_1258_101_Ca014TrN_MaWOT_ode23t_1.png","figure")</f>
        <v>figure</v>
      </c>
      <c r="P102" t="s">
        <v>15</v>
      </c>
      <c r="V102">
        <f>K102-'2022a_250601_0524'!K102</f>
        <v>0</v>
      </c>
      <c r="W102" s="11">
        <f>V102/'2022a_250601_0524'!K102</f>
        <v>0</v>
      </c>
      <c r="X102">
        <f>L102-'2022a_250601_0524'!L102</f>
        <v>-6.2445200000000867E-2</v>
      </c>
      <c r="Y102" s="11">
        <f>X102/'2022a_250601_0524'!L102</f>
        <v>-4.3607551173764142E-3</v>
      </c>
    </row>
    <row r="103" spans="1:25" x14ac:dyDescent="0.25">
      <c r="A103">
        <v>102</v>
      </c>
      <c r="B103">
        <v>14</v>
      </c>
      <c r="C103" t="s">
        <v>16</v>
      </c>
      <c r="D103" t="s">
        <v>17</v>
      </c>
      <c r="E103" t="s">
        <v>49</v>
      </c>
      <c r="F103" t="s">
        <v>28</v>
      </c>
      <c r="G103" t="s">
        <v>26</v>
      </c>
      <c r="H103" t="s">
        <v>21</v>
      </c>
      <c r="I103" t="s">
        <v>24</v>
      </c>
      <c r="J103" t="s">
        <v>23</v>
      </c>
      <c r="K103">
        <v>1022</v>
      </c>
      <c r="L103" s="4">
        <v>17.2259305</v>
      </c>
      <c r="M103" s="4">
        <v>70.962400433938143</v>
      </c>
      <c r="N103" s="4">
        <v>-0.53217971589249236</v>
      </c>
      <c r="O103" s="1" t="str">
        <f>HYPERLINK(".\sm_car_250601_1258\sm_car_250601_1258_102_Ca014TrN_MaLSS_ode23t_1.png","figure")</f>
        <v>figure</v>
      </c>
      <c r="P103" t="s">
        <v>15</v>
      </c>
      <c r="V103">
        <f>K103-'2022a_250601_0524'!K103</f>
        <v>0</v>
      </c>
      <c r="W103" s="11">
        <f>V103/'2022a_250601_0524'!K103</f>
        <v>0</v>
      </c>
      <c r="X103">
        <f>L103-'2022a_250601_0524'!L103</f>
        <v>-0.48314050000000108</v>
      </c>
      <c r="Y103" s="11">
        <f>X103/'2022a_250601_0524'!L103</f>
        <v>-2.7282091759641205E-2</v>
      </c>
    </row>
    <row r="104" spans="1:25" x14ac:dyDescent="0.25">
      <c r="A104">
        <v>103</v>
      </c>
      <c r="B104">
        <v>15</v>
      </c>
      <c r="C104" t="s">
        <v>16</v>
      </c>
      <c r="D104" t="s">
        <v>17</v>
      </c>
      <c r="E104" t="s">
        <v>49</v>
      </c>
      <c r="F104" t="s">
        <v>28</v>
      </c>
      <c r="G104" t="s">
        <v>27</v>
      </c>
      <c r="H104" t="s">
        <v>21</v>
      </c>
      <c r="I104" t="s">
        <v>22</v>
      </c>
      <c r="J104" t="s">
        <v>23</v>
      </c>
      <c r="K104">
        <v>906</v>
      </c>
      <c r="L104" s="4">
        <v>15.0361837</v>
      </c>
      <c r="M104" s="4">
        <v>229.94534279065957</v>
      </c>
      <c r="N104" s="4">
        <v>5.3559814574453107E-2</v>
      </c>
      <c r="O104" s="1" t="str">
        <f>HYPERLINK(".\sm_car_250601_1258\sm_car_250601_1258_103_Ca015TrN_MaWOT_ode23t_1.png","figure")</f>
        <v>figure</v>
      </c>
      <c r="P104" t="s">
        <v>15</v>
      </c>
      <c r="V104">
        <f>K104-'2022a_250601_0524'!K104</f>
        <v>0</v>
      </c>
      <c r="W104" s="11">
        <f>V104/'2022a_250601_0524'!K104</f>
        <v>0</v>
      </c>
      <c r="X104">
        <f>L104-'2022a_250601_0524'!L104</f>
        <v>0.60831380000000124</v>
      </c>
      <c r="Y104" s="11">
        <f>X104/'2022a_250601_0524'!L104</f>
        <v>4.2162412346121947E-2</v>
      </c>
    </row>
    <row r="105" spans="1:25" x14ac:dyDescent="0.25">
      <c r="A105">
        <v>104</v>
      </c>
      <c r="B105">
        <v>15</v>
      </c>
      <c r="C105" t="s">
        <v>16</v>
      </c>
      <c r="D105" t="s">
        <v>17</v>
      </c>
      <c r="E105" t="s">
        <v>49</v>
      </c>
      <c r="F105" t="s">
        <v>28</v>
      </c>
      <c r="G105" t="s">
        <v>27</v>
      </c>
      <c r="H105" t="s">
        <v>21</v>
      </c>
      <c r="I105" t="s">
        <v>24</v>
      </c>
      <c r="J105" t="s">
        <v>23</v>
      </c>
      <c r="K105">
        <v>1037</v>
      </c>
      <c r="L105" s="4">
        <v>18.047927399999999</v>
      </c>
      <c r="M105" s="4">
        <v>70.833152054840738</v>
      </c>
      <c r="N105" s="4">
        <v>-0.53173506446179819</v>
      </c>
      <c r="O105" s="1" t="str">
        <f>HYPERLINK(".\sm_car_250601_1258\sm_car_250601_1258_104_Ca015TrN_MaLSS_ode23t_1.png","figure")</f>
        <v>figure</v>
      </c>
      <c r="P105" t="s">
        <v>15</v>
      </c>
      <c r="V105">
        <f>K105-'2022a_250601_0524'!K105</f>
        <v>0</v>
      </c>
      <c r="W105" s="11">
        <f>V105/'2022a_250601_0524'!K105</f>
        <v>0</v>
      </c>
      <c r="X105">
        <f>L105-'2022a_250601_0524'!L105</f>
        <v>-0.69840480000000227</v>
      </c>
      <c r="Y105" s="11">
        <f>X105/'2022a_250601_0524'!L105</f>
        <v>-3.7255543780452274E-2</v>
      </c>
    </row>
    <row r="106" spans="1:25" x14ac:dyDescent="0.25">
      <c r="A106">
        <v>105</v>
      </c>
      <c r="B106">
        <v>120</v>
      </c>
      <c r="C106" t="s">
        <v>16</v>
      </c>
      <c r="D106" t="s">
        <v>35</v>
      </c>
      <c r="E106" t="s">
        <v>49</v>
      </c>
      <c r="F106" t="s">
        <v>19</v>
      </c>
      <c r="G106" t="s">
        <v>20</v>
      </c>
      <c r="H106" t="s">
        <v>21</v>
      </c>
      <c r="I106" t="s">
        <v>22</v>
      </c>
      <c r="J106" t="s">
        <v>23</v>
      </c>
      <c r="K106">
        <v>416</v>
      </c>
      <c r="L106" s="4">
        <v>3.8221174000000002</v>
      </c>
      <c r="M106" s="4">
        <v>242.69170005986123</v>
      </c>
      <c r="N106" s="4">
        <v>0.23529589119818642</v>
      </c>
      <c r="O106" s="1" t="str">
        <f>HYPERLINK(".\sm_car_250601_1258\sm_car_250601_1258_105_Ca120TrN_MaWOT_ode23t_1.png","figure")</f>
        <v>figure</v>
      </c>
      <c r="P106" t="s">
        <v>15</v>
      </c>
      <c r="V106">
        <f>K106-'2022a_250601_0524'!K106</f>
        <v>0</v>
      </c>
      <c r="W106" s="11">
        <f>V106/'2022a_250601_0524'!K106</f>
        <v>0</v>
      </c>
      <c r="X106">
        <f>L106-'2022a_250601_0524'!L106</f>
        <v>0.19299180000000016</v>
      </c>
      <c r="Y106" s="11">
        <f>X106/'2022a_250601_0524'!L106</f>
        <v>5.3178594865936894E-2</v>
      </c>
    </row>
    <row r="107" spans="1:25" x14ac:dyDescent="0.25">
      <c r="A107">
        <v>106</v>
      </c>
      <c r="B107">
        <v>120</v>
      </c>
      <c r="C107" t="s">
        <v>16</v>
      </c>
      <c r="D107" t="s">
        <v>35</v>
      </c>
      <c r="E107" t="s">
        <v>49</v>
      </c>
      <c r="F107" t="s">
        <v>19</v>
      </c>
      <c r="G107" t="s">
        <v>20</v>
      </c>
      <c r="H107" t="s">
        <v>21</v>
      </c>
      <c r="I107" t="s">
        <v>24</v>
      </c>
      <c r="J107" t="s">
        <v>23</v>
      </c>
      <c r="K107">
        <v>534</v>
      </c>
      <c r="L107" s="4">
        <v>4.2988951000000002</v>
      </c>
      <c r="M107" s="4">
        <v>74.671860856374394</v>
      </c>
      <c r="N107" s="4">
        <v>-0.33802521122689189</v>
      </c>
      <c r="O107" s="1" t="str">
        <f>HYPERLINK(".\sm_car_250601_1258\sm_car_250601_1258_106_Ca120TrN_MaLSS_ode23t_1.png","figure")</f>
        <v>figure</v>
      </c>
      <c r="P107" t="s">
        <v>15</v>
      </c>
      <c r="V107">
        <f>K107-'2022a_250601_0524'!K107</f>
        <v>0</v>
      </c>
      <c r="W107" s="11">
        <f>V107/'2022a_250601_0524'!K107</f>
        <v>0</v>
      </c>
      <c r="X107">
        <f>L107-'2022a_250601_0524'!L107</f>
        <v>0.16560359999999985</v>
      </c>
      <c r="Y107" s="11">
        <f>X107/'2022a_250601_0524'!L107</f>
        <v>4.0065792601368624E-2</v>
      </c>
    </row>
    <row r="108" spans="1:25" x14ac:dyDescent="0.25">
      <c r="A108">
        <v>107</v>
      </c>
      <c r="B108">
        <v>121</v>
      </c>
      <c r="C108" t="s">
        <v>16</v>
      </c>
      <c r="D108" t="s">
        <v>35</v>
      </c>
      <c r="E108" t="s">
        <v>49</v>
      </c>
      <c r="F108" t="s">
        <v>19</v>
      </c>
      <c r="G108" t="s">
        <v>25</v>
      </c>
      <c r="H108" t="s">
        <v>21</v>
      </c>
      <c r="I108" t="s">
        <v>22</v>
      </c>
      <c r="J108" t="s">
        <v>23</v>
      </c>
      <c r="K108">
        <v>398</v>
      </c>
      <c r="L108" s="4">
        <v>4.3649551999999998</v>
      </c>
      <c r="M108" s="4">
        <v>241.21141193724665</v>
      </c>
      <c r="N108" s="4">
        <v>0.23112237849089304</v>
      </c>
      <c r="O108" s="1" t="str">
        <f>HYPERLINK(".\sm_car_250601_1258\sm_car_250601_1258_107_Ca121TrN_MaWOT_ode23t_1.png","figure")</f>
        <v>figure</v>
      </c>
      <c r="P108" t="s">
        <v>15</v>
      </c>
      <c r="V108">
        <f>K108-'2022a_250601_0524'!K108</f>
        <v>0</v>
      </c>
      <c r="W108" s="11">
        <f>V108/'2022a_250601_0524'!K108</f>
        <v>0</v>
      </c>
      <c r="X108">
        <f>L108-'2022a_250601_0524'!L108</f>
        <v>0.12140970000000006</v>
      </c>
      <c r="Y108" s="11">
        <f>X108/'2022a_250601_0524'!L108</f>
        <v>2.8610439077417709E-2</v>
      </c>
    </row>
    <row r="109" spans="1:25" x14ac:dyDescent="0.25">
      <c r="A109">
        <v>108</v>
      </c>
      <c r="B109">
        <v>121</v>
      </c>
      <c r="C109" t="s">
        <v>16</v>
      </c>
      <c r="D109" t="s">
        <v>35</v>
      </c>
      <c r="E109" t="s">
        <v>49</v>
      </c>
      <c r="F109" t="s">
        <v>19</v>
      </c>
      <c r="G109" t="s">
        <v>25</v>
      </c>
      <c r="H109" t="s">
        <v>21</v>
      </c>
      <c r="I109" t="s">
        <v>24</v>
      </c>
      <c r="J109" t="s">
        <v>23</v>
      </c>
      <c r="K109">
        <v>522</v>
      </c>
      <c r="L109" s="4">
        <v>4.9215828999999998</v>
      </c>
      <c r="M109" s="4">
        <v>74.356784944961973</v>
      </c>
      <c r="N109" s="4">
        <v>-0.33040393981379063</v>
      </c>
      <c r="O109" s="1" t="str">
        <f>HYPERLINK(".\sm_car_250601_1258\sm_car_250601_1258_108_Ca121TrN_MaLSS_ode23t_1.png","figure")</f>
        <v>figure</v>
      </c>
      <c r="P109" t="s">
        <v>15</v>
      </c>
      <c r="V109">
        <f>K109-'2022a_250601_0524'!K109</f>
        <v>0</v>
      </c>
      <c r="W109" s="11">
        <f>V109/'2022a_250601_0524'!K109</f>
        <v>0</v>
      </c>
      <c r="X109">
        <f>L109-'2022a_250601_0524'!L109</f>
        <v>8.2705499999999432E-2</v>
      </c>
      <c r="Y109" s="11">
        <f>X109/'2022a_250601_0524'!L109</f>
        <v>1.709187754994566E-2</v>
      </c>
    </row>
    <row r="110" spans="1:25" x14ac:dyDescent="0.25">
      <c r="A110">
        <v>109</v>
      </c>
      <c r="B110">
        <v>122</v>
      </c>
      <c r="C110" t="s">
        <v>16</v>
      </c>
      <c r="D110" t="s">
        <v>35</v>
      </c>
      <c r="E110" t="s">
        <v>49</v>
      </c>
      <c r="F110" t="s">
        <v>19</v>
      </c>
      <c r="G110" t="s">
        <v>26</v>
      </c>
      <c r="H110" t="s">
        <v>21</v>
      </c>
      <c r="I110" t="s">
        <v>22</v>
      </c>
      <c r="J110" t="s">
        <v>23</v>
      </c>
      <c r="K110">
        <v>423</v>
      </c>
      <c r="L110" s="4">
        <v>4.9372211999999998</v>
      </c>
      <c r="M110" s="4">
        <v>241.75711520189719</v>
      </c>
      <c r="N110" s="4">
        <v>0.23176609553792715</v>
      </c>
      <c r="O110" s="1" t="str">
        <f>HYPERLINK(".\sm_car_250601_1258\sm_car_250601_1258_109_Ca122TrN_MaWOT_ode23t_1.png","figure")</f>
        <v>figure</v>
      </c>
      <c r="P110" t="s">
        <v>15</v>
      </c>
      <c r="V110">
        <f>K110-'2022a_250601_0524'!K110</f>
        <v>0</v>
      </c>
      <c r="W110" s="11">
        <f>V110/'2022a_250601_0524'!K110</f>
        <v>0</v>
      </c>
      <c r="X110">
        <f>L110-'2022a_250601_0524'!L110</f>
        <v>0.2888831999999999</v>
      </c>
      <c r="Y110" s="11">
        <f>X110/'2022a_250601_0524'!L110</f>
        <v>6.2147632121416281E-2</v>
      </c>
    </row>
    <row r="111" spans="1:25" x14ac:dyDescent="0.25">
      <c r="A111">
        <v>110</v>
      </c>
      <c r="B111">
        <v>122</v>
      </c>
      <c r="C111" t="s">
        <v>16</v>
      </c>
      <c r="D111" t="s">
        <v>35</v>
      </c>
      <c r="E111" t="s">
        <v>49</v>
      </c>
      <c r="F111" t="s">
        <v>19</v>
      </c>
      <c r="G111" t="s">
        <v>26</v>
      </c>
      <c r="H111" t="s">
        <v>21</v>
      </c>
      <c r="I111" t="s">
        <v>24</v>
      </c>
      <c r="J111" t="s">
        <v>23</v>
      </c>
      <c r="K111">
        <v>521</v>
      </c>
      <c r="L111" s="4">
        <v>5.3191267</v>
      </c>
      <c r="M111" s="4">
        <v>74.376308337240616</v>
      </c>
      <c r="N111" s="4">
        <v>-0.33363211945317484</v>
      </c>
      <c r="O111" s="1" t="str">
        <f>HYPERLINK(".\sm_car_250601_1258\sm_car_250601_1258_110_Ca122TrN_MaLSS_ode23t_1.png","figure")</f>
        <v>figure</v>
      </c>
      <c r="P111" t="s">
        <v>15</v>
      </c>
      <c r="V111">
        <f>K111-'2022a_250601_0524'!K111</f>
        <v>0</v>
      </c>
      <c r="W111" s="11">
        <f>V111/'2022a_250601_0524'!K111</f>
        <v>0</v>
      </c>
      <c r="X111">
        <f>L111-'2022a_250601_0524'!L111</f>
        <v>0.20414089999999963</v>
      </c>
      <c r="Y111" s="11">
        <f>X111/'2022a_250601_0524'!L111</f>
        <v>3.9910355176352517E-2</v>
      </c>
    </row>
    <row r="112" spans="1:25" x14ac:dyDescent="0.25">
      <c r="A112">
        <v>111</v>
      </c>
      <c r="B112">
        <v>123</v>
      </c>
      <c r="C112" t="s">
        <v>16</v>
      </c>
      <c r="D112" t="s">
        <v>35</v>
      </c>
      <c r="E112" t="s">
        <v>49</v>
      </c>
      <c r="F112" t="s">
        <v>19</v>
      </c>
      <c r="G112" t="s">
        <v>27</v>
      </c>
      <c r="H112" t="s">
        <v>21</v>
      </c>
      <c r="I112" t="s">
        <v>22</v>
      </c>
      <c r="J112" t="s">
        <v>23</v>
      </c>
      <c r="K112">
        <v>436</v>
      </c>
      <c r="L112" s="4">
        <v>5.1911196000000004</v>
      </c>
      <c r="M112" s="4">
        <v>241.12578939334389</v>
      </c>
      <c r="N112" s="4">
        <v>0.22891329112582617</v>
      </c>
      <c r="O112" s="1" t="str">
        <f>HYPERLINK(".\sm_car_250601_1258\sm_car_250601_1258_111_Ca123TrN_MaWOT_ode23t_1.png","figure")</f>
        <v>figure</v>
      </c>
      <c r="P112" t="s">
        <v>15</v>
      </c>
      <c r="V112">
        <f>K112-'2022a_250601_0524'!K112</f>
        <v>0</v>
      </c>
      <c r="W112" s="11">
        <f>V112/'2022a_250601_0524'!K112</f>
        <v>0</v>
      </c>
      <c r="X112">
        <f>L112-'2022a_250601_0524'!L112</f>
        <v>0.27671480000000059</v>
      </c>
      <c r="Y112" s="11">
        <f>X112/'2022a_250601_0524'!L112</f>
        <v>5.6306879726310009E-2</v>
      </c>
    </row>
    <row r="113" spans="1:25" x14ac:dyDescent="0.25">
      <c r="A113">
        <v>112</v>
      </c>
      <c r="B113">
        <v>123</v>
      </c>
      <c r="C113" t="s">
        <v>16</v>
      </c>
      <c r="D113" t="s">
        <v>35</v>
      </c>
      <c r="E113" t="s">
        <v>49</v>
      </c>
      <c r="F113" t="s">
        <v>19</v>
      </c>
      <c r="G113" t="s">
        <v>27</v>
      </c>
      <c r="H113" t="s">
        <v>21</v>
      </c>
      <c r="I113" t="s">
        <v>24</v>
      </c>
      <c r="J113" t="s">
        <v>23</v>
      </c>
      <c r="K113">
        <v>559</v>
      </c>
      <c r="L113" s="4">
        <v>5.7344827</v>
      </c>
      <c r="M113" s="4">
        <v>74.205248702992492</v>
      </c>
      <c r="N113" s="4">
        <v>-0.32728936986719825</v>
      </c>
      <c r="O113" s="1" t="str">
        <f>HYPERLINK(".\sm_car_250601_1258\sm_car_250601_1258_112_Ca123TrN_MaLSS_ode23t_1.png","figure")</f>
        <v>figure</v>
      </c>
      <c r="P113" t="s">
        <v>15</v>
      </c>
      <c r="V113">
        <f>K113-'2022a_250601_0524'!K113</f>
        <v>0</v>
      </c>
      <c r="W113" s="11">
        <f>V113/'2022a_250601_0524'!K113</f>
        <v>0</v>
      </c>
      <c r="X113">
        <f>L113-'2022a_250601_0524'!L113</f>
        <v>0.13366390000000017</v>
      </c>
      <c r="Y113" s="11">
        <f>X113/'2022a_250601_0524'!L113</f>
        <v>2.3865064158119197E-2</v>
      </c>
    </row>
    <row r="114" spans="1:25" x14ac:dyDescent="0.25">
      <c r="A114">
        <v>113</v>
      </c>
      <c r="B114">
        <v>124</v>
      </c>
      <c r="C114" t="s">
        <v>16</v>
      </c>
      <c r="D114" t="s">
        <v>35</v>
      </c>
      <c r="E114" t="s">
        <v>49</v>
      </c>
      <c r="F114" t="s">
        <v>28</v>
      </c>
      <c r="G114" t="s">
        <v>20</v>
      </c>
      <c r="H114" t="s">
        <v>21</v>
      </c>
      <c r="I114" t="s">
        <v>22</v>
      </c>
      <c r="J114" t="s">
        <v>23</v>
      </c>
      <c r="K114">
        <v>1003</v>
      </c>
      <c r="L114" s="4">
        <v>4.9820639</v>
      </c>
      <c r="M114" s="4">
        <v>242.59591760187845</v>
      </c>
      <c r="N114" s="4">
        <v>0.23602770475182491</v>
      </c>
      <c r="O114" s="1" t="str">
        <f>HYPERLINK(".\sm_car_250601_1258\sm_car_250601_1258_113_Ca124TrN_MaWOT_ode23t_1.png","figure")</f>
        <v>figure</v>
      </c>
      <c r="P114" t="s">
        <v>15</v>
      </c>
      <c r="V114">
        <f>K114-'2022a_250601_0524'!K114</f>
        <v>0</v>
      </c>
      <c r="W114" s="11">
        <f>V114/'2022a_250601_0524'!K114</f>
        <v>0</v>
      </c>
      <c r="X114">
        <f>L114-'2022a_250601_0524'!L114</f>
        <v>0.38402410000000042</v>
      </c>
      <c r="Y114" s="11">
        <f>X114/'2022a_250601_0524'!L114</f>
        <v>8.351909002614559E-2</v>
      </c>
    </row>
    <row r="115" spans="1:25" x14ac:dyDescent="0.25">
      <c r="A115">
        <v>114</v>
      </c>
      <c r="B115">
        <v>124</v>
      </c>
      <c r="C115" t="s">
        <v>16</v>
      </c>
      <c r="D115" t="s">
        <v>35</v>
      </c>
      <c r="E115" t="s">
        <v>49</v>
      </c>
      <c r="F115" t="s">
        <v>28</v>
      </c>
      <c r="G115" t="s">
        <v>20</v>
      </c>
      <c r="H115" t="s">
        <v>21</v>
      </c>
      <c r="I115" t="s">
        <v>24</v>
      </c>
      <c r="J115" t="s">
        <v>23</v>
      </c>
      <c r="K115">
        <v>1131</v>
      </c>
      <c r="L115" s="4">
        <v>5.4819722999999998</v>
      </c>
      <c r="M115" s="4">
        <v>74.660361357706634</v>
      </c>
      <c r="N115" s="4">
        <v>-0.34229760405943666</v>
      </c>
      <c r="O115" s="1" t="str">
        <f>HYPERLINK(".\sm_car_250601_1258\sm_car_250601_1258_114_Ca124TrN_MaLSS_ode23t_1.png","figure")</f>
        <v>figure</v>
      </c>
      <c r="P115" t="s">
        <v>15</v>
      </c>
      <c r="V115">
        <f>K115-'2022a_250601_0524'!K115</f>
        <v>0</v>
      </c>
      <c r="W115" s="11">
        <f>V115/'2022a_250601_0524'!K115</f>
        <v>0</v>
      </c>
      <c r="X115">
        <f>L115-'2022a_250601_0524'!L115</f>
        <v>0.16837569999999946</v>
      </c>
      <c r="Y115" s="11">
        <f>X115/'2022a_250601_0524'!L115</f>
        <v>3.1687708472261412E-2</v>
      </c>
    </row>
    <row r="116" spans="1:25" x14ac:dyDescent="0.25">
      <c r="A116">
        <v>115</v>
      </c>
      <c r="B116">
        <v>125</v>
      </c>
      <c r="C116" t="s">
        <v>16</v>
      </c>
      <c r="D116" t="s">
        <v>35</v>
      </c>
      <c r="E116" t="s">
        <v>49</v>
      </c>
      <c r="F116" t="s">
        <v>28</v>
      </c>
      <c r="G116" t="s">
        <v>25</v>
      </c>
      <c r="H116" t="s">
        <v>21</v>
      </c>
      <c r="I116" t="s">
        <v>22</v>
      </c>
      <c r="J116" t="s">
        <v>23</v>
      </c>
      <c r="K116">
        <v>1015</v>
      </c>
      <c r="L116" s="4">
        <v>5.7060687999999997</v>
      </c>
      <c r="M116" s="4">
        <v>241.53681644998719</v>
      </c>
      <c r="N116" s="4">
        <v>0.23254842001096016</v>
      </c>
      <c r="O116" s="1" t="str">
        <f>HYPERLINK(".\sm_car_250601_1258\sm_car_250601_1258_115_Ca125TrN_MaWOT_ode23t_1.png","figure")</f>
        <v>figure</v>
      </c>
      <c r="P116" t="s">
        <v>15</v>
      </c>
      <c r="V116">
        <f>K116-'2022a_250601_0524'!K116</f>
        <v>0</v>
      </c>
      <c r="W116" s="11">
        <f>V116/'2022a_250601_0524'!K116</f>
        <v>0</v>
      </c>
      <c r="X116">
        <f>L116-'2022a_250601_0524'!L116</f>
        <v>0.38424669999999939</v>
      </c>
      <c r="Y116" s="11">
        <f>X116/'2022a_250601_0524'!L116</f>
        <v>7.2202094091044375E-2</v>
      </c>
    </row>
    <row r="117" spans="1:25" x14ac:dyDescent="0.25">
      <c r="A117">
        <v>116</v>
      </c>
      <c r="B117">
        <v>125</v>
      </c>
      <c r="C117" t="s">
        <v>16</v>
      </c>
      <c r="D117" t="s">
        <v>35</v>
      </c>
      <c r="E117" t="s">
        <v>49</v>
      </c>
      <c r="F117" t="s">
        <v>28</v>
      </c>
      <c r="G117" t="s">
        <v>25</v>
      </c>
      <c r="H117" t="s">
        <v>21</v>
      </c>
      <c r="I117" t="s">
        <v>24</v>
      </c>
      <c r="J117" t="s">
        <v>23</v>
      </c>
      <c r="K117">
        <v>1130</v>
      </c>
      <c r="L117" s="4">
        <v>6.0966978000000003</v>
      </c>
      <c r="M117" s="4">
        <v>74.349936795753166</v>
      </c>
      <c r="N117" s="4">
        <v>-0.331152637926585</v>
      </c>
      <c r="O117" s="1" t="str">
        <f>HYPERLINK(".\sm_car_250601_1258\sm_car_250601_1258_116_Ca125TrN_MaLSS_ode23t_1.png","figure")</f>
        <v>figure</v>
      </c>
      <c r="P117" t="s">
        <v>15</v>
      </c>
      <c r="V117">
        <f>K117-'2022a_250601_0524'!K117</f>
        <v>0</v>
      </c>
      <c r="W117" s="11">
        <f>V117/'2022a_250601_0524'!K117</f>
        <v>0</v>
      </c>
      <c r="X117">
        <f>L117-'2022a_250601_0524'!L117</f>
        <v>0.23199210000000026</v>
      </c>
      <c r="Y117" s="11">
        <f>X117/'2022a_250601_0524'!L117</f>
        <v>3.9557330216928067E-2</v>
      </c>
    </row>
    <row r="118" spans="1:25" x14ac:dyDescent="0.25">
      <c r="A118">
        <v>117</v>
      </c>
      <c r="B118">
        <v>126</v>
      </c>
      <c r="C118" t="s">
        <v>16</v>
      </c>
      <c r="D118" t="s">
        <v>35</v>
      </c>
      <c r="E118" t="s">
        <v>49</v>
      </c>
      <c r="F118" t="s">
        <v>28</v>
      </c>
      <c r="G118" t="s">
        <v>26</v>
      </c>
      <c r="H118" t="s">
        <v>21</v>
      </c>
      <c r="I118" t="s">
        <v>22</v>
      </c>
      <c r="J118" t="s">
        <v>23</v>
      </c>
      <c r="K118">
        <v>1025</v>
      </c>
      <c r="L118" s="4">
        <v>6.0589975000000003</v>
      </c>
      <c r="M118" s="4">
        <v>241.41617541572742</v>
      </c>
      <c r="N118" s="4">
        <v>0.23234611024921778</v>
      </c>
      <c r="O118" s="1" t="str">
        <f>HYPERLINK(".\sm_car_250601_1258\sm_car_250601_1258_117_Ca126TrN_MaWOT_ode23t_1.png","figure")</f>
        <v>figure</v>
      </c>
      <c r="P118" t="s">
        <v>15</v>
      </c>
      <c r="V118">
        <f>K118-'2022a_250601_0524'!K118</f>
        <v>0</v>
      </c>
      <c r="W118" s="11">
        <f>V118/'2022a_250601_0524'!K118</f>
        <v>0</v>
      </c>
      <c r="X118">
        <f>L118-'2022a_250601_0524'!L118</f>
        <v>0.22098240000000047</v>
      </c>
      <c r="Y118" s="11">
        <f>X118/'2022a_250601_0524'!L118</f>
        <v>3.7852317305585671E-2</v>
      </c>
    </row>
    <row r="119" spans="1:25" x14ac:dyDescent="0.25">
      <c r="A119">
        <v>118</v>
      </c>
      <c r="B119">
        <v>126</v>
      </c>
      <c r="C119" t="s">
        <v>16</v>
      </c>
      <c r="D119" t="s">
        <v>35</v>
      </c>
      <c r="E119" t="s">
        <v>49</v>
      </c>
      <c r="F119" t="s">
        <v>28</v>
      </c>
      <c r="G119" t="s">
        <v>26</v>
      </c>
      <c r="H119" t="s">
        <v>21</v>
      </c>
      <c r="I119" t="s">
        <v>24</v>
      </c>
      <c r="J119" t="s">
        <v>23</v>
      </c>
      <c r="K119">
        <v>1157</v>
      </c>
      <c r="L119" s="4">
        <v>6.9319753000000004</v>
      </c>
      <c r="M119" s="4">
        <v>74.340131420821692</v>
      </c>
      <c r="N119" s="4">
        <v>-0.33590345145329331</v>
      </c>
      <c r="O119" s="1" t="str">
        <f>HYPERLINK(".\sm_car_250601_1258\sm_car_250601_1258_118_Ca126TrN_MaLSS_ode23t_1.png","figure")</f>
        <v>figure</v>
      </c>
      <c r="P119" t="s">
        <v>15</v>
      </c>
      <c r="V119">
        <f>K119-'2022a_250601_0524'!K119</f>
        <v>0</v>
      </c>
      <c r="W119" s="11">
        <f>V119/'2022a_250601_0524'!K119</f>
        <v>0</v>
      </c>
      <c r="X119">
        <f>L119-'2022a_250601_0524'!L119</f>
        <v>0.42862050000000007</v>
      </c>
      <c r="Y119" s="11">
        <f>X119/'2022a_250601_0524'!L119</f>
        <v>6.5907598951851748E-2</v>
      </c>
    </row>
    <row r="120" spans="1:25" x14ac:dyDescent="0.25">
      <c r="A120">
        <v>119</v>
      </c>
      <c r="B120">
        <v>127</v>
      </c>
      <c r="C120" t="s">
        <v>16</v>
      </c>
      <c r="D120" t="s">
        <v>35</v>
      </c>
      <c r="E120" t="s">
        <v>49</v>
      </c>
      <c r="F120" t="s">
        <v>28</v>
      </c>
      <c r="G120" t="s">
        <v>27</v>
      </c>
      <c r="H120" t="s">
        <v>21</v>
      </c>
      <c r="I120" t="s">
        <v>22</v>
      </c>
      <c r="J120" t="s">
        <v>23</v>
      </c>
      <c r="K120">
        <v>1027</v>
      </c>
      <c r="L120" s="4">
        <v>6.0901718999999996</v>
      </c>
      <c r="M120" s="4">
        <v>241.06149238477016</v>
      </c>
      <c r="N120" s="4">
        <v>0.23101069393802778</v>
      </c>
      <c r="O120" s="1" t="str">
        <f>HYPERLINK(".\sm_car_250601_1258\sm_car_250601_1258_119_Ca127TrN_MaWOT_ode23t_1.png","figure")</f>
        <v>figure</v>
      </c>
      <c r="P120" t="s">
        <v>15</v>
      </c>
      <c r="V120">
        <f>K120-'2022a_250601_0524'!K120</f>
        <v>0</v>
      </c>
      <c r="W120" s="11">
        <f>V120/'2022a_250601_0524'!K120</f>
        <v>0</v>
      </c>
      <c r="X120">
        <f>L120-'2022a_250601_0524'!L120</f>
        <v>0.3424125999999994</v>
      </c>
      <c r="Y120" s="11">
        <f>X120/'2022a_250601_0524'!L120</f>
        <v>5.9573232302890515E-2</v>
      </c>
    </row>
    <row r="121" spans="1:25" x14ac:dyDescent="0.25">
      <c r="A121">
        <v>120</v>
      </c>
      <c r="B121">
        <v>127</v>
      </c>
      <c r="C121" t="s">
        <v>16</v>
      </c>
      <c r="D121" t="s">
        <v>35</v>
      </c>
      <c r="E121" t="s">
        <v>49</v>
      </c>
      <c r="F121" t="s">
        <v>28</v>
      </c>
      <c r="G121" t="s">
        <v>27</v>
      </c>
      <c r="H121" t="s">
        <v>21</v>
      </c>
      <c r="I121" t="s">
        <v>24</v>
      </c>
      <c r="J121" t="s">
        <v>23</v>
      </c>
      <c r="K121">
        <v>1169</v>
      </c>
      <c r="L121" s="4">
        <v>7.1277378999999996</v>
      </c>
      <c r="M121" s="4">
        <v>74.19548463892832</v>
      </c>
      <c r="N121" s="4">
        <v>-0.33307193972002924</v>
      </c>
      <c r="O121" s="1" t="str">
        <f>HYPERLINK(".\sm_car_250601_1258\sm_car_250601_1258_120_Ca127TrN_MaLSS_ode23t_1.png","figure")</f>
        <v>figure</v>
      </c>
      <c r="P121" t="s">
        <v>15</v>
      </c>
      <c r="V121">
        <f>K121-'2022a_250601_0524'!K121</f>
        <v>0</v>
      </c>
      <c r="W121" s="11">
        <f>V121/'2022a_250601_0524'!K121</f>
        <v>0</v>
      </c>
      <c r="X121">
        <f>L121-'2022a_250601_0524'!L121</f>
        <v>0.5059199999999997</v>
      </c>
      <c r="Y121" s="11">
        <f>X121/'2022a_250601_0524'!L121</f>
        <v>7.6401980187343982E-2</v>
      </c>
    </row>
    <row r="122" spans="1:25" x14ac:dyDescent="0.25">
      <c r="A122">
        <v>121</v>
      </c>
      <c r="B122">
        <v>140</v>
      </c>
      <c r="C122" t="s">
        <v>45</v>
      </c>
      <c r="D122" t="s">
        <v>17</v>
      </c>
      <c r="E122" t="s">
        <v>49</v>
      </c>
      <c r="F122" t="s">
        <v>19</v>
      </c>
      <c r="G122" t="s">
        <v>26</v>
      </c>
      <c r="H122" t="s">
        <v>21</v>
      </c>
      <c r="I122" t="s">
        <v>22</v>
      </c>
      <c r="J122" t="s">
        <v>23</v>
      </c>
      <c r="K122">
        <v>702</v>
      </c>
      <c r="L122" s="4">
        <v>39.272376700000002</v>
      </c>
      <c r="M122" s="4">
        <v>405.02218474896813</v>
      </c>
      <c r="N122" s="4">
        <v>1.8758038190127144</v>
      </c>
      <c r="O122" s="1" t="str">
        <f>HYPERLINK(".\sm_car_250601_1258\sm_car_250601_1258_121_Ca140TrN_MaWOT_ode23t_1.png","figure")</f>
        <v>figure</v>
      </c>
      <c r="P122" t="s">
        <v>15</v>
      </c>
      <c r="V122">
        <f>K122-'2022a_250601_0524'!K122</f>
        <v>0</v>
      </c>
      <c r="W122" s="11">
        <f>V122/'2022a_250601_0524'!K122</f>
        <v>0</v>
      </c>
      <c r="X122">
        <f>L122-'2022a_250601_0524'!L122</f>
        <v>-1.7660338999999965</v>
      </c>
      <c r="Y122" s="11">
        <f>X122/'2022a_250601_0524'!L122</f>
        <v>-4.3033681718657901E-2</v>
      </c>
    </row>
    <row r="123" spans="1:25" x14ac:dyDescent="0.25">
      <c r="A123">
        <v>122</v>
      </c>
      <c r="B123">
        <v>140</v>
      </c>
      <c r="C123" t="s">
        <v>45</v>
      </c>
      <c r="D123" t="s">
        <v>17</v>
      </c>
      <c r="E123" t="s">
        <v>49</v>
      </c>
      <c r="F123" t="s">
        <v>19</v>
      </c>
      <c r="G123" t="s">
        <v>26</v>
      </c>
      <c r="H123" t="s">
        <v>21</v>
      </c>
      <c r="I123" t="s">
        <v>24</v>
      </c>
      <c r="J123" t="s">
        <v>23</v>
      </c>
      <c r="K123">
        <v>658</v>
      </c>
      <c r="L123" s="4">
        <v>24.414667900000001</v>
      </c>
      <c r="M123" s="4">
        <v>154.33584552735473</v>
      </c>
      <c r="N123" s="4">
        <v>-0.58067373904514841</v>
      </c>
      <c r="O123" s="1" t="str">
        <f>HYPERLINK(".\sm_car_250601_1258\sm_car_250601_1258_122_Ca140TrN_MaLSS_ode23t_1.png","figure")</f>
        <v>figure</v>
      </c>
      <c r="P123" t="s">
        <v>15</v>
      </c>
      <c r="V123">
        <f>K123-'2022a_250601_0524'!K123</f>
        <v>0</v>
      </c>
      <c r="W123" s="11">
        <f>V123/'2022a_250601_0524'!K123</f>
        <v>0</v>
      </c>
      <c r="X123">
        <f>L123-'2022a_250601_0524'!L123</f>
        <v>0.72535930000000093</v>
      </c>
      <c r="Y123" s="11">
        <f>X123/'2022a_250601_0524'!L123</f>
        <v>3.061969060591329E-2</v>
      </c>
    </row>
    <row r="124" spans="1:25" x14ac:dyDescent="0.25">
      <c r="A124">
        <v>123</v>
      </c>
      <c r="B124">
        <v>142</v>
      </c>
      <c r="C124" t="s">
        <v>45</v>
      </c>
      <c r="D124" t="s">
        <v>17</v>
      </c>
      <c r="E124" t="s">
        <v>49</v>
      </c>
      <c r="F124" t="s">
        <v>28</v>
      </c>
      <c r="G124" t="s">
        <v>26</v>
      </c>
      <c r="H124" t="s">
        <v>21</v>
      </c>
      <c r="I124" t="s">
        <v>22</v>
      </c>
      <c r="J124" t="s">
        <v>23</v>
      </c>
      <c r="K124">
        <v>1209</v>
      </c>
      <c r="L124" s="4">
        <v>35.775928</v>
      </c>
      <c r="M124" s="4">
        <v>405.25240941563715</v>
      </c>
      <c r="N124" s="4">
        <v>1.7021373290751194</v>
      </c>
      <c r="O124" s="1" t="str">
        <f>HYPERLINK(".\sm_car_250601_1258\sm_car_250601_1258_123_Ca142TrN_MaWOT_ode23t_1.png","figure")</f>
        <v>figure</v>
      </c>
      <c r="P124" t="s">
        <v>15</v>
      </c>
      <c r="V124">
        <f>K124-'2022a_250601_0524'!K124</f>
        <v>0</v>
      </c>
      <c r="W124" s="11">
        <f>V124/'2022a_250601_0524'!K124</f>
        <v>0</v>
      </c>
      <c r="X124">
        <f>L124-'2022a_250601_0524'!L124</f>
        <v>2.137385799999997</v>
      </c>
      <c r="Y124" s="11">
        <f>X124/'2022a_250601_0524'!L124</f>
        <v>6.3539786810380763E-2</v>
      </c>
    </row>
    <row r="125" spans="1:25" x14ac:dyDescent="0.25">
      <c r="A125">
        <v>124</v>
      </c>
      <c r="B125">
        <v>142</v>
      </c>
      <c r="C125" t="s">
        <v>45</v>
      </c>
      <c r="D125" t="s">
        <v>17</v>
      </c>
      <c r="E125" t="s">
        <v>49</v>
      </c>
      <c r="F125" t="s">
        <v>28</v>
      </c>
      <c r="G125" t="s">
        <v>26</v>
      </c>
      <c r="H125" t="s">
        <v>21</v>
      </c>
      <c r="I125" t="s">
        <v>24</v>
      </c>
      <c r="J125" t="s">
        <v>23</v>
      </c>
      <c r="K125">
        <v>1212</v>
      </c>
      <c r="L125" s="4">
        <v>24.266800700000001</v>
      </c>
      <c r="M125" s="4">
        <v>154.43862670890729</v>
      </c>
      <c r="N125" s="4">
        <v>-0.58164606194304858</v>
      </c>
      <c r="O125" s="1" t="str">
        <f>HYPERLINK(".\sm_car_250601_1258\sm_car_250601_1258_124_Ca142TrN_MaLSS_ode23t_1.png","figure")</f>
        <v>figure</v>
      </c>
      <c r="P125" t="s">
        <v>15</v>
      </c>
      <c r="V125">
        <f>K125-'2022a_250601_0524'!K125</f>
        <v>0</v>
      </c>
      <c r="W125" s="11">
        <f>V125/'2022a_250601_0524'!K125</f>
        <v>0</v>
      </c>
      <c r="X125">
        <f>L125-'2022a_250601_0524'!L125</f>
        <v>0.57221300000000141</v>
      </c>
      <c r="Y125" s="11">
        <f>X125/'2022a_250601_0524'!L125</f>
        <v>2.4149523395167641E-2</v>
      </c>
    </row>
    <row r="126" spans="1:25" x14ac:dyDescent="0.25">
      <c r="A126">
        <v>125</v>
      </c>
      <c r="B126">
        <v>145</v>
      </c>
      <c r="C126" t="s">
        <v>46</v>
      </c>
      <c r="D126" t="s">
        <v>17</v>
      </c>
      <c r="E126" t="s">
        <v>50</v>
      </c>
      <c r="F126" t="s">
        <v>19</v>
      </c>
      <c r="G126" t="s">
        <v>26</v>
      </c>
      <c r="H126" t="s">
        <v>21</v>
      </c>
      <c r="I126" t="s">
        <v>22</v>
      </c>
      <c r="J126" t="s">
        <v>23</v>
      </c>
      <c r="K126">
        <v>355</v>
      </c>
      <c r="L126" s="4">
        <v>16.588913000000002</v>
      </c>
      <c r="M126" s="4">
        <v>95.763190305917007</v>
      </c>
      <c r="N126" s="4">
        <v>-3.2503290073543287E-2</v>
      </c>
      <c r="O126" s="1" t="str">
        <f>HYPERLINK(".\sm_car_250601_1258\sm_car_250601_1258_125_Ca145TrN_MaWOT_ode23t_1.png","figure")</f>
        <v>figure</v>
      </c>
      <c r="P126" t="s">
        <v>15</v>
      </c>
      <c r="V126">
        <f>K126-'2022a_250601_0524'!K126</f>
        <v>0</v>
      </c>
      <c r="W126" s="11">
        <f>V126/'2022a_250601_0524'!K126</f>
        <v>0</v>
      </c>
      <c r="X126">
        <f>L126-'2022a_250601_0524'!L126</f>
        <v>1.5767186000000013</v>
      </c>
      <c r="Y126" s="11">
        <f>X126/'2022a_250601_0524'!L126</f>
        <v>0.10502918880400332</v>
      </c>
    </row>
    <row r="127" spans="1:25" x14ac:dyDescent="0.25">
      <c r="A127">
        <v>126</v>
      </c>
      <c r="B127">
        <v>145</v>
      </c>
      <c r="C127" t="s">
        <v>46</v>
      </c>
      <c r="D127" t="s">
        <v>17</v>
      </c>
      <c r="E127" t="s">
        <v>50</v>
      </c>
      <c r="F127" t="s">
        <v>19</v>
      </c>
      <c r="G127" t="s">
        <v>26</v>
      </c>
      <c r="H127" t="s">
        <v>21</v>
      </c>
      <c r="I127" t="s">
        <v>24</v>
      </c>
      <c r="J127" t="s">
        <v>23</v>
      </c>
      <c r="K127">
        <v>463</v>
      </c>
      <c r="L127" s="4">
        <v>17.939894599999999</v>
      </c>
      <c r="M127" s="4">
        <v>25.00357142466428</v>
      </c>
      <c r="N127" s="4">
        <v>-4.9851827421342497E-2</v>
      </c>
      <c r="O127" s="1" t="str">
        <f>HYPERLINK(".\sm_car_250601_1258\sm_car_250601_1258_126_Ca145TrN_MaLSS_ode23t_1.png","figure")</f>
        <v>figure</v>
      </c>
      <c r="P127" t="s">
        <v>15</v>
      </c>
      <c r="V127">
        <f>K127-'2022a_250601_0524'!K127</f>
        <v>0</v>
      </c>
      <c r="W127" s="11">
        <f>V127/'2022a_250601_0524'!K127</f>
        <v>0</v>
      </c>
      <c r="X127">
        <f>L127-'2022a_250601_0524'!L127</f>
        <v>0.85248769999999752</v>
      </c>
      <c r="Y127" s="11">
        <f>X127/'2022a_250601_0524'!L127</f>
        <v>4.9889822662325521E-2</v>
      </c>
    </row>
    <row r="128" spans="1:25" x14ac:dyDescent="0.25">
      <c r="A128">
        <v>127</v>
      </c>
      <c r="B128">
        <v>146</v>
      </c>
      <c r="C128" t="s">
        <v>46</v>
      </c>
      <c r="D128" t="s">
        <v>17</v>
      </c>
      <c r="E128" t="s">
        <v>49</v>
      </c>
      <c r="F128" t="s">
        <v>19</v>
      </c>
      <c r="G128" t="s">
        <v>26</v>
      </c>
      <c r="H128" t="s">
        <v>21</v>
      </c>
      <c r="I128" t="s">
        <v>22</v>
      </c>
      <c r="J128" t="s">
        <v>23</v>
      </c>
      <c r="K128">
        <v>330</v>
      </c>
      <c r="L128" s="4">
        <v>11.470284599999999</v>
      </c>
      <c r="M128" s="4">
        <v>113.96657772839266</v>
      </c>
      <c r="N128" s="4">
        <v>0.53221246736806072</v>
      </c>
      <c r="O128" s="1" t="str">
        <f>HYPERLINK(".\sm_car_250601_1258\sm_car_250601_1258_127_Ca146TrN_MaWOT_ode23t_1.png","figure")</f>
        <v>figure</v>
      </c>
      <c r="P128" t="s">
        <v>15</v>
      </c>
      <c r="V128">
        <f>K128-'2022a_250601_0524'!K128</f>
        <v>0</v>
      </c>
      <c r="W128" s="11">
        <f>V128/'2022a_250601_0524'!K128</f>
        <v>0</v>
      </c>
      <c r="X128">
        <f>L128-'2022a_250601_0524'!L128</f>
        <v>1.1115838999999994</v>
      </c>
      <c r="Y128" s="11">
        <f>X128/'2022a_250601_0524'!L128</f>
        <v>0.10730920143295572</v>
      </c>
    </row>
    <row r="129" spans="1:25" x14ac:dyDescent="0.25">
      <c r="A129">
        <v>128</v>
      </c>
      <c r="B129">
        <v>146</v>
      </c>
      <c r="C129" t="s">
        <v>46</v>
      </c>
      <c r="D129" t="s">
        <v>17</v>
      </c>
      <c r="E129" t="s">
        <v>49</v>
      </c>
      <c r="F129" t="s">
        <v>19</v>
      </c>
      <c r="G129" t="s">
        <v>26</v>
      </c>
      <c r="H129" t="s">
        <v>21</v>
      </c>
      <c r="I129" t="s">
        <v>24</v>
      </c>
      <c r="J129" t="s">
        <v>23</v>
      </c>
      <c r="K129">
        <v>450</v>
      </c>
      <c r="L129" s="4">
        <v>13.092912999999999</v>
      </c>
      <c r="M129" s="4">
        <v>35.604687394938694</v>
      </c>
      <c r="N129" s="4">
        <v>-2.7989443676201601E-2</v>
      </c>
      <c r="O129" s="1" t="str">
        <f>HYPERLINK(".\sm_car_250601_1258\sm_car_250601_1258_128_Ca146TrN_MaLSS_ode23t_1.png","figure")</f>
        <v>figure</v>
      </c>
      <c r="P129" t="s">
        <v>15</v>
      </c>
      <c r="V129">
        <f>K129-'2022a_250601_0524'!K129</f>
        <v>0</v>
      </c>
      <c r="W129" s="11">
        <f>V129/'2022a_250601_0524'!K129</f>
        <v>0</v>
      </c>
      <c r="X129">
        <f>L129-'2022a_250601_0524'!L129</f>
        <v>0.65654780000000024</v>
      </c>
      <c r="Y129" s="11">
        <f>X129/'2022a_250601_0524'!L129</f>
        <v>5.2792579619646444E-2</v>
      </c>
    </row>
    <row r="130" spans="1:25" x14ac:dyDescent="0.25">
      <c r="A130">
        <v>129</v>
      </c>
      <c r="B130">
        <v>146</v>
      </c>
      <c r="C130" t="s">
        <v>46</v>
      </c>
      <c r="D130" t="s">
        <v>17</v>
      </c>
      <c r="E130" t="s">
        <v>49</v>
      </c>
      <c r="F130" t="s">
        <v>19</v>
      </c>
      <c r="G130" t="s">
        <v>26</v>
      </c>
      <c r="H130" t="s">
        <v>21</v>
      </c>
      <c r="I130" t="s">
        <v>22</v>
      </c>
      <c r="J130" t="s">
        <v>23</v>
      </c>
      <c r="K130">
        <v>330</v>
      </c>
      <c r="L130" s="4">
        <v>10.4671918</v>
      </c>
      <c r="M130" s="4">
        <v>113.96657772839266</v>
      </c>
      <c r="N130" s="4">
        <v>0.53221246736806072</v>
      </c>
      <c r="O130" s="1" t="str">
        <f>HYPERLINK(".\sm_car_250601_1258\sm_car_250601_1258_129_Ca146TrN_MaWOT_ode23t_1.png","figure")</f>
        <v>figure</v>
      </c>
      <c r="P130" t="s">
        <v>15</v>
      </c>
      <c r="V130">
        <f>K130-'2022a_250601_0524'!K130</f>
        <v>0</v>
      </c>
      <c r="W130" s="11">
        <f>V130/'2022a_250601_0524'!K130</f>
        <v>0</v>
      </c>
      <c r="X130">
        <f>L130-'2022a_250601_0524'!L130</f>
        <v>0.47634479999999968</v>
      </c>
      <c r="Y130" s="11">
        <f>X130/'2022a_250601_0524'!L130</f>
        <v>4.7678119783037383E-2</v>
      </c>
    </row>
    <row r="131" spans="1:25" x14ac:dyDescent="0.25">
      <c r="A131">
        <v>130</v>
      </c>
      <c r="B131">
        <v>146</v>
      </c>
      <c r="C131" t="s">
        <v>46</v>
      </c>
      <c r="D131" t="s">
        <v>17</v>
      </c>
      <c r="E131" t="s">
        <v>49</v>
      </c>
      <c r="F131" t="s">
        <v>19</v>
      </c>
      <c r="G131" t="s">
        <v>26</v>
      </c>
      <c r="H131" t="s">
        <v>21</v>
      </c>
      <c r="I131" t="s">
        <v>24</v>
      </c>
      <c r="J131" t="s">
        <v>23</v>
      </c>
      <c r="K131">
        <v>450</v>
      </c>
      <c r="L131" s="4">
        <v>12.907738999999999</v>
      </c>
      <c r="M131" s="4">
        <v>35.604687394938694</v>
      </c>
      <c r="N131" s="4">
        <v>-2.7989443676201601E-2</v>
      </c>
      <c r="O131" s="1" t="str">
        <f>HYPERLINK(".\sm_car_250601_1258\sm_car_250601_1258_130_Ca146TrN_MaLSS_ode23t_1.png","figure")</f>
        <v>figure</v>
      </c>
      <c r="P131" t="s">
        <v>15</v>
      </c>
      <c r="V131">
        <f>K131-'2022a_250601_0524'!K131</f>
        <v>0</v>
      </c>
      <c r="W131" s="11">
        <f>V131/'2022a_250601_0524'!K131</f>
        <v>0</v>
      </c>
      <c r="X131">
        <f>L131-'2022a_250601_0524'!L131</f>
        <v>0.16096729999999937</v>
      </c>
      <c r="Y131" s="11">
        <f>X131/'2022a_250601_0524'!L131</f>
        <v>1.2628083705303937E-2</v>
      </c>
    </row>
    <row r="132" spans="1:25" x14ac:dyDescent="0.25">
      <c r="A132">
        <v>131</v>
      </c>
      <c r="B132">
        <v>161</v>
      </c>
      <c r="C132" t="s">
        <v>45</v>
      </c>
      <c r="D132" t="s">
        <v>51</v>
      </c>
      <c r="E132" t="s">
        <v>49</v>
      </c>
      <c r="F132" t="s">
        <v>19</v>
      </c>
      <c r="G132" t="s">
        <v>26</v>
      </c>
      <c r="H132" t="s">
        <v>21</v>
      </c>
      <c r="I132" t="s">
        <v>22</v>
      </c>
      <c r="J132" t="s">
        <v>23</v>
      </c>
      <c r="K132">
        <v>605</v>
      </c>
      <c r="L132" s="4">
        <v>33.758805799999998</v>
      </c>
      <c r="M132" s="4">
        <v>179.77186123957486</v>
      </c>
      <c r="N132" s="4">
        <v>0.28997964368581042</v>
      </c>
      <c r="O132" s="1" t="str">
        <f>HYPERLINK(".\sm_car_250601_1258\sm_car_250601_1258_131_Ca161TrN_MaWOT_ode23t_1.png","figure")</f>
        <v>figure</v>
      </c>
      <c r="P132" t="s">
        <v>15</v>
      </c>
      <c r="V132">
        <f>K132-'2022a_250601_0524'!K132</f>
        <v>0</v>
      </c>
      <c r="W132" s="11">
        <f>V132/'2022a_250601_0524'!K132</f>
        <v>0</v>
      </c>
      <c r="X132">
        <f>L132-'2022a_250601_0524'!L132</f>
        <v>1.7893246999999981</v>
      </c>
      <c r="Y132" s="11">
        <f>X132/'2022a_250601_0524'!L132</f>
        <v>5.5969776125018127E-2</v>
      </c>
    </row>
    <row r="133" spans="1:25" x14ac:dyDescent="0.25">
      <c r="A133">
        <v>132</v>
      </c>
      <c r="B133">
        <v>161</v>
      </c>
      <c r="C133" t="s">
        <v>45</v>
      </c>
      <c r="D133" t="s">
        <v>51</v>
      </c>
      <c r="E133" t="s">
        <v>49</v>
      </c>
      <c r="F133" t="s">
        <v>19</v>
      </c>
      <c r="G133" t="s">
        <v>26</v>
      </c>
      <c r="H133" t="s">
        <v>21</v>
      </c>
      <c r="I133" t="s">
        <v>24</v>
      </c>
      <c r="J133" t="s">
        <v>23</v>
      </c>
      <c r="K133">
        <v>693</v>
      </c>
      <c r="L133" s="4">
        <v>30.347764099999999</v>
      </c>
      <c r="M133" s="4">
        <v>154.14499845418891</v>
      </c>
      <c r="N133" s="4">
        <v>-0.59504276484450636</v>
      </c>
      <c r="O133" s="1" t="str">
        <f>HYPERLINK(".\sm_car_250601_1258\sm_car_250601_1258_132_Ca161TrN_MaLSS_ode23t_1.png","figure")</f>
        <v>figure</v>
      </c>
      <c r="P133" t="s">
        <v>15</v>
      </c>
      <c r="V133">
        <f>K133-'2022a_250601_0524'!K133</f>
        <v>0</v>
      </c>
      <c r="W133" s="11">
        <f>V133/'2022a_250601_0524'!K133</f>
        <v>0</v>
      </c>
      <c r="X133">
        <f>L133-'2022a_250601_0524'!L133</f>
        <v>1.3947899999998015E-2</v>
      </c>
      <c r="Y133" s="11">
        <f>X133/'2022a_250601_0524'!L133</f>
        <v>4.5981355949529406E-4</v>
      </c>
    </row>
    <row r="134" spans="1:25" x14ac:dyDescent="0.25">
      <c r="A134">
        <v>133</v>
      </c>
      <c r="B134">
        <v>163</v>
      </c>
      <c r="C134" t="s">
        <v>45</v>
      </c>
      <c r="D134" t="s">
        <v>52</v>
      </c>
      <c r="E134" t="s">
        <v>49</v>
      </c>
      <c r="F134" t="s">
        <v>19</v>
      </c>
      <c r="G134" t="s">
        <v>26</v>
      </c>
      <c r="H134" t="s">
        <v>21</v>
      </c>
      <c r="I134" t="s">
        <v>22</v>
      </c>
      <c r="J134" t="s">
        <v>23</v>
      </c>
      <c r="K134">
        <v>638</v>
      </c>
      <c r="L134" s="4">
        <v>34.918238199999998</v>
      </c>
      <c r="M134" s="4">
        <v>277.39786627078183</v>
      </c>
      <c r="N134" s="4">
        <v>0.67724694039963329</v>
      </c>
      <c r="O134" s="1" t="str">
        <f>HYPERLINK(".\sm_car_250601_1258\sm_car_250601_1258_133_Ca163TrN_MaWOT_ode23t_1.png","figure")</f>
        <v>figure</v>
      </c>
      <c r="P134" t="s">
        <v>15</v>
      </c>
      <c r="V134">
        <f>K134-'2022a_250601_0524'!K134</f>
        <v>0</v>
      </c>
      <c r="W134" s="11">
        <f>V134/'2022a_250601_0524'!K134</f>
        <v>0</v>
      </c>
      <c r="X134">
        <f>L134-'2022a_250601_0524'!L134</f>
        <v>0.6744397999999947</v>
      </c>
      <c r="Y134" s="11">
        <f>X134/'2022a_250601_0524'!L134</f>
        <v>1.9695239182344757E-2</v>
      </c>
    </row>
    <row r="135" spans="1:25" x14ac:dyDescent="0.25">
      <c r="A135">
        <v>134</v>
      </c>
      <c r="B135">
        <v>163</v>
      </c>
      <c r="C135" t="s">
        <v>45</v>
      </c>
      <c r="D135" t="s">
        <v>52</v>
      </c>
      <c r="E135" t="s">
        <v>49</v>
      </c>
      <c r="F135" t="s">
        <v>19</v>
      </c>
      <c r="G135" t="s">
        <v>26</v>
      </c>
      <c r="H135" t="s">
        <v>21</v>
      </c>
      <c r="I135" t="s">
        <v>24</v>
      </c>
      <c r="J135" t="s">
        <v>23</v>
      </c>
      <c r="K135">
        <v>768</v>
      </c>
      <c r="L135" s="4">
        <v>36.393144999999997</v>
      </c>
      <c r="M135" s="4">
        <v>256.36194225319048</v>
      </c>
      <c r="N135" s="4">
        <v>-0.83599137531625212</v>
      </c>
      <c r="O135" s="1" t="str">
        <f>HYPERLINK(".\sm_car_250601_1258\sm_car_250601_1258_134_Ca163TrN_MaLSS_ode23t_1.png","figure")</f>
        <v>figure</v>
      </c>
      <c r="P135" t="s">
        <v>15</v>
      </c>
      <c r="V135">
        <f>K135-'2022a_250601_0524'!K135</f>
        <v>-35</v>
      </c>
      <c r="W135" s="11">
        <f>V135/'2022a_250601_0524'!K135</f>
        <v>-4.3586550435865505E-2</v>
      </c>
      <c r="X135">
        <f>L135-'2022a_250601_0524'!L135</f>
        <v>0.64122239999999664</v>
      </c>
      <c r="Y135" s="11">
        <f>X135/'2022a_250601_0524'!L135</f>
        <v>1.7935326364797978E-2</v>
      </c>
    </row>
    <row r="136" spans="1:25" x14ac:dyDescent="0.25">
      <c r="A136">
        <v>135</v>
      </c>
      <c r="B136">
        <v>184</v>
      </c>
      <c r="C136" t="s">
        <v>105</v>
      </c>
      <c r="D136" t="s">
        <v>120</v>
      </c>
      <c r="E136" t="s">
        <v>49</v>
      </c>
      <c r="F136" t="s">
        <v>19</v>
      </c>
      <c r="G136" t="s">
        <v>20</v>
      </c>
      <c r="H136" t="s">
        <v>21</v>
      </c>
      <c r="I136" t="s">
        <v>22</v>
      </c>
      <c r="J136" t="s">
        <v>23</v>
      </c>
      <c r="K136">
        <v>311</v>
      </c>
      <c r="L136" s="4">
        <v>16.4626135</v>
      </c>
      <c r="M136" s="4">
        <v>294.64546055066154</v>
      </c>
      <c r="N136" s="4">
        <v>5.9485018793192866E-4</v>
      </c>
      <c r="O136" s="1" t="str">
        <f>HYPERLINK(".\sm_car_250601_1258\sm_car_250601_1258_135_Ca184TrN_MaWOT_ode23t_1.png","figure")</f>
        <v>figure</v>
      </c>
      <c r="P136" t="s">
        <v>15</v>
      </c>
      <c r="V136">
        <f>K136-'2022a_250601_0524'!K136</f>
        <v>0</v>
      </c>
      <c r="W136" s="11">
        <f>V136/'2022a_250601_0524'!K136</f>
        <v>0</v>
      </c>
      <c r="X136">
        <f>L136-'2022a_250601_0524'!L136</f>
        <v>0.71101720000000057</v>
      </c>
      <c r="Y136" s="11">
        <f>X136/'2022a_250601_0524'!L136</f>
        <v>4.5139374223297016E-2</v>
      </c>
    </row>
    <row r="137" spans="1:25" x14ac:dyDescent="0.25">
      <c r="A137">
        <v>136</v>
      </c>
      <c r="B137">
        <v>184</v>
      </c>
      <c r="C137" t="s">
        <v>105</v>
      </c>
      <c r="D137" t="s">
        <v>120</v>
      </c>
      <c r="E137" t="s">
        <v>49</v>
      </c>
      <c r="F137" t="s">
        <v>19</v>
      </c>
      <c r="G137" t="s">
        <v>20</v>
      </c>
      <c r="H137" t="s">
        <v>21</v>
      </c>
      <c r="I137" t="s">
        <v>24</v>
      </c>
      <c r="J137" t="s">
        <v>23</v>
      </c>
      <c r="K137">
        <v>481</v>
      </c>
      <c r="L137" s="4">
        <v>11.859831099999999</v>
      </c>
      <c r="M137" s="4">
        <v>103.56281476907209</v>
      </c>
      <c r="N137" s="4">
        <v>-0.21255854813123123</v>
      </c>
      <c r="O137" s="1" t="str">
        <f>HYPERLINK(".\sm_car_250601_1258\sm_car_250601_1258_136_Ca184TrN_MaLSS_ode23t_1.png","figure")</f>
        <v>figure</v>
      </c>
      <c r="P137" t="s">
        <v>15</v>
      </c>
      <c r="V137">
        <f>K137-'2022a_250601_0524'!K137</f>
        <v>0</v>
      </c>
      <c r="W137" s="11">
        <f>V137/'2022a_250601_0524'!K137</f>
        <v>0</v>
      </c>
      <c r="X137">
        <f>L137-'2022a_250601_0524'!L137</f>
        <v>0.6625413999999985</v>
      </c>
      <c r="Y137" s="11">
        <f>X137/'2022a_250601_0524'!L137</f>
        <v>5.9169800706326145E-2</v>
      </c>
    </row>
    <row r="138" spans="1:25" x14ac:dyDescent="0.25">
      <c r="A138">
        <v>137</v>
      </c>
      <c r="B138">
        <v>217</v>
      </c>
      <c r="C138" t="s">
        <v>45</v>
      </c>
      <c r="D138" t="s">
        <v>17</v>
      </c>
      <c r="E138" t="s">
        <v>107</v>
      </c>
      <c r="F138" t="s">
        <v>119</v>
      </c>
      <c r="G138" t="s">
        <v>26</v>
      </c>
      <c r="H138" t="s">
        <v>21</v>
      </c>
      <c r="I138" t="s">
        <v>22</v>
      </c>
      <c r="J138" t="s">
        <v>23</v>
      </c>
      <c r="K138">
        <v>744</v>
      </c>
      <c r="L138" s="4">
        <v>32.855373499999999</v>
      </c>
      <c r="M138" s="4">
        <v>278.53299339271558</v>
      </c>
      <c r="N138" s="4">
        <v>0.73298986942053801</v>
      </c>
      <c r="O138" s="1" t="str">
        <f>HYPERLINK(".\sm_car_250601_1258\sm_car_250601_1258_137_Ca217TrN_MaWOT_ode23t_1.png","figure")</f>
        <v>figure</v>
      </c>
      <c r="P138" t="s">
        <v>15</v>
      </c>
      <c r="V138">
        <f>K138-'2022a_250601_0524'!K138</f>
        <v>0</v>
      </c>
      <c r="W138" s="11">
        <f>V138/'2022a_250601_0524'!K138</f>
        <v>0</v>
      </c>
      <c r="X138">
        <f>L138-'2022a_250601_0524'!L138</f>
        <v>-0.25710579999999794</v>
      </c>
      <c r="Y138" s="11">
        <f>X138/'2022a_250601_0524'!L138</f>
        <v>-7.7646194255226904E-3</v>
      </c>
    </row>
    <row r="139" spans="1:25" x14ac:dyDescent="0.25">
      <c r="A139">
        <v>138</v>
      </c>
      <c r="B139">
        <v>217</v>
      </c>
      <c r="C139" t="s">
        <v>45</v>
      </c>
      <c r="D139" t="s">
        <v>17</v>
      </c>
      <c r="E139" t="s">
        <v>107</v>
      </c>
      <c r="F139" t="s">
        <v>119</v>
      </c>
      <c r="G139" t="s">
        <v>26</v>
      </c>
      <c r="H139" t="s">
        <v>21</v>
      </c>
      <c r="I139" t="s">
        <v>24</v>
      </c>
      <c r="J139" t="s">
        <v>23</v>
      </c>
      <c r="K139">
        <v>849</v>
      </c>
      <c r="L139" s="4">
        <v>38.051875500000001</v>
      </c>
      <c r="M139" s="4">
        <v>110.07304022841477</v>
      </c>
      <c r="N139" s="4">
        <v>-0.35489105597102799</v>
      </c>
      <c r="O139" s="1" t="str">
        <f>HYPERLINK(".\sm_car_250601_1258\sm_car_250601_1258_138_Ca217TrN_MaLSS_ode23t_1.png","figure")</f>
        <v>figure</v>
      </c>
      <c r="P139" t="s">
        <v>15</v>
      </c>
      <c r="V139">
        <f>K139-'2022a_250601_0524'!K139</f>
        <v>0</v>
      </c>
      <c r="W139" s="11">
        <f>V139/'2022a_250601_0524'!K139</f>
        <v>0</v>
      </c>
      <c r="X139">
        <f>L139-'2022a_250601_0524'!L139</f>
        <v>1.1409477999999993</v>
      </c>
      <c r="Y139" s="11">
        <f>X139/'2022a_250601_0524'!L139</f>
        <v>3.0910840531380067E-2</v>
      </c>
    </row>
    <row r="140" spans="1:25" x14ac:dyDescent="0.25">
      <c r="A140">
        <v>139</v>
      </c>
      <c r="B140">
        <v>12</v>
      </c>
      <c r="C140" t="s">
        <v>16</v>
      </c>
      <c r="D140" t="s">
        <v>17</v>
      </c>
      <c r="E140" t="s">
        <v>49</v>
      </c>
      <c r="F140" t="s">
        <v>28</v>
      </c>
      <c r="G140" t="s">
        <v>20</v>
      </c>
      <c r="H140" t="s">
        <v>21</v>
      </c>
      <c r="I140" t="s">
        <v>53</v>
      </c>
      <c r="J140" t="s">
        <v>23</v>
      </c>
      <c r="K140">
        <v>667</v>
      </c>
      <c r="L140" s="4">
        <v>9.9480874000000004</v>
      </c>
      <c r="M140" s="4">
        <v>255.71781604090478</v>
      </c>
      <c r="N140" s="4">
        <v>-4.3783704737966112E-2</v>
      </c>
      <c r="O140" s="1" t="str">
        <f>HYPERLINK(".\sm_car_250601_1258\sm_car_250601_1258_139_Ca012TrN_MaDLC_ode23t_1.png","figure")</f>
        <v>figure</v>
      </c>
      <c r="P140" t="s">
        <v>15</v>
      </c>
      <c r="V140">
        <f>K140-'2022a_250601_0524'!K140</f>
        <v>-121</v>
      </c>
      <c r="W140" s="11">
        <f>V140/'2022a_250601_0524'!K140</f>
        <v>-0.15355329949238578</v>
      </c>
      <c r="X140">
        <f>L140-'2022a_250601_0524'!L140</f>
        <v>-1.7081958000000004</v>
      </c>
      <c r="Y140" s="11">
        <f>X140/'2022a_250601_0524'!L140</f>
        <v>-0.14654721155024789</v>
      </c>
    </row>
    <row r="141" spans="1:25" x14ac:dyDescent="0.25">
      <c r="A141">
        <v>140</v>
      </c>
      <c r="B141">
        <v>12</v>
      </c>
      <c r="C141" t="s">
        <v>16</v>
      </c>
      <c r="D141" t="s">
        <v>17</v>
      </c>
      <c r="E141" t="s">
        <v>49</v>
      </c>
      <c r="F141" t="s">
        <v>28</v>
      </c>
      <c r="G141" t="s">
        <v>20</v>
      </c>
      <c r="H141" t="s">
        <v>21</v>
      </c>
      <c r="I141" t="s">
        <v>54</v>
      </c>
      <c r="J141" t="s">
        <v>23</v>
      </c>
      <c r="K141">
        <v>928</v>
      </c>
      <c r="L141" s="4">
        <v>15.9987399</v>
      </c>
      <c r="M141" s="4">
        <v>74.803378420356452</v>
      </c>
      <c r="N141" s="4">
        <v>0.71987889792356108</v>
      </c>
      <c r="O141" s="1" t="str">
        <f>HYPERLINK(".\sm_car_250601_1258\sm_car_250601_1258_140_Ca012TrN_MaIPA_ode23t_1.png","figure")</f>
        <v>figure</v>
      </c>
      <c r="P141" t="s">
        <v>15</v>
      </c>
      <c r="V141">
        <f>K141-'2022a_250601_0524'!K141</f>
        <v>0</v>
      </c>
      <c r="W141" s="11">
        <f>V141/'2022a_250601_0524'!K141</f>
        <v>0</v>
      </c>
      <c r="X141">
        <f>L141-'2022a_250601_0524'!L141</f>
        <v>0.71651040000000066</v>
      </c>
      <c r="Y141" s="11">
        <f>X141/'2022a_250601_0524'!L141</f>
        <v>4.688520087988475E-2</v>
      </c>
    </row>
    <row r="142" spans="1:25" x14ac:dyDescent="0.25">
      <c r="A142">
        <v>141</v>
      </c>
      <c r="B142">
        <v>142</v>
      </c>
      <c r="C142" t="s">
        <v>45</v>
      </c>
      <c r="D142" t="s">
        <v>17</v>
      </c>
      <c r="E142" t="s">
        <v>49</v>
      </c>
      <c r="F142" t="s">
        <v>28</v>
      </c>
      <c r="G142" t="s">
        <v>26</v>
      </c>
      <c r="H142" t="s">
        <v>21</v>
      </c>
      <c r="I142" t="s">
        <v>53</v>
      </c>
      <c r="J142" t="s">
        <v>23</v>
      </c>
      <c r="K142">
        <v>739</v>
      </c>
      <c r="L142" s="4">
        <v>18.834666299999999</v>
      </c>
      <c r="M142" s="4">
        <v>253.35160164737664</v>
      </c>
      <c r="N142" s="4">
        <v>2.6379670520350729E-2</v>
      </c>
      <c r="O142" s="1" t="str">
        <f>HYPERLINK(".\sm_car_250601_1258\sm_car_250601_1258_141_Ca142TrN_MaDLC_ode23t_1.png","figure")</f>
        <v>figure</v>
      </c>
      <c r="P142" t="s">
        <v>15</v>
      </c>
      <c r="V142">
        <f>K142-'2022a_250601_0524'!K142</f>
        <v>-43</v>
      </c>
      <c r="W142" s="11">
        <f>V142/'2022a_250601_0524'!K142</f>
        <v>-5.4987212276214836E-2</v>
      </c>
      <c r="X142">
        <f>L142-'2022a_250601_0524'!L142</f>
        <v>4.2068959999999986</v>
      </c>
      <c r="Y142" s="11">
        <f>X142/'2022a_250601_0524'!L142</f>
        <v>0.2875965313729324</v>
      </c>
    </row>
    <row r="143" spans="1:25" x14ac:dyDescent="0.25">
      <c r="A143">
        <v>142</v>
      </c>
      <c r="B143">
        <v>142</v>
      </c>
      <c r="C143" t="s">
        <v>45</v>
      </c>
      <c r="D143" t="s">
        <v>17</v>
      </c>
      <c r="E143" t="s">
        <v>49</v>
      </c>
      <c r="F143" t="s">
        <v>28</v>
      </c>
      <c r="G143" t="s">
        <v>26</v>
      </c>
      <c r="H143" t="s">
        <v>21</v>
      </c>
      <c r="I143" t="s">
        <v>54</v>
      </c>
      <c r="J143" t="s">
        <v>23</v>
      </c>
      <c r="K143">
        <v>1514</v>
      </c>
      <c r="L143" s="4">
        <v>42.863458000000001</v>
      </c>
      <c r="M143" s="4">
        <v>83.364975879386066</v>
      </c>
      <c r="N143" s="4">
        <v>0.85104323035071494</v>
      </c>
      <c r="O143" s="1" t="str">
        <f>HYPERLINK(".\sm_car_250601_1258\sm_car_250601_1258_142_Ca142TrN_MaIPA_ode23t_1.png","figure")</f>
        <v>figure</v>
      </c>
      <c r="P143" t="s">
        <v>15</v>
      </c>
      <c r="V143">
        <f>K143-'2022a_250601_0524'!K143</f>
        <v>0</v>
      </c>
      <c r="W143" s="11">
        <f>V143/'2022a_250601_0524'!K143</f>
        <v>0</v>
      </c>
      <c r="X143">
        <f>L143-'2022a_250601_0524'!L143</f>
        <v>2.6973000000012348E-3</v>
      </c>
      <c r="Y143" s="11">
        <f>X143/'2022a_250601_0524'!L143</f>
        <v>6.29316875377164E-5</v>
      </c>
    </row>
    <row r="144" spans="1:25" x14ac:dyDescent="0.25">
      <c r="A144">
        <v>143</v>
      </c>
      <c r="B144">
        <v>145</v>
      </c>
      <c r="C144" t="s">
        <v>46</v>
      </c>
      <c r="D144" t="s">
        <v>17</v>
      </c>
      <c r="E144" t="s">
        <v>50</v>
      </c>
      <c r="F144" t="s">
        <v>19</v>
      </c>
      <c r="G144" t="s">
        <v>26</v>
      </c>
      <c r="H144" t="s">
        <v>21</v>
      </c>
      <c r="I144" t="s">
        <v>53</v>
      </c>
      <c r="J144" t="s">
        <v>23</v>
      </c>
      <c r="K144">
        <v>431</v>
      </c>
      <c r="L144" s="4">
        <v>17.110204700000001</v>
      </c>
      <c r="M144" s="4">
        <v>253.50277934564565</v>
      </c>
      <c r="N144" s="4">
        <v>-7.2212549799419712E-3</v>
      </c>
      <c r="O144" s="1" t="str">
        <f>HYPERLINK(".\sm_car_250601_1258\sm_car_250601_1258_143_Ca145TrN_MaDLC_ode23t_1.png","figure")</f>
        <v>figure</v>
      </c>
      <c r="P144" t="s">
        <v>15</v>
      </c>
      <c r="V144">
        <f>K144-'2022a_250601_0524'!K144</f>
        <v>-54</v>
      </c>
      <c r="W144" s="11">
        <f>V144/'2022a_250601_0524'!K144</f>
        <v>-0.11134020618556702</v>
      </c>
      <c r="X144">
        <f>L144-'2022a_250601_0524'!L144</f>
        <v>-1.0956447999999988</v>
      </c>
      <c r="Y144" s="11">
        <f>X144/'2022a_250601_0524'!L144</f>
        <v>-6.0180921521953631E-2</v>
      </c>
    </row>
    <row r="145" spans="1:25" x14ac:dyDescent="0.25">
      <c r="A145">
        <v>144</v>
      </c>
      <c r="B145">
        <v>145</v>
      </c>
      <c r="C145" t="s">
        <v>46</v>
      </c>
      <c r="D145" t="s">
        <v>17</v>
      </c>
      <c r="E145" t="s">
        <v>50</v>
      </c>
      <c r="F145" t="s">
        <v>19</v>
      </c>
      <c r="G145" t="s">
        <v>26</v>
      </c>
      <c r="H145" t="s">
        <v>21</v>
      </c>
      <c r="I145" t="s">
        <v>54</v>
      </c>
      <c r="J145" t="s">
        <v>23</v>
      </c>
      <c r="K145">
        <v>316</v>
      </c>
      <c r="L145" s="4">
        <v>12.812210800000001</v>
      </c>
      <c r="M145" s="4">
        <v>28.088186829286883</v>
      </c>
      <c r="N145" s="4">
        <v>1.5899913059596607E-2</v>
      </c>
      <c r="O145" s="1" t="str">
        <f>HYPERLINK(".\sm_car_250601_1258\sm_car_250601_1258_144_Ca145TrN_MaIPA_ode23t_1.png","figure")</f>
        <v>figure</v>
      </c>
      <c r="P145" t="s">
        <v>15</v>
      </c>
      <c r="V145">
        <f>K145-'2022a_250601_0524'!K145</f>
        <v>0</v>
      </c>
      <c r="W145" s="11">
        <f>V145/'2022a_250601_0524'!K145</f>
        <v>0</v>
      </c>
      <c r="X145">
        <f>L145-'2022a_250601_0524'!L145</f>
        <v>0.33710980000000035</v>
      </c>
      <c r="Y145" s="11">
        <f>X145/'2022a_250601_0524'!L145</f>
        <v>2.7022610879062249E-2</v>
      </c>
    </row>
    <row r="146" spans="1:25" x14ac:dyDescent="0.25">
      <c r="A146">
        <v>145</v>
      </c>
      <c r="B146">
        <v>184</v>
      </c>
      <c r="C146" t="s">
        <v>105</v>
      </c>
      <c r="D146" t="s">
        <v>120</v>
      </c>
      <c r="E146" t="s">
        <v>49</v>
      </c>
      <c r="F146" t="s">
        <v>19</v>
      </c>
      <c r="G146" t="s">
        <v>20</v>
      </c>
      <c r="H146" t="s">
        <v>21</v>
      </c>
      <c r="I146" t="s">
        <v>53</v>
      </c>
      <c r="J146" t="s">
        <v>23</v>
      </c>
      <c r="K146">
        <v>351</v>
      </c>
      <c r="L146" s="4">
        <v>10.825413299999999</v>
      </c>
      <c r="M146" s="4">
        <v>253.87500923782443</v>
      </c>
      <c r="N146" s="4">
        <v>6.8627768782277609E-2</v>
      </c>
      <c r="O146" s="1" t="str">
        <f>HYPERLINK(".\sm_car_250601_1258\sm_car_250601_1258_145_Ca184TrN_MaDLC_ode23t_1.png","figure")</f>
        <v>figure</v>
      </c>
      <c r="P146" t="s">
        <v>15</v>
      </c>
      <c r="V146">
        <f>K146-'2022a_250601_0524'!K146</f>
        <v>-68</v>
      </c>
      <c r="W146" s="11">
        <f>V146/'2022a_250601_0524'!K146</f>
        <v>-0.162291169451074</v>
      </c>
      <c r="X146">
        <f>L146-'2022a_250601_0524'!L146</f>
        <v>-1.2913069000000004</v>
      </c>
      <c r="Y146" s="11">
        <f>X146/'2022a_250601_0524'!L146</f>
        <v>-0.10657231319082539</v>
      </c>
    </row>
    <row r="147" spans="1:25" x14ac:dyDescent="0.25">
      <c r="A147">
        <v>146</v>
      </c>
      <c r="B147">
        <v>184</v>
      </c>
      <c r="C147" t="s">
        <v>105</v>
      </c>
      <c r="D147" t="s">
        <v>120</v>
      </c>
      <c r="E147" t="s">
        <v>49</v>
      </c>
      <c r="F147" t="s">
        <v>19</v>
      </c>
      <c r="G147" t="s">
        <v>20</v>
      </c>
      <c r="H147" t="s">
        <v>21</v>
      </c>
      <c r="I147" t="s">
        <v>54</v>
      </c>
      <c r="J147" t="s">
        <v>23</v>
      </c>
      <c r="K147">
        <v>316</v>
      </c>
      <c r="L147" s="4">
        <v>13.1520089</v>
      </c>
      <c r="M147" s="4">
        <v>55.272298865534218</v>
      </c>
      <c r="N147" s="4">
        <v>5.8677306534421622E-3</v>
      </c>
      <c r="O147" s="1" t="str">
        <f>HYPERLINK(".\sm_car_250601_1258\sm_car_250601_1258_146_Ca184TrN_MaIPA_ode23t_1.png","figure")</f>
        <v>figure</v>
      </c>
      <c r="P147" t="s">
        <v>15</v>
      </c>
      <c r="V147">
        <f>K147-'2022a_250601_0524'!K147</f>
        <v>0</v>
      </c>
      <c r="W147" s="11">
        <f>V147/'2022a_250601_0524'!K147</f>
        <v>0</v>
      </c>
      <c r="X147">
        <f>L147-'2022a_250601_0524'!L147</f>
        <v>0.71135439999999939</v>
      </c>
      <c r="Y147" s="11">
        <f>X147/'2022a_250601_0524'!L147</f>
        <v>5.7179821206352073E-2</v>
      </c>
    </row>
    <row r="148" spans="1:25" x14ac:dyDescent="0.25">
      <c r="A148">
        <v>147</v>
      </c>
      <c r="B148">
        <v>204</v>
      </c>
      <c r="C148" t="s">
        <v>105</v>
      </c>
      <c r="D148" t="s">
        <v>106</v>
      </c>
      <c r="E148" t="s">
        <v>18</v>
      </c>
      <c r="F148" t="s">
        <v>19</v>
      </c>
      <c r="G148" t="s">
        <v>20</v>
      </c>
      <c r="H148" t="s">
        <v>21</v>
      </c>
      <c r="I148" t="s">
        <v>53</v>
      </c>
      <c r="J148" t="s">
        <v>23</v>
      </c>
      <c r="K148">
        <v>1869</v>
      </c>
      <c r="L148" s="4">
        <v>32.285364700000002</v>
      </c>
      <c r="M148" s="4">
        <v>253.87903058266693</v>
      </c>
      <c r="N148" s="4">
        <v>-1.618295164453798E-2</v>
      </c>
      <c r="O148" s="1" t="str">
        <f>HYPERLINK(".\sm_car_250601_1258\sm_car_250601_1258_147_Ca204TrN_MaDLC_ode23t_1.png","figure")</f>
        <v>figure</v>
      </c>
      <c r="P148" t="s">
        <v>15</v>
      </c>
      <c r="V148">
        <f>K148-'2022a_250601_0524'!K148</f>
        <v>-115</v>
      </c>
      <c r="W148" s="11">
        <f>V148/'2022a_250601_0524'!K148</f>
        <v>-5.7963709677419352E-2</v>
      </c>
      <c r="X148">
        <f>L148-'2022a_250601_0524'!L148</f>
        <v>5.0245370000000023</v>
      </c>
      <c r="Y148" s="11">
        <f>X148/'2022a_250601_0524'!L148</f>
        <v>0.18431344254451973</v>
      </c>
    </row>
    <row r="149" spans="1:25" x14ac:dyDescent="0.25">
      <c r="A149">
        <v>148</v>
      </c>
      <c r="B149">
        <v>204</v>
      </c>
      <c r="C149" t="s">
        <v>105</v>
      </c>
      <c r="D149" t="s">
        <v>106</v>
      </c>
      <c r="E149" t="s">
        <v>18</v>
      </c>
      <c r="F149" t="s">
        <v>19</v>
      </c>
      <c r="G149" t="s">
        <v>20</v>
      </c>
      <c r="H149" t="s">
        <v>21</v>
      </c>
      <c r="I149" t="s">
        <v>54</v>
      </c>
      <c r="J149" t="s">
        <v>23</v>
      </c>
      <c r="K149">
        <v>663</v>
      </c>
      <c r="L149" s="4">
        <v>11.497058000000001</v>
      </c>
      <c r="M149" s="4">
        <v>26.034582908336471</v>
      </c>
      <c r="N149" s="4">
        <v>9.6641497332310318E-3</v>
      </c>
      <c r="O149" s="1" t="str">
        <f>HYPERLINK(".\sm_car_250601_1258\sm_car_250601_1258_148_Ca204TrN_MaIPA_ode23t_1.png","figure")</f>
        <v>figure</v>
      </c>
      <c r="P149" t="s">
        <v>15</v>
      </c>
      <c r="V149">
        <f>K149-'2022a_250601_0524'!K149</f>
        <v>0</v>
      </c>
      <c r="W149" s="11">
        <f>V149/'2022a_250601_0524'!K149</f>
        <v>0</v>
      </c>
      <c r="X149">
        <f>L149-'2022a_250601_0524'!L149</f>
        <v>0.38219750000000019</v>
      </c>
      <c r="Y149" s="11">
        <f>X149/'2022a_250601_0524'!L149</f>
        <v>3.4386171558338514E-2</v>
      </c>
    </row>
    <row r="150" spans="1:25" x14ac:dyDescent="0.25">
      <c r="A150">
        <v>149</v>
      </c>
      <c r="B150">
        <v>12</v>
      </c>
      <c r="C150" t="s">
        <v>16</v>
      </c>
      <c r="D150" t="s">
        <v>17</v>
      </c>
      <c r="E150" t="s">
        <v>49</v>
      </c>
      <c r="F150" t="s">
        <v>28</v>
      </c>
      <c r="G150" t="s">
        <v>20</v>
      </c>
      <c r="H150" t="s">
        <v>21</v>
      </c>
      <c r="I150" t="s">
        <v>55</v>
      </c>
      <c r="J150" t="s">
        <v>23</v>
      </c>
      <c r="K150">
        <v>4557</v>
      </c>
      <c r="L150" s="4">
        <v>71.595090299999995</v>
      </c>
      <c r="M150" s="4">
        <v>0.17531880735198738</v>
      </c>
      <c r="N150" s="4">
        <v>-5.2523950326732065E-2</v>
      </c>
      <c r="O150" s="1" t="str">
        <f>HYPERLINK(".\sm_car_250601_1258\sm_car_250601_1258_149_Ca012TrN_MaMPK_ode23t_1.png","figure")</f>
        <v>figure</v>
      </c>
      <c r="P150" t="s">
        <v>15</v>
      </c>
      <c r="V150">
        <f>K150-'2022a_250601_0524'!K150</f>
        <v>1851</v>
      </c>
      <c r="W150" s="11">
        <f>V150/'2022a_250601_0524'!K150</f>
        <v>0.68403547671840359</v>
      </c>
      <c r="X150">
        <f>L150-'2022a_250601_0524'!L150</f>
        <v>42.727803899999998</v>
      </c>
      <c r="Y150" s="11">
        <f>X150/'2022a_250601_0524'!L150</f>
        <v>1.4801461872079531</v>
      </c>
    </row>
    <row r="151" spans="1:25" x14ac:dyDescent="0.25">
      <c r="A151">
        <v>150</v>
      </c>
      <c r="B151">
        <v>12</v>
      </c>
      <c r="C151" t="s">
        <v>16</v>
      </c>
      <c r="D151" t="s">
        <v>17</v>
      </c>
      <c r="E151" t="s">
        <v>49</v>
      </c>
      <c r="F151" t="s">
        <v>28</v>
      </c>
      <c r="G151" t="s">
        <v>20</v>
      </c>
      <c r="H151" t="s">
        <v>21</v>
      </c>
      <c r="I151" t="s">
        <v>56</v>
      </c>
      <c r="J151" t="s">
        <v>23</v>
      </c>
      <c r="K151">
        <v>2920</v>
      </c>
      <c r="L151" s="4">
        <v>40.416743799999999</v>
      </c>
      <c r="M151" s="4">
        <v>0.70152533131628481</v>
      </c>
      <c r="N151" s="4">
        <v>9.4588500521501223E-2</v>
      </c>
      <c r="O151" s="1" t="str">
        <f>HYPERLINK(".\sm_car_250601_1258\sm_car_250601_1258_150_Ca012TrN_MaMPC_ode23t_1.png","figure")</f>
        <v>figure</v>
      </c>
      <c r="P151" t="s">
        <v>15</v>
      </c>
      <c r="V151">
        <f>K151-'2022a_250601_0524'!K151</f>
        <v>-216</v>
      </c>
      <c r="W151" s="11">
        <f>V151/'2022a_250601_0524'!K151</f>
        <v>-6.8877551020408156E-2</v>
      </c>
      <c r="X151">
        <f>L151-'2022a_250601_0524'!L151</f>
        <v>5.7679787000000005</v>
      </c>
      <c r="Y151" s="11">
        <f>X151/'2022a_250601_0524'!L151</f>
        <v>0.16646996461065797</v>
      </c>
    </row>
    <row r="152" spans="1:25" x14ac:dyDescent="0.25">
      <c r="A152">
        <v>151</v>
      </c>
      <c r="B152">
        <v>142</v>
      </c>
      <c r="C152" t="s">
        <v>45</v>
      </c>
      <c r="D152" t="s">
        <v>17</v>
      </c>
      <c r="E152" t="s">
        <v>49</v>
      </c>
      <c r="F152" t="s">
        <v>28</v>
      </c>
      <c r="G152" t="s">
        <v>26</v>
      </c>
      <c r="H152" t="s">
        <v>21</v>
      </c>
      <c r="I152" t="s">
        <v>55</v>
      </c>
      <c r="J152" t="s">
        <v>23</v>
      </c>
      <c r="K152">
        <v>2383</v>
      </c>
      <c r="L152" s="4">
        <v>74.838546600000001</v>
      </c>
      <c r="M152" s="4">
        <v>0.12194760524118659</v>
      </c>
      <c r="N152" s="4">
        <v>-0.41650316825689576</v>
      </c>
      <c r="O152" s="1" t="str">
        <f>HYPERLINK(".\sm_car_250601_1258\sm_car_250601_1258_151_Ca142TrN_MaMPK_ode23t_1.png","figure")</f>
        <v>figure</v>
      </c>
      <c r="P152" t="s">
        <v>15</v>
      </c>
      <c r="V152">
        <f>K152-'2022a_250601_0524'!K152</f>
        <v>-214</v>
      </c>
      <c r="W152" s="11">
        <f>V152/'2022a_250601_0524'!K152</f>
        <v>-8.2402772429726615E-2</v>
      </c>
      <c r="X152">
        <f>L152-'2022a_250601_0524'!L152</f>
        <v>5.4013970000000029</v>
      </c>
      <c r="Y152" s="11">
        <f>X152/'2022a_250601_0524'!L152</f>
        <v>7.7788288129845742E-2</v>
      </c>
    </row>
    <row r="153" spans="1:25" x14ac:dyDescent="0.25">
      <c r="A153">
        <v>152</v>
      </c>
      <c r="B153">
        <v>142</v>
      </c>
      <c r="C153" t="s">
        <v>45</v>
      </c>
      <c r="D153" t="s">
        <v>17</v>
      </c>
      <c r="E153" t="s">
        <v>49</v>
      </c>
      <c r="F153" t="s">
        <v>28</v>
      </c>
      <c r="G153" t="s">
        <v>26</v>
      </c>
      <c r="H153" t="s">
        <v>21</v>
      </c>
      <c r="I153" t="s">
        <v>56</v>
      </c>
      <c r="J153" t="s">
        <v>23</v>
      </c>
      <c r="K153">
        <v>2951</v>
      </c>
      <c r="L153" s="4">
        <v>80.628838200000004</v>
      </c>
      <c r="M153" s="4">
        <v>0.77565541565906848</v>
      </c>
      <c r="N153" s="4">
        <v>0.34515667842060105</v>
      </c>
      <c r="O153" s="1" t="str">
        <f>HYPERLINK(".\sm_car_250601_1258\sm_car_250601_1258_152_Ca142TrN_MaMPC_ode23t_1.png","figure")</f>
        <v>figure</v>
      </c>
      <c r="P153" t="s">
        <v>15</v>
      </c>
      <c r="V153">
        <f>K153-'2022a_250601_0524'!K153</f>
        <v>-225</v>
      </c>
      <c r="W153" s="11">
        <f>V153/'2022a_250601_0524'!K153</f>
        <v>-7.0843828715365237E-2</v>
      </c>
      <c r="X153">
        <f>L153-'2022a_250601_0524'!L153</f>
        <v>2.1249516000000028</v>
      </c>
      <c r="Y153" s="11">
        <f>X153/'2022a_250601_0524'!L153</f>
        <v>2.7068106969368861E-2</v>
      </c>
    </row>
    <row r="154" spans="1:25" x14ac:dyDescent="0.25">
      <c r="A154">
        <v>153</v>
      </c>
      <c r="B154">
        <v>116</v>
      </c>
      <c r="C154" t="s">
        <v>16</v>
      </c>
      <c r="D154" t="s">
        <v>35</v>
      </c>
      <c r="E154" t="s">
        <v>18</v>
      </c>
      <c r="F154" t="s">
        <v>28</v>
      </c>
      <c r="G154" t="s">
        <v>20</v>
      </c>
      <c r="H154" t="s">
        <v>21</v>
      </c>
      <c r="I154" t="s">
        <v>55</v>
      </c>
      <c r="J154" t="s">
        <v>23</v>
      </c>
      <c r="K154">
        <v>2711</v>
      </c>
      <c r="L154" s="4">
        <v>18.227558800000001</v>
      </c>
      <c r="M154" s="4">
        <v>3.4578699404744423E-2</v>
      </c>
      <c r="N154" s="4">
        <v>-0.47716344482894668</v>
      </c>
      <c r="O154" s="1" t="str">
        <f>HYPERLINK(".\sm_car_250601_1258\sm_car_250601_1258_153_Ca116TrN_MaMPK_ode23t_1.png","figure")</f>
        <v>figure</v>
      </c>
      <c r="P154" t="s">
        <v>15</v>
      </c>
      <c r="V154">
        <f>K154-'2022a_250601_0524'!K154</f>
        <v>-134</v>
      </c>
      <c r="W154" s="11">
        <f>V154/'2022a_250601_0524'!K154</f>
        <v>-4.7100175746924426E-2</v>
      </c>
      <c r="X154">
        <f>L154-'2022a_250601_0524'!L154</f>
        <v>5.0657297000000003</v>
      </c>
      <c r="Y154" s="11">
        <f>X154/'2022a_250601_0524'!L154</f>
        <v>0.38488037350371007</v>
      </c>
    </row>
    <row r="155" spans="1:25" x14ac:dyDescent="0.25">
      <c r="A155">
        <v>154</v>
      </c>
      <c r="B155">
        <v>116</v>
      </c>
      <c r="C155" t="s">
        <v>16</v>
      </c>
      <c r="D155" t="s">
        <v>35</v>
      </c>
      <c r="E155" t="s">
        <v>18</v>
      </c>
      <c r="F155" t="s">
        <v>28</v>
      </c>
      <c r="G155" t="s">
        <v>20</v>
      </c>
      <c r="H155" t="s">
        <v>21</v>
      </c>
      <c r="I155" t="s">
        <v>56</v>
      </c>
      <c r="J155" t="s">
        <v>23</v>
      </c>
      <c r="K155">
        <v>3167</v>
      </c>
      <c r="L155" s="4">
        <v>21.187737200000001</v>
      </c>
      <c r="M155" s="4">
        <v>0.7456774615025612</v>
      </c>
      <c r="N155" s="4">
        <v>0.28016127780898953</v>
      </c>
      <c r="O155" s="1" t="str">
        <f>HYPERLINK(".\sm_car_250601_1258\sm_car_250601_1258_154_Ca116TrN_MaMPC_ode23t_1.png","figure")</f>
        <v>figure</v>
      </c>
      <c r="P155" t="s">
        <v>15</v>
      </c>
      <c r="V155">
        <f>K155-'2022a_250601_0524'!K155</f>
        <v>-202</v>
      </c>
      <c r="W155" s="11">
        <f>V155/'2022a_250601_0524'!K155</f>
        <v>-5.9958444642327101E-2</v>
      </c>
      <c r="X155">
        <f>L155-'2022a_250601_0524'!L155</f>
        <v>6.2142237000000016</v>
      </c>
      <c r="Y155" s="11">
        <f>X155/'2022a_250601_0524'!L155</f>
        <v>0.41501439859121919</v>
      </c>
    </row>
    <row r="156" spans="1:25" x14ac:dyDescent="0.25">
      <c r="A156">
        <v>155</v>
      </c>
      <c r="B156">
        <v>143</v>
      </c>
      <c r="C156" t="s">
        <v>46</v>
      </c>
      <c r="D156" t="s">
        <v>17</v>
      </c>
      <c r="E156" t="s">
        <v>47</v>
      </c>
      <c r="F156" t="s">
        <v>19</v>
      </c>
      <c r="G156" t="s">
        <v>26</v>
      </c>
      <c r="H156" t="s">
        <v>21</v>
      </c>
      <c r="I156" t="s">
        <v>55</v>
      </c>
      <c r="J156" t="s">
        <v>23</v>
      </c>
      <c r="K156">
        <v>2225</v>
      </c>
      <c r="L156" s="4">
        <v>59.8072327</v>
      </c>
      <c r="M156" s="4">
        <v>2.1032797252233115E-3</v>
      </c>
      <c r="N156" s="4">
        <v>-9.3921475371628996E-2</v>
      </c>
      <c r="O156" s="1" t="str">
        <f>HYPERLINK(".\sm_car_250601_1258\sm_car_250601_1258_155_Ca143TrN_MaMPK_ode23t_1.png","figure")</f>
        <v>figure</v>
      </c>
      <c r="P156" t="s">
        <v>15</v>
      </c>
      <c r="V156">
        <f>K156-'2022a_250601_0524'!K156</f>
        <v>-480</v>
      </c>
      <c r="W156" s="11">
        <f>V156/'2022a_250601_0524'!K156</f>
        <v>-0.17744916820702403</v>
      </c>
      <c r="X156">
        <f>L156-'2022a_250601_0524'!L156</f>
        <v>8.8894930000000016</v>
      </c>
      <c r="Y156" s="11">
        <f>X156/'2022a_250601_0524'!L156</f>
        <v>0.17458538129099241</v>
      </c>
    </row>
    <row r="157" spans="1:25" x14ac:dyDescent="0.25">
      <c r="A157">
        <v>156</v>
      </c>
      <c r="B157">
        <v>143</v>
      </c>
      <c r="C157" t="s">
        <v>46</v>
      </c>
      <c r="D157" t="s">
        <v>17</v>
      </c>
      <c r="E157" t="s">
        <v>47</v>
      </c>
      <c r="F157" t="s">
        <v>19</v>
      </c>
      <c r="G157" t="s">
        <v>26</v>
      </c>
      <c r="H157" t="s">
        <v>21</v>
      </c>
      <c r="I157" t="s">
        <v>56</v>
      </c>
      <c r="J157" t="s">
        <v>23</v>
      </c>
      <c r="K157">
        <v>2358</v>
      </c>
      <c r="L157" s="4">
        <v>75.775996699999993</v>
      </c>
      <c r="M157" s="4">
        <v>0.76707222750675719</v>
      </c>
      <c r="N157" s="4">
        <v>-0.15790964220847181</v>
      </c>
      <c r="O157" s="1" t="str">
        <f>HYPERLINK(".\sm_car_250601_1258\sm_car_250601_1258_156_Ca143TrN_MaMPC_ode23t_1.png","figure")</f>
        <v>figure</v>
      </c>
      <c r="P157" t="s">
        <v>15</v>
      </c>
      <c r="V157">
        <f>K157-'2022a_250601_0524'!K157</f>
        <v>-552</v>
      </c>
      <c r="W157" s="11">
        <f>V157/'2022a_250601_0524'!K157</f>
        <v>-0.18969072164948453</v>
      </c>
      <c r="X157">
        <f>L157-'2022a_250601_0524'!L157</f>
        <v>12.70254409999999</v>
      </c>
      <c r="Y157" s="11">
        <f>X157/'2022a_250601_0524'!L157</f>
        <v>0.20139287729430544</v>
      </c>
    </row>
    <row r="158" spans="1:25" x14ac:dyDescent="0.25">
      <c r="A158">
        <v>157</v>
      </c>
      <c r="B158">
        <v>166</v>
      </c>
      <c r="C158" t="s">
        <v>45</v>
      </c>
      <c r="D158" t="s">
        <v>57</v>
      </c>
      <c r="E158" t="s">
        <v>18</v>
      </c>
      <c r="F158" t="s">
        <v>19</v>
      </c>
      <c r="G158" t="s">
        <v>26</v>
      </c>
      <c r="H158" t="s">
        <v>21</v>
      </c>
      <c r="I158" t="s">
        <v>55</v>
      </c>
      <c r="J158" t="s">
        <v>23</v>
      </c>
      <c r="K158">
        <v>3074</v>
      </c>
      <c r="L158" s="4">
        <v>61.490130200000003</v>
      </c>
      <c r="M158" s="4">
        <v>3.7510705680096901E-2</v>
      </c>
      <c r="N158" s="4">
        <v>-0.59568055449995239</v>
      </c>
      <c r="O158" s="1" t="str">
        <f>HYPERLINK(".\sm_car_250601_1258\sm_car_250601_1258_157_Ca166TrN_MaMPK_ode23t_1.png","figure")</f>
        <v>figure</v>
      </c>
      <c r="P158" t="s">
        <v>15</v>
      </c>
      <c r="V158">
        <f>K158-'2022a_250601_0524'!K158</f>
        <v>-113</v>
      </c>
      <c r="W158" s="11">
        <f>V158/'2022a_250601_0524'!K158</f>
        <v>-3.5456542202698463E-2</v>
      </c>
      <c r="X158">
        <f>L158-'2022a_250601_0524'!L158</f>
        <v>16.674429500000002</v>
      </c>
      <c r="Y158" s="11">
        <f>X158/'2022a_250601_0524'!L158</f>
        <v>0.37206669179669888</v>
      </c>
    </row>
    <row r="159" spans="1:25" x14ac:dyDescent="0.25">
      <c r="A159">
        <v>158</v>
      </c>
      <c r="B159">
        <v>166</v>
      </c>
      <c r="C159" t="s">
        <v>45</v>
      </c>
      <c r="D159" t="s">
        <v>57</v>
      </c>
      <c r="E159" t="s">
        <v>18</v>
      </c>
      <c r="F159" t="s">
        <v>19</v>
      </c>
      <c r="G159" t="s">
        <v>26</v>
      </c>
      <c r="H159" t="s">
        <v>21</v>
      </c>
      <c r="I159" t="s">
        <v>56</v>
      </c>
      <c r="J159" t="s">
        <v>23</v>
      </c>
      <c r="K159">
        <v>3298</v>
      </c>
      <c r="L159" s="4">
        <v>59.096170000000001</v>
      </c>
      <c r="M159" s="4">
        <v>0.71538719548569851</v>
      </c>
      <c r="N159" s="4">
        <v>0.50250953971814216</v>
      </c>
      <c r="O159" s="1" t="str">
        <f>HYPERLINK(".\sm_car_250601_1258\sm_car_250601_1258_158_Ca166TrN_MaMPC_ode23t_1.png","figure")</f>
        <v>figure</v>
      </c>
      <c r="P159" t="s">
        <v>15</v>
      </c>
      <c r="V159">
        <f>K159-'2022a_250601_0524'!K159</f>
        <v>-255</v>
      </c>
      <c r="W159" s="11">
        <f>V159/'2022a_250601_0524'!K159</f>
        <v>-7.1770334928229665E-2</v>
      </c>
      <c r="X159">
        <f>L159-'2022a_250601_0524'!L159</f>
        <v>10.639944300000003</v>
      </c>
      <c r="Y159" s="11">
        <f>X159/'2022a_250601_0524'!L159</f>
        <v>0.21957847823050741</v>
      </c>
    </row>
    <row r="160" spans="1:25" x14ac:dyDescent="0.25">
      <c r="A160">
        <v>159</v>
      </c>
      <c r="B160">
        <v>169</v>
      </c>
      <c r="C160" t="s">
        <v>45</v>
      </c>
      <c r="D160" t="s">
        <v>58</v>
      </c>
      <c r="E160" t="s">
        <v>49</v>
      </c>
      <c r="F160" t="s">
        <v>19</v>
      </c>
      <c r="G160" t="s">
        <v>26</v>
      </c>
      <c r="H160" t="s">
        <v>21</v>
      </c>
      <c r="I160" t="s">
        <v>55</v>
      </c>
      <c r="J160" t="s">
        <v>23</v>
      </c>
      <c r="K160">
        <v>3042</v>
      </c>
      <c r="L160" s="4">
        <v>49.915046099999998</v>
      </c>
      <c r="M160" s="4">
        <v>8.9660530613690254E-2</v>
      </c>
      <c r="N160" s="4">
        <v>-0.59146156358759649</v>
      </c>
      <c r="O160" s="1" t="str">
        <f>HYPERLINK(".\sm_car_250601_1258\sm_car_250601_1258_159_Ca169TrN_MaMPK_ode23t_1.png","figure")</f>
        <v>figure</v>
      </c>
      <c r="P160" t="s">
        <v>15</v>
      </c>
      <c r="V160">
        <f>K160-'2022a_250601_0524'!K160</f>
        <v>-80</v>
      </c>
      <c r="W160" s="11">
        <f>V160/'2022a_250601_0524'!K160</f>
        <v>-2.5624599615631006E-2</v>
      </c>
      <c r="X160">
        <f>L160-'2022a_250601_0524'!L160</f>
        <v>9.4304233000000011</v>
      </c>
      <c r="Y160" s="11">
        <f>X160/'2022a_250601_0524'!L160</f>
        <v>0.23293840099703242</v>
      </c>
    </row>
    <row r="161" spans="1:25" x14ac:dyDescent="0.25">
      <c r="A161">
        <v>160</v>
      </c>
      <c r="B161">
        <v>169</v>
      </c>
      <c r="C161" t="s">
        <v>45</v>
      </c>
      <c r="D161" t="s">
        <v>58</v>
      </c>
      <c r="E161" t="s">
        <v>49</v>
      </c>
      <c r="F161" t="s">
        <v>19</v>
      </c>
      <c r="G161" t="s">
        <v>26</v>
      </c>
      <c r="H161" t="s">
        <v>21</v>
      </c>
      <c r="I161" t="s">
        <v>56</v>
      </c>
      <c r="J161" t="s">
        <v>23</v>
      </c>
      <c r="K161">
        <v>3100</v>
      </c>
      <c r="L161" s="4">
        <v>51.880354699999998</v>
      </c>
      <c r="M161" s="4">
        <v>0.74829850687917521</v>
      </c>
      <c r="N161" s="4">
        <v>0.50664770294188555</v>
      </c>
      <c r="O161" s="1" t="str">
        <f>HYPERLINK(".\sm_car_250601_1258\sm_car_250601_1258_160_Ca169TrN_MaMPC_ode23t_1.png","figure")</f>
        <v>figure</v>
      </c>
      <c r="P161" t="s">
        <v>15</v>
      </c>
      <c r="V161">
        <f>K161-'2022a_250601_0524'!K161</f>
        <v>-294</v>
      </c>
      <c r="W161" s="11">
        <f>V161/'2022a_250601_0524'!K161</f>
        <v>-8.6623453152622279E-2</v>
      </c>
      <c r="X161">
        <f>L161-'2022a_250601_0524'!L161</f>
        <v>9.9461310999999952</v>
      </c>
      <c r="Y161" s="11">
        <f>X161/'2022a_250601_0524'!L161</f>
        <v>0.23718410038715954</v>
      </c>
    </row>
    <row r="162" spans="1:25" x14ac:dyDescent="0.25">
      <c r="A162">
        <v>161</v>
      </c>
      <c r="B162">
        <v>184</v>
      </c>
      <c r="C162" t="s">
        <v>105</v>
      </c>
      <c r="D162" t="s">
        <v>120</v>
      </c>
      <c r="E162" t="s">
        <v>49</v>
      </c>
      <c r="F162" t="s">
        <v>19</v>
      </c>
      <c r="G162" t="s">
        <v>20</v>
      </c>
      <c r="H162" t="s">
        <v>21</v>
      </c>
      <c r="I162" t="s">
        <v>55</v>
      </c>
      <c r="J162" t="s">
        <v>23</v>
      </c>
      <c r="K162">
        <v>2183</v>
      </c>
      <c r="L162" s="4">
        <v>87.080684700000006</v>
      </c>
      <c r="M162" s="4">
        <v>9.7191686703532149E-2</v>
      </c>
      <c r="N162" s="4">
        <v>0.50229486453237793</v>
      </c>
      <c r="O162" s="1" t="str">
        <f>HYPERLINK(".\sm_car_250601_1258\sm_car_250601_1258_161_Ca184TrN_MaMPK_ode23t_1.png","figure")</f>
        <v>figure</v>
      </c>
      <c r="P162" t="s">
        <v>15</v>
      </c>
      <c r="V162">
        <f>K162-'2022a_250601_0524'!K162</f>
        <v>75</v>
      </c>
      <c r="W162" s="11">
        <f>V162/'2022a_250601_0524'!K162</f>
        <v>3.5578747628083489E-2</v>
      </c>
      <c r="X162">
        <f>L162-'2022a_250601_0524'!L162</f>
        <v>33.904231100000004</v>
      </c>
      <c r="Y162" s="11">
        <f>X162/'2022a_250601_0524'!L162</f>
        <v>0.63757977083300643</v>
      </c>
    </row>
    <row r="163" spans="1:25" x14ac:dyDescent="0.25">
      <c r="A163">
        <v>162</v>
      </c>
      <c r="B163">
        <v>184</v>
      </c>
      <c r="C163" t="s">
        <v>105</v>
      </c>
      <c r="D163" t="s">
        <v>120</v>
      </c>
      <c r="E163" t="s">
        <v>49</v>
      </c>
      <c r="F163" t="s">
        <v>19</v>
      </c>
      <c r="G163" t="s">
        <v>20</v>
      </c>
      <c r="H163" t="s">
        <v>21</v>
      </c>
      <c r="I163" t="s">
        <v>56</v>
      </c>
      <c r="J163" t="s">
        <v>23</v>
      </c>
      <c r="K163">
        <v>4117</v>
      </c>
      <c r="L163" s="4">
        <v>158.19693050000001</v>
      </c>
      <c r="M163" s="4">
        <v>228.23171486273387</v>
      </c>
      <c r="N163" s="4">
        <v>-14.652755426484704</v>
      </c>
      <c r="O163" s="1" t="str">
        <f>HYPERLINK(".\sm_car_250601_1258\sm_car_250601_1258_162_Ca184TrN_MaMPC_ode23t_1.png","figure")</f>
        <v>figure</v>
      </c>
      <c r="P163" t="s">
        <v>15</v>
      </c>
      <c r="V163">
        <f>K163-'2022a_250601_0524'!K163</f>
        <v>1941</v>
      </c>
      <c r="W163" s="11">
        <f>V163/'2022a_250601_0524'!K163</f>
        <v>0.8920036764705882</v>
      </c>
      <c r="X163">
        <f>L163-'2022a_250601_0524'!L163</f>
        <v>104.967265</v>
      </c>
      <c r="Y163" s="11">
        <f>X163/'2022a_250601_0524'!L163</f>
        <v>1.9719692771693256</v>
      </c>
    </row>
    <row r="164" spans="1:25" x14ac:dyDescent="0.25">
      <c r="A164">
        <v>163</v>
      </c>
      <c r="B164">
        <v>195</v>
      </c>
      <c r="C164" t="s">
        <v>45</v>
      </c>
      <c r="D164" t="s">
        <v>58</v>
      </c>
      <c r="E164" t="s">
        <v>107</v>
      </c>
      <c r="F164" t="s">
        <v>19</v>
      </c>
      <c r="G164" t="s">
        <v>26</v>
      </c>
      <c r="H164" t="s">
        <v>21</v>
      </c>
      <c r="I164" t="s">
        <v>55</v>
      </c>
      <c r="J164" t="s">
        <v>23</v>
      </c>
      <c r="K164">
        <v>3028</v>
      </c>
      <c r="L164" s="4">
        <v>47.372594999999997</v>
      </c>
      <c r="M164" s="4">
        <v>-9.3024713185621555E-3</v>
      </c>
      <c r="N164" s="4">
        <v>-0.59249886763702597</v>
      </c>
      <c r="O164" s="1" t="str">
        <f>HYPERLINK(".\sm_car_250601_1258\sm_car_250601_1258_163_Ca195TrN_MaMPK_ode23t_1.png","figure")</f>
        <v>figure</v>
      </c>
      <c r="P164" t="s">
        <v>15</v>
      </c>
      <c r="V164">
        <f>K164-'2022a_250601_0524'!K164</f>
        <v>-117</v>
      </c>
      <c r="W164" s="11">
        <f>V164/'2022a_250601_0524'!K164</f>
        <v>-3.7201907790143082E-2</v>
      </c>
      <c r="X164">
        <f>L164-'2022a_250601_0524'!L164</f>
        <v>10.384020199999995</v>
      </c>
      <c r="Y164" s="11">
        <f>X164/'2022a_250601_0524'!L164</f>
        <v>0.2807358828002206</v>
      </c>
    </row>
    <row r="165" spans="1:25" x14ac:dyDescent="0.25">
      <c r="A165">
        <v>164</v>
      </c>
      <c r="B165">
        <v>195</v>
      </c>
      <c r="C165" t="s">
        <v>45</v>
      </c>
      <c r="D165" t="s">
        <v>58</v>
      </c>
      <c r="E165" t="s">
        <v>107</v>
      </c>
      <c r="F165" t="s">
        <v>19</v>
      </c>
      <c r="G165" t="s">
        <v>26</v>
      </c>
      <c r="H165" t="s">
        <v>21</v>
      </c>
      <c r="I165" t="s">
        <v>56</v>
      </c>
      <c r="J165" t="s">
        <v>23</v>
      </c>
      <c r="K165">
        <v>3124</v>
      </c>
      <c r="L165" s="4">
        <v>53.278500200000003</v>
      </c>
      <c r="M165" s="4">
        <v>0.71656696239865525</v>
      </c>
      <c r="N165" s="4">
        <v>0.50662325567196032</v>
      </c>
      <c r="O165" s="1" t="str">
        <f>HYPERLINK(".\sm_car_250601_1258\sm_car_250601_1258_164_Ca195TrN_MaMPC_ode23t_1.png","figure")</f>
        <v>figure</v>
      </c>
      <c r="P165" t="s">
        <v>15</v>
      </c>
      <c r="V165">
        <f>K165-'2022a_250601_0524'!K165</f>
        <v>-247</v>
      </c>
      <c r="W165" s="11">
        <f>V165/'2022a_250601_0524'!K165</f>
        <v>-7.3272026105013349E-2</v>
      </c>
      <c r="X165">
        <f>L165-'2022a_250601_0524'!L165</f>
        <v>17.760907200000005</v>
      </c>
      <c r="Y165" s="11">
        <f>X165/'2022a_250601_0524'!L165</f>
        <v>0.50005942688740213</v>
      </c>
    </row>
    <row r="166" spans="1:25" x14ac:dyDescent="0.25">
      <c r="A166">
        <v>165</v>
      </c>
      <c r="B166">
        <v>198</v>
      </c>
      <c r="C166" t="s">
        <v>105</v>
      </c>
      <c r="D166" t="s">
        <v>120</v>
      </c>
      <c r="E166" t="s">
        <v>107</v>
      </c>
      <c r="F166" t="s">
        <v>19</v>
      </c>
      <c r="G166" t="s">
        <v>20</v>
      </c>
      <c r="H166" t="s">
        <v>21</v>
      </c>
      <c r="I166" t="s">
        <v>55</v>
      </c>
      <c r="J166" t="s">
        <v>23</v>
      </c>
      <c r="K166">
        <v>2274</v>
      </c>
      <c r="L166" s="4">
        <v>56.811670100000001</v>
      </c>
      <c r="M166" s="4">
        <v>7.8097723969019289E-2</v>
      </c>
      <c r="N166" s="4">
        <v>0.50470092914124476</v>
      </c>
      <c r="O166" s="1" t="str">
        <f>HYPERLINK(".\sm_car_250601_1258\sm_car_250601_1258_165_Ca198TrN_MaMPK_ode23t_1.png","figure")</f>
        <v>figure</v>
      </c>
      <c r="P166" t="s">
        <v>15</v>
      </c>
      <c r="V166">
        <f>K166-'2022a_250601_0524'!K166</f>
        <v>162</v>
      </c>
      <c r="W166" s="11">
        <f>V166/'2022a_250601_0524'!K166</f>
        <v>7.6704545454545456E-2</v>
      </c>
      <c r="X166">
        <f>L166-'2022a_250601_0524'!L166</f>
        <v>23.307296800000003</v>
      </c>
      <c r="Y166" s="11">
        <f>X166/'2022a_250601_0524'!L166</f>
        <v>0.69564938855310587</v>
      </c>
    </row>
    <row r="167" spans="1:25" x14ac:dyDescent="0.25">
      <c r="A167">
        <v>166</v>
      </c>
      <c r="B167">
        <v>198</v>
      </c>
      <c r="C167" t="s">
        <v>105</v>
      </c>
      <c r="D167" t="s">
        <v>120</v>
      </c>
      <c r="E167" t="s">
        <v>107</v>
      </c>
      <c r="F167" t="s">
        <v>19</v>
      </c>
      <c r="G167" t="s">
        <v>20</v>
      </c>
      <c r="H167" t="s">
        <v>21</v>
      </c>
      <c r="I167" t="s">
        <v>56</v>
      </c>
      <c r="J167" t="s">
        <v>23</v>
      </c>
      <c r="K167">
        <v>2206</v>
      </c>
      <c r="L167" s="4">
        <v>54.911076399999999</v>
      </c>
      <c r="M167" s="4">
        <v>0.65149082612028053</v>
      </c>
      <c r="N167" s="4">
        <v>-0.38622353539443421</v>
      </c>
      <c r="O167" s="1" t="str">
        <f>HYPERLINK(".\sm_car_250601_1258\sm_car_250601_1258_166_Ca198TrN_MaMPC_ode23t_1.png","figure")</f>
        <v>figure</v>
      </c>
      <c r="P167" t="s">
        <v>15</v>
      </c>
      <c r="V167">
        <f>K167-'2022a_250601_0524'!K167</f>
        <v>48</v>
      </c>
      <c r="W167" s="11">
        <f>V167/'2022a_250601_0524'!K167</f>
        <v>2.2242817423540315E-2</v>
      </c>
      <c r="X167">
        <f>L167-'2022a_250601_0524'!L167</f>
        <v>24.607471699999998</v>
      </c>
      <c r="Y167" s="11">
        <f>X167/'2022a_250601_0524'!L167</f>
        <v>0.81203117396789426</v>
      </c>
    </row>
    <row r="168" spans="1:25" x14ac:dyDescent="0.25">
      <c r="A168">
        <v>167</v>
      </c>
      <c r="B168">
        <v>151</v>
      </c>
      <c r="C168" t="s">
        <v>16</v>
      </c>
      <c r="D168" t="s">
        <v>17</v>
      </c>
      <c r="E168" t="s">
        <v>18</v>
      </c>
      <c r="F168" t="s">
        <v>19</v>
      </c>
      <c r="G168" t="s">
        <v>59</v>
      </c>
      <c r="H168" t="s">
        <v>21</v>
      </c>
      <c r="I168" t="s">
        <v>24</v>
      </c>
      <c r="J168" t="s">
        <v>23</v>
      </c>
      <c r="K168">
        <v>490</v>
      </c>
      <c r="L168" s="4">
        <v>13.765844400000001</v>
      </c>
      <c r="M168" s="4">
        <v>72.558726519601265</v>
      </c>
      <c r="N168" s="4">
        <v>-0.80375738528869656</v>
      </c>
      <c r="O168" s="1" t="str">
        <f>HYPERLINK(".\sm_car_250601_1258\sm_car_250601_1258_167_Ca151TrN_MaLSS_ode23t_1.png","figure")</f>
        <v>figure</v>
      </c>
      <c r="P168" t="s">
        <v>15</v>
      </c>
      <c r="V168">
        <f>K168-'2022a_250601_0524'!K168</f>
        <v>0</v>
      </c>
      <c r="W168" s="11">
        <f>V168/'2022a_250601_0524'!K168</f>
        <v>0</v>
      </c>
      <c r="X168">
        <f>L168-'2022a_250601_0524'!L168</f>
        <v>1.5001689000000002</v>
      </c>
      <c r="Y168" s="11">
        <f>X168/'2022a_250601_0524'!L168</f>
        <v>0.12230626026263292</v>
      </c>
    </row>
    <row r="169" spans="1:25" x14ac:dyDescent="0.25">
      <c r="A169">
        <v>168</v>
      </c>
      <c r="B169">
        <v>152</v>
      </c>
      <c r="C169" t="s">
        <v>16</v>
      </c>
      <c r="D169" t="s">
        <v>17</v>
      </c>
      <c r="E169" t="s">
        <v>18</v>
      </c>
      <c r="F169" t="s">
        <v>19</v>
      </c>
      <c r="G169" t="s">
        <v>60</v>
      </c>
      <c r="H169" t="s">
        <v>21</v>
      </c>
      <c r="I169" t="s">
        <v>24</v>
      </c>
      <c r="J169" t="s">
        <v>23</v>
      </c>
      <c r="K169">
        <v>526</v>
      </c>
      <c r="L169" s="4">
        <v>13.4822176</v>
      </c>
      <c r="M169" s="4">
        <v>70.960569189103424</v>
      </c>
      <c r="N169" s="4">
        <v>-0.52803158816223184</v>
      </c>
      <c r="O169" s="1" t="str">
        <f>HYPERLINK(".\sm_car_250601_1258\sm_car_250601_1258_168_Ca152TrN_MaLSS_ode23t_1.png","figure")</f>
        <v>figure</v>
      </c>
      <c r="P169" t="s">
        <v>15</v>
      </c>
      <c r="V169">
        <f>K169-'2022a_250601_0524'!K169</f>
        <v>0</v>
      </c>
      <c r="W169" s="11">
        <f>V169/'2022a_250601_0524'!K169</f>
        <v>0</v>
      </c>
      <c r="X169">
        <f>L169-'2022a_250601_0524'!L169</f>
        <v>0.66904520000000112</v>
      </c>
      <c r="Y169" s="11">
        <f>X169/'2022a_250601_0524'!L169</f>
        <v>5.2215421685889531E-2</v>
      </c>
    </row>
    <row r="170" spans="1:25" x14ac:dyDescent="0.25">
      <c r="A170">
        <v>169</v>
      </c>
      <c r="B170">
        <v>153</v>
      </c>
      <c r="C170" t="s">
        <v>16</v>
      </c>
      <c r="D170" t="s">
        <v>17</v>
      </c>
      <c r="E170" t="s">
        <v>18</v>
      </c>
      <c r="F170" t="s">
        <v>19</v>
      </c>
      <c r="G170" t="s">
        <v>61</v>
      </c>
      <c r="H170" t="s">
        <v>21</v>
      </c>
      <c r="I170" t="s">
        <v>24</v>
      </c>
      <c r="J170" t="s">
        <v>23</v>
      </c>
      <c r="K170">
        <v>551</v>
      </c>
      <c r="L170" s="4">
        <v>14.7791155</v>
      </c>
      <c r="M170" s="4">
        <v>70.797312958870762</v>
      </c>
      <c r="N170" s="4">
        <v>-0.87003279709096748</v>
      </c>
      <c r="O170" s="1" t="str">
        <f>HYPERLINK(".\sm_car_250601_1258\sm_car_250601_1258_169_Ca153TrN_MaLSS_ode23t_1.png","figure")</f>
        <v>figure</v>
      </c>
      <c r="P170" t="s">
        <v>15</v>
      </c>
      <c r="V170">
        <f>K170-'2022a_250601_0524'!K170</f>
        <v>0</v>
      </c>
      <c r="W170" s="11">
        <f>V170/'2022a_250601_0524'!K170</f>
        <v>0</v>
      </c>
      <c r="X170">
        <f>L170-'2022a_250601_0524'!L170</f>
        <v>0.63578509999999966</v>
      </c>
      <c r="Y170" s="11">
        <f>X170/'2022a_250601_0524'!L170</f>
        <v>4.495299777483807E-2</v>
      </c>
    </row>
    <row r="171" spans="1:25" x14ac:dyDescent="0.25">
      <c r="A171">
        <v>170</v>
      </c>
      <c r="B171">
        <v>154</v>
      </c>
      <c r="C171" t="s">
        <v>16</v>
      </c>
      <c r="D171" t="s">
        <v>17</v>
      </c>
      <c r="E171" t="s">
        <v>18</v>
      </c>
      <c r="F171" t="s">
        <v>19</v>
      </c>
      <c r="G171" t="s">
        <v>108</v>
      </c>
      <c r="H171" t="s">
        <v>21</v>
      </c>
      <c r="I171" t="s">
        <v>24</v>
      </c>
      <c r="J171" t="s">
        <v>23</v>
      </c>
      <c r="K171">
        <v>484</v>
      </c>
      <c r="L171" s="4">
        <v>16.465987999999999</v>
      </c>
      <c r="M171" s="4">
        <v>70.988739560601132</v>
      </c>
      <c r="N171" s="4">
        <v>-0.35951995211654802</v>
      </c>
      <c r="O171" s="1" t="str">
        <f>HYPERLINK(".\sm_car_250601_1258\sm_car_250601_1258_170_Ca154TrN_MaLSS_ode23t_1.png","figure")</f>
        <v>figure</v>
      </c>
      <c r="P171" t="s">
        <v>15</v>
      </c>
      <c r="V171">
        <f>K171-'2022a_250601_0524'!K171</f>
        <v>0</v>
      </c>
      <c r="W171" s="11">
        <f>V171/'2022a_250601_0524'!K171</f>
        <v>0</v>
      </c>
      <c r="X171">
        <f>L171-'2022a_250601_0524'!L171</f>
        <v>0.57296249999999915</v>
      </c>
      <c r="Y171" s="11">
        <f>X171/'2022a_250601_0524'!L171</f>
        <v>3.6051191134123528E-2</v>
      </c>
    </row>
    <row r="172" spans="1:25" x14ac:dyDescent="0.25">
      <c r="A172">
        <v>171</v>
      </c>
      <c r="B172">
        <v>155</v>
      </c>
      <c r="C172" t="s">
        <v>16</v>
      </c>
      <c r="D172" t="s">
        <v>17</v>
      </c>
      <c r="E172" t="s">
        <v>18</v>
      </c>
      <c r="F172" t="s">
        <v>19</v>
      </c>
      <c r="G172" t="s">
        <v>62</v>
      </c>
      <c r="H172" t="s">
        <v>21</v>
      </c>
      <c r="I172" t="s">
        <v>24</v>
      </c>
      <c r="J172" t="s">
        <v>23</v>
      </c>
      <c r="K172">
        <v>548</v>
      </c>
      <c r="L172" s="4">
        <v>19.325542800000001</v>
      </c>
      <c r="M172" s="4">
        <v>70.833065422272966</v>
      </c>
      <c r="N172" s="4">
        <v>-0.84756545609604028</v>
      </c>
      <c r="O172" s="1" t="str">
        <f>HYPERLINK(".\sm_car_250601_1258\sm_car_250601_1258_171_Ca155TrN_MaLSS_ode23t_1.png","figure")</f>
        <v>figure</v>
      </c>
      <c r="P172" t="s">
        <v>15</v>
      </c>
      <c r="V172">
        <f>K172-'2022a_250601_0524'!K172</f>
        <v>0</v>
      </c>
      <c r="W172" s="11">
        <f>V172/'2022a_250601_0524'!K172</f>
        <v>0</v>
      </c>
      <c r="X172">
        <f>L172-'2022a_250601_0524'!L172</f>
        <v>0.1705974000000019</v>
      </c>
      <c r="Y172" s="11">
        <f>X172/'2022a_250601_0524'!L172</f>
        <v>8.9061804373507594E-3</v>
      </c>
    </row>
    <row r="173" spans="1:25" x14ac:dyDescent="0.25">
      <c r="A173">
        <v>172</v>
      </c>
      <c r="B173">
        <v>4</v>
      </c>
      <c r="C173" t="s">
        <v>16</v>
      </c>
      <c r="D173" t="s">
        <v>17</v>
      </c>
      <c r="E173" t="s">
        <v>18</v>
      </c>
      <c r="F173" t="s">
        <v>28</v>
      </c>
      <c r="G173" t="s">
        <v>20</v>
      </c>
      <c r="H173" t="s">
        <v>21</v>
      </c>
      <c r="I173" t="s">
        <v>22</v>
      </c>
      <c r="J173" t="s">
        <v>63</v>
      </c>
      <c r="K173">
        <v>3247</v>
      </c>
      <c r="L173" s="4">
        <v>10.1830237</v>
      </c>
      <c r="M173" s="4">
        <v>231.38224683871496</v>
      </c>
      <c r="N173" s="4">
        <v>2.2339937171260366E-3</v>
      </c>
      <c r="O173" s="1" t="str">
        <f>HYPERLINK(".\sm_car_250601_1258\sm_car_250601_1258_172_Ca004TrN_MaWOT_ode3_1.png","figure")</f>
        <v>figure</v>
      </c>
      <c r="P173" t="s">
        <v>15</v>
      </c>
      <c r="V173">
        <f>K173-'2022a_250601_0524'!K173</f>
        <v>0</v>
      </c>
      <c r="W173" s="11">
        <f>V173/'2022a_250601_0524'!K173</f>
        <v>0</v>
      </c>
      <c r="X173">
        <f>L173-'2022a_250601_0524'!L173</f>
        <v>1.3350151999999991</v>
      </c>
      <c r="Y173" s="11">
        <f>X173/'2022a_250601_0524'!L173</f>
        <v>0.15088312810730223</v>
      </c>
    </row>
    <row r="174" spans="1:25" x14ac:dyDescent="0.25">
      <c r="A174">
        <v>173</v>
      </c>
      <c r="B174">
        <v>4</v>
      </c>
      <c r="C174" t="s">
        <v>16</v>
      </c>
      <c r="D174" t="s">
        <v>17</v>
      </c>
      <c r="E174" t="s">
        <v>18</v>
      </c>
      <c r="F174" t="s">
        <v>28</v>
      </c>
      <c r="G174" t="s">
        <v>20</v>
      </c>
      <c r="H174" t="s">
        <v>21</v>
      </c>
      <c r="I174" t="s">
        <v>24</v>
      </c>
      <c r="J174" t="s">
        <v>63</v>
      </c>
      <c r="K174">
        <v>2564</v>
      </c>
      <c r="L174" s="4">
        <v>7.6632056000000004</v>
      </c>
      <c r="M174" s="4">
        <v>71.251895399548502</v>
      </c>
      <c r="N174" s="4">
        <v>-0.54030571140992245</v>
      </c>
      <c r="O174" s="1" t="str">
        <f>HYPERLINK(".\sm_car_250601_1258\sm_car_250601_1258_173_Ca004TrN_MaLSS_ode3_1.png","figure")</f>
        <v>figure</v>
      </c>
      <c r="P174" t="s">
        <v>15</v>
      </c>
      <c r="V174">
        <f>K174-'2022a_250601_0524'!K174</f>
        <v>0</v>
      </c>
      <c r="W174" s="11">
        <f>V174/'2022a_250601_0524'!K174</f>
        <v>0</v>
      </c>
      <c r="X174">
        <f>L174-'2022a_250601_0524'!L174</f>
        <v>0.35575150000000022</v>
      </c>
      <c r="Y174" s="11">
        <f>X174/'2022a_250601_0524'!L174</f>
        <v>4.8683371134688375E-2</v>
      </c>
    </row>
    <row r="175" spans="1:25" x14ac:dyDescent="0.25">
      <c r="A175">
        <v>174</v>
      </c>
      <c r="B175">
        <v>4</v>
      </c>
      <c r="C175" t="s">
        <v>16</v>
      </c>
      <c r="D175" t="s">
        <v>17</v>
      </c>
      <c r="E175" t="s">
        <v>18</v>
      </c>
      <c r="F175" t="s">
        <v>28</v>
      </c>
      <c r="G175" t="s">
        <v>20</v>
      </c>
      <c r="H175" t="s">
        <v>21</v>
      </c>
      <c r="I175" t="s">
        <v>64</v>
      </c>
      <c r="J175" t="s">
        <v>63</v>
      </c>
      <c r="K175">
        <v>2562</v>
      </c>
      <c r="L175" s="4">
        <v>7.5343498999999996</v>
      </c>
      <c r="M175" s="4">
        <v>63.784285151621532</v>
      </c>
      <c r="N175" s="4">
        <v>-25.042725609682812</v>
      </c>
      <c r="O175" s="1" t="str">
        <f>HYPERLINK(".\sm_car_250601_1258\sm_car_250601_1258_174_Ca004TrN_MaTUR_ode3_1.png","figure")</f>
        <v>figure</v>
      </c>
      <c r="P175" t="s">
        <v>15</v>
      </c>
      <c r="V175">
        <f>K175-'2022a_250601_0524'!K175</f>
        <v>0</v>
      </c>
      <c r="W175" s="11">
        <f>V175/'2022a_250601_0524'!K175</f>
        <v>0</v>
      </c>
      <c r="X175">
        <f>L175-'2022a_250601_0524'!L175</f>
        <v>0.19051519999999922</v>
      </c>
      <c r="Y175" s="11">
        <f>X175/'2022a_250601_0524'!L175</f>
        <v>2.5942196111794186E-2</v>
      </c>
    </row>
    <row r="176" spans="1:25" x14ac:dyDescent="0.25">
      <c r="A176">
        <v>175</v>
      </c>
      <c r="B176">
        <v>116</v>
      </c>
      <c r="C176" t="s">
        <v>16</v>
      </c>
      <c r="D176" t="s">
        <v>35</v>
      </c>
      <c r="E176" t="s">
        <v>18</v>
      </c>
      <c r="F176" t="s">
        <v>28</v>
      </c>
      <c r="G176" t="s">
        <v>20</v>
      </c>
      <c r="H176" t="s">
        <v>21</v>
      </c>
      <c r="I176" t="s">
        <v>22</v>
      </c>
      <c r="J176" t="s">
        <v>63</v>
      </c>
      <c r="K176">
        <v>3244</v>
      </c>
      <c r="L176" s="4">
        <v>4.1831225999999999</v>
      </c>
      <c r="M176" s="4">
        <v>242.69607452341987</v>
      </c>
      <c r="N176" s="4">
        <v>0.23635446031101723</v>
      </c>
      <c r="O176" s="1" t="str">
        <f>HYPERLINK(".\sm_car_250601_1258\sm_car_250601_1258_175_Ca116TrN_MaWOT_ode3_1.png","figure")</f>
        <v>figure</v>
      </c>
      <c r="P176" t="s">
        <v>15</v>
      </c>
      <c r="V176">
        <f>K176-'2022a_250601_0524'!K176</f>
        <v>0</v>
      </c>
      <c r="W176" s="11">
        <f>V176/'2022a_250601_0524'!K176</f>
        <v>0</v>
      </c>
      <c r="X176">
        <f>L176-'2022a_250601_0524'!L176</f>
        <v>0.13543310000000019</v>
      </c>
      <c r="Y176" s="11">
        <f>X176/'2022a_250601_0524'!L176</f>
        <v>3.3459359963258099E-2</v>
      </c>
    </row>
    <row r="177" spans="1:25" x14ac:dyDescent="0.25">
      <c r="A177">
        <v>176</v>
      </c>
      <c r="B177">
        <v>116</v>
      </c>
      <c r="C177" t="s">
        <v>16</v>
      </c>
      <c r="D177" t="s">
        <v>35</v>
      </c>
      <c r="E177" t="s">
        <v>18</v>
      </c>
      <c r="F177" t="s">
        <v>28</v>
      </c>
      <c r="G177" t="s">
        <v>20</v>
      </c>
      <c r="H177" t="s">
        <v>21</v>
      </c>
      <c r="I177" t="s">
        <v>24</v>
      </c>
      <c r="J177" t="s">
        <v>63</v>
      </c>
      <c r="K177">
        <v>2564</v>
      </c>
      <c r="L177" s="4">
        <v>3.4616636000000001</v>
      </c>
      <c r="M177" s="4">
        <v>74.657190781644118</v>
      </c>
      <c r="N177" s="4">
        <v>-0.34075824439014252</v>
      </c>
      <c r="O177" s="1" t="str">
        <f>HYPERLINK(".\sm_car_250601_1258\sm_car_250601_1258_176_Ca116TrN_MaLSS_ode3_1.png","figure")</f>
        <v>figure</v>
      </c>
      <c r="P177" t="s">
        <v>15</v>
      </c>
      <c r="V177">
        <f>K177-'2022a_250601_0524'!K177</f>
        <v>0</v>
      </c>
      <c r="W177" s="11">
        <f>V177/'2022a_250601_0524'!K177</f>
        <v>0</v>
      </c>
      <c r="X177">
        <f>L177-'2022a_250601_0524'!L177</f>
        <v>0.11369799999999985</v>
      </c>
      <c r="Y177" s="11">
        <f>X177/'2022a_250601_0524'!L177</f>
        <v>3.3960325040376715E-2</v>
      </c>
    </row>
    <row r="178" spans="1:25" x14ac:dyDescent="0.25">
      <c r="A178">
        <v>177</v>
      </c>
      <c r="B178">
        <v>116</v>
      </c>
      <c r="C178" t="s">
        <v>16</v>
      </c>
      <c r="D178" t="s">
        <v>35</v>
      </c>
      <c r="E178" t="s">
        <v>18</v>
      </c>
      <c r="F178" t="s">
        <v>28</v>
      </c>
      <c r="G178" t="s">
        <v>20</v>
      </c>
      <c r="H178" t="s">
        <v>21</v>
      </c>
      <c r="I178" t="s">
        <v>64</v>
      </c>
      <c r="J178" t="s">
        <v>63</v>
      </c>
      <c r="K178">
        <v>2563</v>
      </c>
      <c r="L178" s="4">
        <v>3.4915753</v>
      </c>
      <c r="M178" s="4">
        <v>71.322015477791922</v>
      </c>
      <c r="N178" s="4">
        <v>-17.59032913116118</v>
      </c>
      <c r="O178" s="1" t="str">
        <f>HYPERLINK(".\sm_car_250601_1258\sm_car_250601_1258_177_Ca116TrN_MaTUR_ode3_1.png","figure")</f>
        <v>figure</v>
      </c>
      <c r="P178" t="s">
        <v>15</v>
      </c>
      <c r="V178">
        <f>K178-'2022a_250601_0524'!K178</f>
        <v>0</v>
      </c>
      <c r="W178" s="11">
        <f>V178/'2022a_250601_0524'!K178</f>
        <v>0</v>
      </c>
      <c r="X178">
        <f>L178-'2022a_250601_0524'!L178</f>
        <v>0.10878690000000013</v>
      </c>
      <c r="Y178" s="11">
        <f>X178/'2022a_250601_0524'!L178</f>
        <v>3.2158943196092353E-2</v>
      </c>
    </row>
    <row r="179" spans="1:25" x14ac:dyDescent="0.25">
      <c r="A179">
        <v>178</v>
      </c>
      <c r="B179">
        <v>124</v>
      </c>
      <c r="C179" t="s">
        <v>16</v>
      </c>
      <c r="D179" t="s">
        <v>35</v>
      </c>
      <c r="E179" t="s">
        <v>49</v>
      </c>
      <c r="F179" t="s">
        <v>28</v>
      </c>
      <c r="G179" t="s">
        <v>20</v>
      </c>
      <c r="H179" t="s">
        <v>21</v>
      </c>
      <c r="I179" t="s">
        <v>22</v>
      </c>
      <c r="J179" t="s">
        <v>63</v>
      </c>
      <c r="K179">
        <v>3244</v>
      </c>
      <c r="L179" s="4">
        <v>2.3372709</v>
      </c>
      <c r="M179" s="4">
        <v>242.87242715534205</v>
      </c>
      <c r="N179" s="4">
        <v>0.23615864655911284</v>
      </c>
      <c r="O179" s="1" t="str">
        <f>HYPERLINK(".\sm_car_250601_1258\sm_car_250601_1258_178_Ca124TrN_MaWOT_ode3_1.png","figure")</f>
        <v>figure</v>
      </c>
      <c r="P179" t="s">
        <v>15</v>
      </c>
      <c r="V179">
        <f>K179-'2022a_250601_0524'!K179</f>
        <v>0</v>
      </c>
      <c r="W179" s="11">
        <f>V179/'2022a_250601_0524'!K179</f>
        <v>0</v>
      </c>
      <c r="X179">
        <f>L179-'2022a_250601_0524'!L179</f>
        <v>8.9805600000000041E-2</v>
      </c>
      <c r="Y179" s="11">
        <f>X179/'2022a_250601_0524'!L179</f>
        <v>3.9958614711426262E-2</v>
      </c>
    </row>
    <row r="180" spans="1:25" x14ac:dyDescent="0.25">
      <c r="A180">
        <v>179</v>
      </c>
      <c r="B180">
        <v>124</v>
      </c>
      <c r="C180" t="s">
        <v>16</v>
      </c>
      <c r="D180" t="s">
        <v>35</v>
      </c>
      <c r="E180" t="s">
        <v>49</v>
      </c>
      <c r="F180" t="s">
        <v>28</v>
      </c>
      <c r="G180" t="s">
        <v>20</v>
      </c>
      <c r="H180" t="s">
        <v>21</v>
      </c>
      <c r="I180" t="s">
        <v>24</v>
      </c>
      <c r="J180" t="s">
        <v>63</v>
      </c>
      <c r="K180">
        <v>2565</v>
      </c>
      <c r="L180" s="4">
        <v>1.9579127000000001</v>
      </c>
      <c r="M180" s="4">
        <v>74.796106047599508</v>
      </c>
      <c r="N180" s="4">
        <v>-0.34233746651595287</v>
      </c>
      <c r="O180" s="1" t="str">
        <f>HYPERLINK(".\sm_car_250601_1258\sm_car_250601_1258_179_Ca124TrN_MaLSS_ode3_1.png","figure")</f>
        <v>figure</v>
      </c>
      <c r="P180" t="s">
        <v>15</v>
      </c>
      <c r="V180">
        <f>K180-'2022a_250601_0524'!K180</f>
        <v>0</v>
      </c>
      <c r="W180" s="11">
        <f>V180/'2022a_250601_0524'!K180</f>
        <v>0</v>
      </c>
      <c r="X180">
        <f>L180-'2022a_250601_0524'!L180</f>
        <v>3.7522900000000137E-2</v>
      </c>
      <c r="Y180" s="11">
        <f>X180/'2022a_250601_0524'!L180</f>
        <v>1.9539210216592558E-2</v>
      </c>
    </row>
    <row r="181" spans="1:25" x14ac:dyDescent="0.25">
      <c r="A181">
        <v>180</v>
      </c>
      <c r="B181">
        <v>124</v>
      </c>
      <c r="C181" t="s">
        <v>16</v>
      </c>
      <c r="D181" t="s">
        <v>35</v>
      </c>
      <c r="E181" t="s">
        <v>49</v>
      </c>
      <c r="F181" t="s">
        <v>28</v>
      </c>
      <c r="G181" t="s">
        <v>20</v>
      </c>
      <c r="H181" t="s">
        <v>21</v>
      </c>
      <c r="I181" t="s">
        <v>64</v>
      </c>
      <c r="J181" t="s">
        <v>63</v>
      </c>
      <c r="K181">
        <v>2564</v>
      </c>
      <c r="L181" s="4">
        <v>1.9643624</v>
      </c>
      <c r="M181" s="4">
        <v>71.447408139703924</v>
      </c>
      <c r="N181" s="4">
        <v>-17.636376353758362</v>
      </c>
      <c r="O181" s="1" t="str">
        <f>HYPERLINK(".\sm_car_250601_1258\sm_car_250601_1258_180_Ca124TrN_MaTUR_ode3_1.png","figure")</f>
        <v>figure</v>
      </c>
      <c r="P181" t="s">
        <v>15</v>
      </c>
      <c r="V181">
        <f>K181-'2022a_250601_0524'!K181</f>
        <v>0</v>
      </c>
      <c r="W181" s="11">
        <f>V181/'2022a_250601_0524'!K181</f>
        <v>0</v>
      </c>
      <c r="X181">
        <f>L181-'2022a_250601_0524'!L181</f>
        <v>-9.8061500000000246E-2</v>
      </c>
      <c r="Y181" s="11">
        <f>X181/'2022a_250601_0524'!L181</f>
        <v>-4.7546724027005424E-2</v>
      </c>
    </row>
    <row r="182" spans="1:25" x14ac:dyDescent="0.25">
      <c r="A182">
        <v>181</v>
      </c>
      <c r="B182">
        <v>141</v>
      </c>
      <c r="C182" t="s">
        <v>45</v>
      </c>
      <c r="D182" t="s">
        <v>17</v>
      </c>
      <c r="E182" t="s">
        <v>18</v>
      </c>
      <c r="F182" t="s">
        <v>28</v>
      </c>
      <c r="G182" t="s">
        <v>26</v>
      </c>
      <c r="H182" t="s">
        <v>21</v>
      </c>
      <c r="I182" t="s">
        <v>22</v>
      </c>
      <c r="J182" t="s">
        <v>63</v>
      </c>
      <c r="K182">
        <v>3837</v>
      </c>
      <c r="L182" s="4">
        <v>12.472476800000001</v>
      </c>
      <c r="M182" s="4">
        <v>405.26699926711569</v>
      </c>
      <c r="N182" s="4">
        <v>1.5961569011224264</v>
      </c>
      <c r="O182" s="1" t="str">
        <f>HYPERLINK(".\sm_car_250601_1258\sm_car_250601_1258_181_Ca141TrN_MaWOT_ode3_1.png","figure")</f>
        <v>figure</v>
      </c>
      <c r="P182" t="s">
        <v>15</v>
      </c>
      <c r="V182">
        <f>K182-'2022a_250601_0524'!K182</f>
        <v>0</v>
      </c>
      <c r="W182" s="11">
        <f>V182/'2022a_250601_0524'!K182</f>
        <v>0</v>
      </c>
      <c r="X182">
        <f>L182-'2022a_250601_0524'!L182</f>
        <v>-0.23122559999999837</v>
      </c>
      <c r="Y182" s="11">
        <f>X182/'2022a_250601_0524'!L182</f>
        <v>-1.8201433937872977E-2</v>
      </c>
    </row>
    <row r="183" spans="1:25" x14ac:dyDescent="0.25">
      <c r="A183">
        <v>182</v>
      </c>
      <c r="B183">
        <v>141</v>
      </c>
      <c r="C183" t="s">
        <v>45</v>
      </c>
      <c r="D183" t="s">
        <v>17</v>
      </c>
      <c r="E183" t="s">
        <v>18</v>
      </c>
      <c r="F183" t="s">
        <v>28</v>
      </c>
      <c r="G183" t="s">
        <v>26</v>
      </c>
      <c r="H183" t="s">
        <v>21</v>
      </c>
      <c r="I183" t="s">
        <v>24</v>
      </c>
      <c r="J183" t="s">
        <v>63</v>
      </c>
      <c r="K183">
        <v>3192</v>
      </c>
      <c r="L183" s="4">
        <v>10.906737700000001</v>
      </c>
      <c r="M183" s="4">
        <v>154.45726063782425</v>
      </c>
      <c r="N183" s="4">
        <v>-0.58045901058984573</v>
      </c>
      <c r="O183" s="1" t="str">
        <f>HYPERLINK(".\sm_car_250601_1258\sm_car_250601_1258_182_Ca141TrN_MaLSS_ode3_1.png","figure")</f>
        <v>figure</v>
      </c>
      <c r="P183" t="s">
        <v>15</v>
      </c>
      <c r="V183">
        <f>K183-'2022a_250601_0524'!K183</f>
        <v>0</v>
      </c>
      <c r="W183" s="11">
        <f>V183/'2022a_250601_0524'!K183</f>
        <v>0</v>
      </c>
      <c r="X183">
        <f>L183-'2022a_250601_0524'!L183</f>
        <v>-0.61055009999999932</v>
      </c>
      <c r="Y183" s="11">
        <f>X183/'2022a_250601_0524'!L183</f>
        <v>-5.3011621364536826E-2</v>
      </c>
    </row>
    <row r="184" spans="1:25" x14ac:dyDescent="0.25">
      <c r="A184">
        <v>183</v>
      </c>
      <c r="B184">
        <v>141</v>
      </c>
      <c r="C184" t="s">
        <v>45</v>
      </c>
      <c r="D184" t="s">
        <v>17</v>
      </c>
      <c r="E184" t="s">
        <v>18</v>
      </c>
      <c r="F184" t="s">
        <v>28</v>
      </c>
      <c r="G184" t="s">
        <v>26</v>
      </c>
      <c r="H184" t="s">
        <v>21</v>
      </c>
      <c r="I184" t="s">
        <v>64</v>
      </c>
      <c r="J184" t="s">
        <v>63</v>
      </c>
      <c r="K184">
        <v>3160</v>
      </c>
      <c r="L184" s="4">
        <v>10.948834400000001</v>
      </c>
      <c r="M184" s="4">
        <v>98.352619066296825</v>
      </c>
      <c r="N184" s="4">
        <v>-87.51063161317019</v>
      </c>
      <c r="O184" s="1" t="str">
        <f>HYPERLINK(".\sm_car_250601_1258\sm_car_250601_1258_183_Ca141TrN_MaTUR_ode3_1.png","figure")</f>
        <v>figure</v>
      </c>
      <c r="P184" t="s">
        <v>15</v>
      </c>
      <c r="V184">
        <f>K184-'2022a_250601_0524'!K184</f>
        <v>0</v>
      </c>
      <c r="W184" s="11">
        <f>V184/'2022a_250601_0524'!K184</f>
        <v>0</v>
      </c>
      <c r="X184">
        <f>L184-'2022a_250601_0524'!L184</f>
        <v>0.4886474000000014</v>
      </c>
      <c r="Y184" s="11">
        <f>X184/'2022a_250601_0524'!L184</f>
        <v>4.6714977466464171E-2</v>
      </c>
    </row>
    <row r="185" spans="1:25" x14ac:dyDescent="0.25">
      <c r="A185">
        <v>184</v>
      </c>
      <c r="B185">
        <v>145</v>
      </c>
      <c r="C185" t="s">
        <v>46</v>
      </c>
      <c r="D185" t="s">
        <v>17</v>
      </c>
      <c r="E185" t="s">
        <v>50</v>
      </c>
      <c r="F185" t="s">
        <v>19</v>
      </c>
      <c r="G185" t="s">
        <v>26</v>
      </c>
      <c r="H185" t="s">
        <v>21</v>
      </c>
      <c r="I185" t="s">
        <v>22</v>
      </c>
      <c r="J185" t="s">
        <v>63</v>
      </c>
      <c r="K185">
        <v>2856</v>
      </c>
      <c r="L185" s="4">
        <v>8.3459968999999994</v>
      </c>
      <c r="M185" s="4">
        <v>96.143293584542477</v>
      </c>
      <c r="N185" s="4">
        <v>8.6318522634519414E-4</v>
      </c>
      <c r="O185" s="1" t="str">
        <f>HYPERLINK(".\sm_car_250601_1258\sm_car_250601_1258_184_Ca145TrN_MaWOT_ode3_1.png","figure")</f>
        <v>figure</v>
      </c>
      <c r="P185" t="s">
        <v>15</v>
      </c>
      <c r="V185">
        <f>K185-'2022a_250601_0524'!K185</f>
        <v>0</v>
      </c>
      <c r="W185" s="11">
        <f>V185/'2022a_250601_0524'!K185</f>
        <v>0</v>
      </c>
      <c r="X185">
        <f>L185-'2022a_250601_0524'!L185</f>
        <v>-0.35570419999999991</v>
      </c>
      <c r="Y185" s="11">
        <f>X185/'2022a_250601_0524'!L185</f>
        <v>-4.0877547494707664E-2</v>
      </c>
    </row>
    <row r="186" spans="1:25" x14ac:dyDescent="0.25">
      <c r="A186">
        <v>185</v>
      </c>
      <c r="B186">
        <v>145</v>
      </c>
      <c r="C186" t="s">
        <v>46</v>
      </c>
      <c r="D186" t="s">
        <v>17</v>
      </c>
      <c r="E186" t="s">
        <v>50</v>
      </c>
      <c r="F186" t="s">
        <v>19</v>
      </c>
      <c r="G186" t="s">
        <v>26</v>
      </c>
      <c r="H186" t="s">
        <v>21</v>
      </c>
      <c r="I186" t="s">
        <v>24</v>
      </c>
      <c r="J186" t="s">
        <v>63</v>
      </c>
      <c r="K186">
        <v>2385</v>
      </c>
      <c r="L186" s="4">
        <v>6.7366808000000002</v>
      </c>
      <c r="M186" s="4">
        <v>25.351601817833707</v>
      </c>
      <c r="N186" s="4">
        <v>-4.1368589281911311E-2</v>
      </c>
      <c r="O186" s="1" t="str">
        <f>HYPERLINK(".\sm_car_250601_1258\sm_car_250601_1258_185_Ca145TrN_MaLSS_ode3_1.png","figure")</f>
        <v>figure</v>
      </c>
      <c r="P186" t="s">
        <v>15</v>
      </c>
      <c r="V186">
        <f>K186-'2022a_250601_0524'!K186</f>
        <v>0</v>
      </c>
      <c r="W186" s="11">
        <f>V186/'2022a_250601_0524'!K186</f>
        <v>0</v>
      </c>
      <c r="X186">
        <f>L186-'2022a_250601_0524'!L186</f>
        <v>-0.1747822999999995</v>
      </c>
      <c r="Y186" s="11">
        <f>X186/'2022a_250601_0524'!L186</f>
        <v>-2.5288755430091136E-2</v>
      </c>
    </row>
    <row r="187" spans="1:25" x14ac:dyDescent="0.25">
      <c r="A187">
        <v>186</v>
      </c>
      <c r="B187">
        <v>145</v>
      </c>
      <c r="C187" t="s">
        <v>46</v>
      </c>
      <c r="D187" t="s">
        <v>17</v>
      </c>
      <c r="E187" t="s">
        <v>50</v>
      </c>
      <c r="F187" t="s">
        <v>19</v>
      </c>
      <c r="G187" t="s">
        <v>26</v>
      </c>
      <c r="H187" t="s">
        <v>21</v>
      </c>
      <c r="I187" t="s">
        <v>64</v>
      </c>
      <c r="J187" t="s">
        <v>63</v>
      </c>
      <c r="K187">
        <v>2381</v>
      </c>
      <c r="L187" s="4">
        <v>6.8410549999999999</v>
      </c>
      <c r="M187" s="4">
        <v>25.137842847097982</v>
      </c>
      <c r="N187" s="4">
        <v>-2.6089117989709583</v>
      </c>
      <c r="O187" s="1" t="str">
        <f>HYPERLINK(".\sm_car_250601_1258\sm_car_250601_1258_186_Ca145TrN_MaTUR_ode3_1.png","figure")</f>
        <v>figure</v>
      </c>
      <c r="P187" t="s">
        <v>15</v>
      </c>
      <c r="V187">
        <f>K187-'2022a_250601_0524'!K187</f>
        <v>0</v>
      </c>
      <c r="W187" s="11">
        <f>V187/'2022a_250601_0524'!K187</f>
        <v>0</v>
      </c>
      <c r="X187">
        <f>L187-'2022a_250601_0524'!L187</f>
        <v>-0.33016280000000009</v>
      </c>
      <c r="Y187" s="11">
        <f>X187/'2022a_250601_0524'!L187</f>
        <v>-4.6039990585699415E-2</v>
      </c>
    </row>
    <row r="188" spans="1:25" x14ac:dyDescent="0.25">
      <c r="A188">
        <v>187</v>
      </c>
      <c r="B188">
        <v>199</v>
      </c>
      <c r="C188" t="s">
        <v>46</v>
      </c>
      <c r="D188" t="s">
        <v>17</v>
      </c>
      <c r="E188" t="s">
        <v>109</v>
      </c>
      <c r="F188" t="s">
        <v>19</v>
      </c>
      <c r="G188" t="s">
        <v>26</v>
      </c>
      <c r="H188" t="s">
        <v>21</v>
      </c>
      <c r="I188" t="s">
        <v>22</v>
      </c>
      <c r="J188" t="s">
        <v>63</v>
      </c>
      <c r="K188">
        <v>2856</v>
      </c>
      <c r="L188" s="4">
        <v>9.6666772000000005</v>
      </c>
      <c r="M188" s="4">
        <v>96.874498520697102</v>
      </c>
      <c r="N188" s="4">
        <v>0.14711541262466793</v>
      </c>
      <c r="O188" s="1" t="str">
        <f>HYPERLINK(".\sm_car_250601_1258\sm_car_250601_1258_187_Ca199TrN_MaWOT_ode3_1.png","figure")</f>
        <v>figure</v>
      </c>
      <c r="P188" t="s">
        <v>15</v>
      </c>
      <c r="V188">
        <f>K188-'2022a_250601_0524'!K188</f>
        <v>0</v>
      </c>
      <c r="W188" s="11">
        <f>V188/'2022a_250601_0524'!K188</f>
        <v>0</v>
      </c>
      <c r="X188">
        <f>L188-'2022a_250601_0524'!L188</f>
        <v>0.25616770000000066</v>
      </c>
      <c r="Y188" s="11">
        <f>X188/'2022a_250601_0524'!L188</f>
        <v>2.7221448530496746E-2</v>
      </c>
    </row>
    <row r="189" spans="1:25" x14ac:dyDescent="0.25">
      <c r="A189">
        <v>188</v>
      </c>
      <c r="B189">
        <v>199</v>
      </c>
      <c r="C189" t="s">
        <v>46</v>
      </c>
      <c r="D189" t="s">
        <v>17</v>
      </c>
      <c r="E189" t="s">
        <v>109</v>
      </c>
      <c r="F189" t="s">
        <v>19</v>
      </c>
      <c r="G189" t="s">
        <v>26</v>
      </c>
      <c r="H189" t="s">
        <v>21</v>
      </c>
      <c r="I189" t="s">
        <v>24</v>
      </c>
      <c r="J189" t="s">
        <v>63</v>
      </c>
      <c r="K189">
        <v>2387</v>
      </c>
      <c r="L189" s="4">
        <v>8.9393996999999992</v>
      </c>
      <c r="M189" s="4">
        <v>25.965300865011024</v>
      </c>
      <c r="N189" s="4">
        <v>-2.8433107238327707E-2</v>
      </c>
      <c r="O189" s="1" t="str">
        <f>HYPERLINK(".\sm_car_250601_1258\sm_car_250601_1258_188_Ca199TrN_MaLSS_ode3_1.png","figure")</f>
        <v>figure</v>
      </c>
      <c r="P189" t="s">
        <v>15</v>
      </c>
      <c r="V189">
        <f>K189-'2022a_250601_0524'!K189</f>
        <v>0</v>
      </c>
      <c r="W189" s="11">
        <f>V189/'2022a_250601_0524'!K189</f>
        <v>0</v>
      </c>
      <c r="X189">
        <f>L189-'2022a_250601_0524'!L189</f>
        <v>1.5620072999999994</v>
      </c>
      <c r="Y189" s="11">
        <f>X189/'2022a_250601_0524'!L189</f>
        <v>0.2117289165749133</v>
      </c>
    </row>
    <row r="190" spans="1:25" x14ac:dyDescent="0.25">
      <c r="A190">
        <v>189</v>
      </c>
      <c r="B190">
        <v>199</v>
      </c>
      <c r="C190" t="s">
        <v>46</v>
      </c>
      <c r="D190" t="s">
        <v>17</v>
      </c>
      <c r="E190" t="s">
        <v>109</v>
      </c>
      <c r="F190" t="s">
        <v>19</v>
      </c>
      <c r="G190" t="s">
        <v>26</v>
      </c>
      <c r="H190" t="s">
        <v>21</v>
      </c>
      <c r="I190" t="s">
        <v>64</v>
      </c>
      <c r="J190" t="s">
        <v>63</v>
      </c>
      <c r="K190">
        <v>2381</v>
      </c>
      <c r="L190" s="4">
        <v>8.3982507000000002</v>
      </c>
      <c r="M190" s="4">
        <v>25.753072775503231</v>
      </c>
      <c r="N190" s="4">
        <v>-2.6780294853401752</v>
      </c>
      <c r="O190" s="1" t="str">
        <f>HYPERLINK(".\sm_car_250601_1258\sm_car_250601_1258_189_Ca199TrN_MaTUR_ode3_1.png","figure")</f>
        <v>figure</v>
      </c>
      <c r="P190" t="s">
        <v>15</v>
      </c>
      <c r="V190">
        <f>K190-'2022a_250601_0524'!K190</f>
        <v>0</v>
      </c>
      <c r="W190" s="11">
        <f>V190/'2022a_250601_0524'!K190</f>
        <v>0</v>
      </c>
      <c r="X190">
        <f>L190-'2022a_250601_0524'!L190</f>
        <v>1.1117109000000003</v>
      </c>
      <c r="Y190" s="11">
        <f>X190/'2022a_250601_0524'!L190</f>
        <v>0.15257048345498644</v>
      </c>
    </row>
    <row r="191" spans="1:25" x14ac:dyDescent="0.25">
      <c r="A191">
        <v>190</v>
      </c>
      <c r="B191">
        <v>139</v>
      </c>
      <c r="C191" t="s">
        <v>45</v>
      </c>
      <c r="D191" t="s">
        <v>17</v>
      </c>
      <c r="E191" t="s">
        <v>18</v>
      </c>
      <c r="F191" t="s">
        <v>19</v>
      </c>
      <c r="G191" t="s">
        <v>26</v>
      </c>
      <c r="H191" t="s">
        <v>21</v>
      </c>
      <c r="I191" t="s">
        <v>53</v>
      </c>
      <c r="J191" t="s">
        <v>23</v>
      </c>
      <c r="K191">
        <v>502</v>
      </c>
      <c r="L191" s="4">
        <v>13.6033439</v>
      </c>
      <c r="M191" s="4">
        <v>255.62578916611682</v>
      </c>
      <c r="N191" s="4">
        <v>2.631329932205384E-2</v>
      </c>
      <c r="O191" s="1" t="str">
        <f>HYPERLINK(".\sm_car_250601_1258\sm_car_250601_1258_190_Ca139TrN_MaDLC_ode23t_1.png","figure")</f>
        <v>figure</v>
      </c>
      <c r="P191" t="s">
        <v>15</v>
      </c>
      <c r="V191">
        <f>K191-'2022a_250601_0524'!K191</f>
        <v>-68</v>
      </c>
      <c r="W191" s="11">
        <f>V191/'2022a_250601_0524'!K191</f>
        <v>-0.11929824561403508</v>
      </c>
      <c r="X191">
        <f>L191-'2022a_250601_0524'!L191</f>
        <v>2.6048524999999998</v>
      </c>
      <c r="Y191" s="11">
        <f>X191/'2022a_250601_0524'!L191</f>
        <v>0.23683725388010937</v>
      </c>
    </row>
    <row r="192" spans="1:25" x14ac:dyDescent="0.25">
      <c r="A192">
        <v>191</v>
      </c>
      <c r="B192">
        <v>139</v>
      </c>
      <c r="C192" t="s">
        <v>45</v>
      </c>
      <c r="D192" t="s">
        <v>17</v>
      </c>
      <c r="E192" t="s">
        <v>18</v>
      </c>
      <c r="F192" t="s">
        <v>19</v>
      </c>
      <c r="G192" t="s">
        <v>26</v>
      </c>
      <c r="H192" t="s">
        <v>65</v>
      </c>
      <c r="I192" t="s">
        <v>53</v>
      </c>
      <c r="J192" t="s">
        <v>23</v>
      </c>
      <c r="K192">
        <v>738</v>
      </c>
      <c r="L192" s="4">
        <v>29.2549575</v>
      </c>
      <c r="M192" s="4">
        <v>253.42338137644771</v>
      </c>
      <c r="N192" s="4">
        <v>2.0496217222086166E-2</v>
      </c>
      <c r="O192" s="1" t="str">
        <f>HYPERLINK(".\sm_car_250601_1258\sm_car_250601_1258_191_Ca139TrE_MaDLC_ode23t_1.png","figure")</f>
        <v>figure</v>
      </c>
      <c r="P192" t="s">
        <v>15</v>
      </c>
      <c r="V192">
        <f>K192-'2022a_250601_0524'!K192</f>
        <v>-90</v>
      </c>
      <c r="W192" s="11">
        <f>V192/'2022a_250601_0524'!K192</f>
        <v>-0.10869565217391304</v>
      </c>
      <c r="X192">
        <f>L192-'2022a_250601_0524'!L192</f>
        <v>-3.548506800000002</v>
      </c>
      <c r="Y192" s="11">
        <f>X192/'2022a_250601_0524'!L192</f>
        <v>-0.10817475762765708</v>
      </c>
    </row>
    <row r="193" spans="1:25" x14ac:dyDescent="0.25">
      <c r="A193">
        <v>192</v>
      </c>
      <c r="B193">
        <v>139</v>
      </c>
      <c r="C193" t="s">
        <v>45</v>
      </c>
      <c r="D193" t="s">
        <v>17</v>
      </c>
      <c r="E193" t="s">
        <v>18</v>
      </c>
      <c r="F193" t="s">
        <v>19</v>
      </c>
      <c r="G193" t="s">
        <v>26</v>
      </c>
      <c r="H193" t="s">
        <v>66</v>
      </c>
      <c r="I193" t="s">
        <v>53</v>
      </c>
      <c r="J193" t="s">
        <v>23</v>
      </c>
      <c r="K193">
        <v>926</v>
      </c>
      <c r="L193" s="4">
        <v>36.521428999999998</v>
      </c>
      <c r="M193" s="4">
        <v>253.37377875437556</v>
      </c>
      <c r="N193" s="4">
        <v>2.5522510380058261E-2</v>
      </c>
      <c r="O193" s="1" t="str">
        <f>HYPERLINK(".\sm_car_250601_1258\sm_car_250601_1258_192_Ca139TrT_MaDLC_ode23t_1.png","figure")</f>
        <v>figure</v>
      </c>
      <c r="P193" t="s">
        <v>15</v>
      </c>
      <c r="V193">
        <f>K193-'2022a_250601_0524'!K193</f>
        <v>85</v>
      </c>
      <c r="W193" s="11">
        <f>V193/'2022a_250601_0524'!K193</f>
        <v>0.10107015457788347</v>
      </c>
      <c r="X193">
        <f>L193-'2022a_250601_0524'!L193</f>
        <v>11.568964799999996</v>
      </c>
      <c r="Y193" s="11">
        <f>X193/'2022a_250601_0524'!L193</f>
        <v>0.46364017226002052</v>
      </c>
    </row>
    <row r="194" spans="1:25" x14ac:dyDescent="0.25">
      <c r="A194">
        <v>193</v>
      </c>
      <c r="B194">
        <v>139</v>
      </c>
      <c r="C194" t="s">
        <v>45</v>
      </c>
      <c r="D194" t="s">
        <v>17</v>
      </c>
      <c r="E194" t="s">
        <v>18</v>
      </c>
      <c r="F194" t="s">
        <v>19</v>
      </c>
      <c r="G194" t="s">
        <v>26</v>
      </c>
      <c r="H194" t="s">
        <v>65</v>
      </c>
      <c r="I194" t="s">
        <v>53</v>
      </c>
      <c r="J194" t="s">
        <v>23</v>
      </c>
      <c r="K194">
        <v>741</v>
      </c>
      <c r="L194" s="4">
        <v>20.9372671</v>
      </c>
      <c r="M194" s="4">
        <v>253.77384064730495</v>
      </c>
      <c r="N194" s="4">
        <v>2.0551788387485281E-2</v>
      </c>
      <c r="O194" s="1" t="str">
        <f>HYPERLINK(".\sm_car_250601_1258\sm_car_250601_1258_193_Ca139TrE_MaDLC_ode23t_1.png","figure")</f>
        <v>figure</v>
      </c>
      <c r="P194" t="s">
        <v>15</v>
      </c>
      <c r="V194">
        <f>K194-'2022a_250601_0524'!K194</f>
        <v>-40</v>
      </c>
      <c r="W194" s="11">
        <f>V194/'2022a_250601_0524'!K194</f>
        <v>-5.1216389244558257E-2</v>
      </c>
      <c r="X194">
        <f>L194-'2022a_250601_0524'!L194</f>
        <v>-0.9110845999999988</v>
      </c>
      <c r="Y194" s="11">
        <f>X194/'2022a_250601_0524'!L194</f>
        <v>-4.1700381452574237E-2</v>
      </c>
    </row>
    <row r="195" spans="1:25" x14ac:dyDescent="0.25">
      <c r="A195">
        <v>194</v>
      </c>
      <c r="B195">
        <v>2</v>
      </c>
      <c r="C195" t="s">
        <v>16</v>
      </c>
      <c r="D195" t="s">
        <v>17</v>
      </c>
      <c r="E195" t="s">
        <v>18</v>
      </c>
      <c r="F195" t="s">
        <v>19</v>
      </c>
      <c r="G195" t="s">
        <v>26</v>
      </c>
      <c r="H195" t="s">
        <v>21</v>
      </c>
      <c r="I195" t="s">
        <v>53</v>
      </c>
      <c r="J195" t="s">
        <v>23</v>
      </c>
      <c r="K195">
        <v>522</v>
      </c>
      <c r="L195" s="4">
        <v>8.6522100000000002</v>
      </c>
      <c r="M195" s="4">
        <v>254.98284041080581</v>
      </c>
      <c r="N195" s="4">
        <v>-4.63137036485195E-2</v>
      </c>
      <c r="O195" s="1" t="str">
        <f>HYPERLINK(".\sm_car_250601_1258\sm_car_250601_1258_194_Ca002TrN_MaDLC_ode23t_1.png","figure")</f>
        <v>figure</v>
      </c>
      <c r="P195" t="s">
        <v>15</v>
      </c>
      <c r="V195">
        <f>K195-'2022a_250601_0524'!K195</f>
        <v>-115</v>
      </c>
      <c r="W195" s="11">
        <f>V195/'2022a_250601_0524'!K195</f>
        <v>-0.18053375196232338</v>
      </c>
      <c r="X195">
        <f>L195-'2022a_250601_0524'!L195</f>
        <v>-0.7669662000000006</v>
      </c>
      <c r="Y195" s="11">
        <f>X195/'2022a_250601_0524'!L195</f>
        <v>-8.1426038086005917E-2</v>
      </c>
    </row>
    <row r="196" spans="1:25" x14ac:dyDescent="0.25">
      <c r="A196">
        <v>195</v>
      </c>
      <c r="B196">
        <v>2</v>
      </c>
      <c r="C196" t="s">
        <v>16</v>
      </c>
      <c r="D196" t="s">
        <v>17</v>
      </c>
      <c r="E196" t="s">
        <v>18</v>
      </c>
      <c r="F196" t="s">
        <v>19</v>
      </c>
      <c r="G196" t="s">
        <v>26</v>
      </c>
      <c r="H196" t="s">
        <v>65</v>
      </c>
      <c r="I196" t="s">
        <v>53</v>
      </c>
      <c r="J196" t="s">
        <v>23</v>
      </c>
      <c r="K196">
        <v>534</v>
      </c>
      <c r="L196" s="4">
        <v>15.222933599999999</v>
      </c>
      <c r="M196" s="4">
        <v>255.85848805672742</v>
      </c>
      <c r="N196" s="4">
        <v>-4.0478683747704025E-2</v>
      </c>
      <c r="O196" s="1" t="str">
        <f>HYPERLINK(".\sm_car_250601_1258\sm_car_250601_1258_195_Ca002TrE_MaDLC_ode23t_1.png","figure")</f>
        <v>figure</v>
      </c>
      <c r="P196" t="s">
        <v>15</v>
      </c>
      <c r="V196">
        <f>K196-'2022a_250601_0524'!K196</f>
        <v>-258</v>
      </c>
      <c r="W196" s="11">
        <f>V196/'2022a_250601_0524'!K196</f>
        <v>-0.32575757575757575</v>
      </c>
      <c r="X196">
        <f>L196-'2022a_250601_0524'!L196</f>
        <v>-7.5338291000000002</v>
      </c>
      <c r="Y196" s="11">
        <f>X196/'2022a_250601_0524'!L196</f>
        <v>-0.33105891199542192</v>
      </c>
    </row>
    <row r="197" spans="1:25" x14ac:dyDescent="0.25">
      <c r="A197">
        <v>196</v>
      </c>
      <c r="B197">
        <v>2</v>
      </c>
      <c r="C197" t="s">
        <v>16</v>
      </c>
      <c r="D197" t="s">
        <v>17</v>
      </c>
      <c r="E197" t="s">
        <v>18</v>
      </c>
      <c r="F197" t="s">
        <v>19</v>
      </c>
      <c r="G197" t="s">
        <v>26</v>
      </c>
      <c r="H197" t="s">
        <v>66</v>
      </c>
      <c r="I197" t="s">
        <v>53</v>
      </c>
      <c r="J197" t="s">
        <v>23</v>
      </c>
      <c r="K197">
        <v>959</v>
      </c>
      <c r="L197" s="4">
        <v>34.772159799999997</v>
      </c>
      <c r="M197" s="4">
        <v>254.7886074038708</v>
      </c>
      <c r="N197" s="4">
        <v>-4.6711683438664497E-2</v>
      </c>
      <c r="O197" s="1" t="str">
        <f>HYPERLINK(".\sm_car_250601_1258\sm_car_250601_1258_196_Ca002TrT_MaDLC_ode23t_1.png","figure")</f>
        <v>figure</v>
      </c>
      <c r="P197" t="s">
        <v>15</v>
      </c>
      <c r="V197">
        <f>K197-'2022a_250601_0524'!K197</f>
        <v>40</v>
      </c>
      <c r="W197" s="11">
        <f>V197/'2022a_250601_0524'!K197</f>
        <v>4.3525571273122961E-2</v>
      </c>
      <c r="X197">
        <f>L197-'2022a_250601_0524'!L197</f>
        <v>7.6292326999999958</v>
      </c>
      <c r="Y197" s="11">
        <f>X197/'2022a_250601_0524'!L197</f>
        <v>0.28107626977342454</v>
      </c>
    </row>
    <row r="198" spans="1:25" x14ac:dyDescent="0.25">
      <c r="A198">
        <v>197</v>
      </c>
      <c r="B198">
        <v>2</v>
      </c>
      <c r="C198" t="s">
        <v>16</v>
      </c>
      <c r="D198" t="s">
        <v>17</v>
      </c>
      <c r="E198" t="s">
        <v>18</v>
      </c>
      <c r="F198" t="s">
        <v>19</v>
      </c>
      <c r="G198" t="s">
        <v>26</v>
      </c>
      <c r="H198" t="s">
        <v>65</v>
      </c>
      <c r="I198" t="s">
        <v>53</v>
      </c>
      <c r="J198" t="s">
        <v>23</v>
      </c>
      <c r="K198">
        <v>542</v>
      </c>
      <c r="L198" s="4">
        <v>11.073767500000001</v>
      </c>
      <c r="M198" s="4">
        <v>255.40130457817094</v>
      </c>
      <c r="N198" s="4">
        <v>-4.1301152601327829E-2</v>
      </c>
      <c r="O198" s="1" t="str">
        <f>HYPERLINK(".\sm_car_250601_1258\sm_car_250601_1258_197_Ca002TrE_MaDLC_ode23t_1.png","figure")</f>
        <v>figure</v>
      </c>
      <c r="P198" t="s">
        <v>15</v>
      </c>
      <c r="V198">
        <f>K198-'2022a_250601_0524'!K198</f>
        <v>-252</v>
      </c>
      <c r="W198" s="11">
        <f>V198/'2022a_250601_0524'!K198</f>
        <v>-0.31738035264483627</v>
      </c>
      <c r="X198">
        <f>L198-'2022a_250601_0524'!L198</f>
        <v>-4.7278028999999986</v>
      </c>
      <c r="Y198" s="11">
        <f>X198/'2022a_250601_0524'!L198</f>
        <v>-0.29919829360757705</v>
      </c>
    </row>
    <row r="199" spans="1:25" x14ac:dyDescent="0.25">
      <c r="A199">
        <v>198</v>
      </c>
      <c r="B199">
        <v>145</v>
      </c>
      <c r="C199" t="s">
        <v>46</v>
      </c>
      <c r="D199" t="s">
        <v>17</v>
      </c>
      <c r="E199" t="s">
        <v>50</v>
      </c>
      <c r="F199" t="s">
        <v>19</v>
      </c>
      <c r="G199" t="s">
        <v>26</v>
      </c>
      <c r="H199" t="s">
        <v>21</v>
      </c>
      <c r="I199" t="s">
        <v>53</v>
      </c>
      <c r="J199" t="s">
        <v>23</v>
      </c>
      <c r="K199">
        <v>431</v>
      </c>
      <c r="L199" s="4">
        <v>16.060256599999999</v>
      </c>
      <c r="M199" s="4">
        <v>253.50277934564565</v>
      </c>
      <c r="N199" s="4">
        <v>-7.2212549799419712E-3</v>
      </c>
      <c r="O199" s="1" t="str">
        <f>HYPERLINK(".\sm_car_250601_1258\sm_car_250601_1258_198_Ca145TrN_MaDLC_ode23t_1.png","figure")</f>
        <v>figure</v>
      </c>
      <c r="P199" t="s">
        <v>15</v>
      </c>
      <c r="V199">
        <f>K199-'2022a_250601_0524'!K199</f>
        <v>-54</v>
      </c>
      <c r="W199" s="11">
        <f>V199/'2022a_250601_0524'!K199</f>
        <v>-0.11134020618556702</v>
      </c>
      <c r="X199">
        <f>L199-'2022a_250601_0524'!L199</f>
        <v>-1.9800458000000027</v>
      </c>
      <c r="Y199" s="11">
        <f>X199/'2022a_250601_0524'!L199</f>
        <v>-0.10975679653795618</v>
      </c>
    </row>
    <row r="200" spans="1:25" x14ac:dyDescent="0.25">
      <c r="A200">
        <v>199</v>
      </c>
      <c r="B200">
        <v>145</v>
      </c>
      <c r="C200" t="s">
        <v>46</v>
      </c>
      <c r="D200" t="s">
        <v>17</v>
      </c>
      <c r="E200" t="s">
        <v>50</v>
      </c>
      <c r="F200" t="s">
        <v>19</v>
      </c>
      <c r="G200" t="s">
        <v>26</v>
      </c>
      <c r="H200" t="s">
        <v>65</v>
      </c>
      <c r="I200" t="s">
        <v>53</v>
      </c>
      <c r="J200" t="s">
        <v>23</v>
      </c>
      <c r="K200">
        <v>476</v>
      </c>
      <c r="L200" s="4">
        <v>28.8608251</v>
      </c>
      <c r="M200" s="4">
        <v>253.82819363417673</v>
      </c>
      <c r="N200" s="4">
        <v>-6.6654723770569468E-3</v>
      </c>
      <c r="O200" s="1" t="str">
        <f>HYPERLINK(".\sm_car_250601_1258\sm_car_250601_1258_199_Ca145TrE_MaDLC_ode23t_1.png","figure")</f>
        <v>figure</v>
      </c>
      <c r="P200" t="s">
        <v>15</v>
      </c>
      <c r="V200">
        <f>K200-'2022a_250601_0524'!K200</f>
        <v>-87</v>
      </c>
      <c r="W200" s="11">
        <f>V200/'2022a_250601_0524'!K200</f>
        <v>-0.15452930728241562</v>
      </c>
      <c r="X200">
        <f>L200-'2022a_250601_0524'!L200</f>
        <v>-3.1150863999999991</v>
      </c>
      <c r="Y200" s="11">
        <f>X200/'2022a_250601_0524'!L200</f>
        <v>-9.7419784264789422E-2</v>
      </c>
    </row>
    <row r="201" spans="1:25" x14ac:dyDescent="0.25">
      <c r="A201">
        <v>200</v>
      </c>
      <c r="B201">
        <v>145</v>
      </c>
      <c r="C201" t="s">
        <v>46</v>
      </c>
      <c r="D201" t="s">
        <v>17</v>
      </c>
      <c r="E201" t="s">
        <v>50</v>
      </c>
      <c r="F201" t="s">
        <v>19</v>
      </c>
      <c r="G201" t="s">
        <v>26</v>
      </c>
      <c r="H201" t="s">
        <v>66</v>
      </c>
      <c r="I201" t="s">
        <v>53</v>
      </c>
      <c r="J201" t="s">
        <v>23</v>
      </c>
      <c r="K201">
        <v>622</v>
      </c>
      <c r="L201" s="4">
        <v>39.081919800000001</v>
      </c>
      <c r="M201" s="4">
        <v>255.63819359431881</v>
      </c>
      <c r="N201" s="4">
        <v>-8.3241543303924637E-3</v>
      </c>
      <c r="O201" s="1" t="str">
        <f>HYPERLINK(".\sm_car_250601_1258\sm_car_250601_1258_200_Ca145TrT_MaDLC_ode23t_1.png","figure")</f>
        <v>figure</v>
      </c>
      <c r="P201" t="s">
        <v>15</v>
      </c>
      <c r="V201">
        <f>K201-'2022a_250601_0524'!K201</f>
        <v>18</v>
      </c>
      <c r="W201" s="11">
        <f>V201/'2022a_250601_0524'!K201</f>
        <v>2.9801324503311258E-2</v>
      </c>
      <c r="X201">
        <f>L201-'2022a_250601_0524'!L201</f>
        <v>3.0787773999999999</v>
      </c>
      <c r="Y201" s="11">
        <f>X201/'2022a_250601_0524'!L201</f>
        <v>8.5514130011051473E-2</v>
      </c>
    </row>
    <row r="202" spans="1:25" x14ac:dyDescent="0.25">
      <c r="A202">
        <v>201</v>
      </c>
      <c r="B202">
        <v>145</v>
      </c>
      <c r="C202" t="s">
        <v>46</v>
      </c>
      <c r="D202" t="s">
        <v>17</v>
      </c>
      <c r="E202" t="s">
        <v>50</v>
      </c>
      <c r="F202" t="s">
        <v>19</v>
      </c>
      <c r="G202" t="s">
        <v>26</v>
      </c>
      <c r="H202" t="s">
        <v>65</v>
      </c>
      <c r="I202" t="s">
        <v>53</v>
      </c>
      <c r="J202" t="s">
        <v>23</v>
      </c>
      <c r="K202">
        <v>485</v>
      </c>
      <c r="L202" s="4">
        <v>23.931510299999999</v>
      </c>
      <c r="M202" s="4">
        <v>254.86041725907035</v>
      </c>
      <c r="N202" s="4">
        <v>-7.2138501780565356E-3</v>
      </c>
      <c r="O202" s="1" t="str">
        <f>HYPERLINK(".\sm_car_250601_1258\sm_car_250601_1258_201_Ca145TrE_MaDLC_ode23t_1.png","figure")</f>
        <v>figure</v>
      </c>
      <c r="P202" t="s">
        <v>15</v>
      </c>
      <c r="V202">
        <f>K202-'2022a_250601_0524'!K202</f>
        <v>-77</v>
      </c>
      <c r="W202" s="11">
        <f>V202/'2022a_250601_0524'!K202</f>
        <v>-0.13701067615658363</v>
      </c>
      <c r="X202">
        <f>L202-'2022a_250601_0524'!L202</f>
        <v>-5.0141719000000009</v>
      </c>
      <c r="Y202" s="11">
        <f>X202/'2022a_250601_0524'!L202</f>
        <v>-0.17322693814416304</v>
      </c>
    </row>
    <row r="203" spans="1:25" x14ac:dyDescent="0.25">
      <c r="A203">
        <v>202</v>
      </c>
      <c r="B203">
        <v>199</v>
      </c>
      <c r="C203" t="s">
        <v>46</v>
      </c>
      <c r="D203" t="s">
        <v>17</v>
      </c>
      <c r="E203" t="s">
        <v>109</v>
      </c>
      <c r="F203" t="s">
        <v>19</v>
      </c>
      <c r="G203" t="s">
        <v>26</v>
      </c>
      <c r="H203" t="s">
        <v>21</v>
      </c>
      <c r="I203" t="s">
        <v>53</v>
      </c>
      <c r="J203" t="s">
        <v>23</v>
      </c>
      <c r="K203">
        <v>442</v>
      </c>
      <c r="L203" s="4">
        <v>6.8052564000000002</v>
      </c>
      <c r="M203" s="4">
        <v>253.27538285309538</v>
      </c>
      <c r="N203" s="4">
        <v>-6.5825177669456281E-3</v>
      </c>
      <c r="O203" s="1" t="str">
        <f>HYPERLINK(".\sm_car_250601_1258\sm_car_250601_1258_202_Ca199TrN_MaDLC_ode23t_1.png","figure")</f>
        <v>figure</v>
      </c>
      <c r="P203" t="s">
        <v>15</v>
      </c>
      <c r="V203">
        <f>K203-'2022a_250601_0524'!K203</f>
        <v>-44</v>
      </c>
      <c r="W203" s="11">
        <f>V203/'2022a_250601_0524'!K203</f>
        <v>-9.0534979423868317E-2</v>
      </c>
      <c r="X203">
        <f>L203-'2022a_250601_0524'!L203</f>
        <v>-0.63772640000000003</v>
      </c>
      <c r="Y203" s="11">
        <f>X203/'2022a_250601_0524'!L203</f>
        <v>-8.5681563042171754E-2</v>
      </c>
    </row>
    <row r="204" spans="1:25" x14ac:dyDescent="0.25">
      <c r="A204">
        <v>203</v>
      </c>
      <c r="B204">
        <v>199</v>
      </c>
      <c r="C204" t="s">
        <v>46</v>
      </c>
      <c r="D204" t="s">
        <v>17</v>
      </c>
      <c r="E204" t="s">
        <v>109</v>
      </c>
      <c r="F204" t="s">
        <v>19</v>
      </c>
      <c r="G204" t="s">
        <v>26</v>
      </c>
      <c r="H204" t="s">
        <v>65</v>
      </c>
      <c r="I204" t="s">
        <v>53</v>
      </c>
      <c r="J204" t="s">
        <v>23</v>
      </c>
      <c r="K204">
        <v>482</v>
      </c>
      <c r="L204" s="4">
        <v>15.079072699999999</v>
      </c>
      <c r="M204" s="4">
        <v>254.86883898376669</v>
      </c>
      <c r="N204" s="4">
        <v>-7.1536272673196066E-3</v>
      </c>
      <c r="O204" s="1" t="str">
        <f>HYPERLINK(".\sm_car_250601_1258\sm_car_250601_1258_203_Ca199TrE_MaDLC_ode23t_1.png","figure")</f>
        <v>figure</v>
      </c>
      <c r="P204" t="s">
        <v>15</v>
      </c>
      <c r="V204">
        <f>K204-'2022a_250601_0524'!K204</f>
        <v>-72</v>
      </c>
      <c r="W204" s="11">
        <f>V204/'2022a_250601_0524'!K204</f>
        <v>-0.1299638989169675</v>
      </c>
      <c r="X204">
        <f>L204-'2022a_250601_0524'!L204</f>
        <v>-2.7599532</v>
      </c>
      <c r="Y204" s="11">
        <f>X204/'2022a_250601_0524'!L204</f>
        <v>-0.15471434457640426</v>
      </c>
    </row>
    <row r="205" spans="1:25" x14ac:dyDescent="0.25">
      <c r="A205">
        <v>204</v>
      </c>
      <c r="B205">
        <v>199</v>
      </c>
      <c r="C205" t="s">
        <v>46</v>
      </c>
      <c r="D205" t="s">
        <v>17</v>
      </c>
      <c r="E205" t="s">
        <v>109</v>
      </c>
      <c r="F205" t="s">
        <v>19</v>
      </c>
      <c r="G205" t="s">
        <v>26</v>
      </c>
      <c r="H205" t="s">
        <v>66</v>
      </c>
      <c r="I205" t="s">
        <v>53</v>
      </c>
      <c r="J205" t="s">
        <v>23</v>
      </c>
      <c r="K205">
        <v>590</v>
      </c>
      <c r="L205" s="4">
        <v>17.0324934</v>
      </c>
      <c r="M205" s="4">
        <v>254.96557558641854</v>
      </c>
      <c r="N205" s="4">
        <v>-7.8628662484110379E-3</v>
      </c>
      <c r="O205" s="1" t="str">
        <f>HYPERLINK(".\sm_car_250601_1258\sm_car_250601_1258_204_Ca199TrT_MaDLC_ode23t_1.png","figure")</f>
        <v>figure</v>
      </c>
      <c r="P205" t="s">
        <v>15</v>
      </c>
      <c r="V205">
        <f>K205-'2022a_250601_0524'!K205</f>
        <v>-68</v>
      </c>
      <c r="W205" s="11">
        <f>V205/'2022a_250601_0524'!K205</f>
        <v>-0.10334346504559271</v>
      </c>
      <c r="X205">
        <f>L205-'2022a_250601_0524'!L205</f>
        <v>-2.1696457000000002</v>
      </c>
      <c r="Y205" s="11">
        <f>X205/'2022a_250601_0524'!L205</f>
        <v>-0.11298979185084647</v>
      </c>
    </row>
    <row r="206" spans="1:25" x14ac:dyDescent="0.25">
      <c r="A206">
        <v>205</v>
      </c>
      <c r="B206">
        <v>199</v>
      </c>
      <c r="C206" t="s">
        <v>46</v>
      </c>
      <c r="D206" t="s">
        <v>17</v>
      </c>
      <c r="E206" t="s">
        <v>109</v>
      </c>
      <c r="F206" t="s">
        <v>19</v>
      </c>
      <c r="G206" t="s">
        <v>26</v>
      </c>
      <c r="H206" t="s">
        <v>65</v>
      </c>
      <c r="I206" t="s">
        <v>53</v>
      </c>
      <c r="J206" t="s">
        <v>23</v>
      </c>
      <c r="K206">
        <v>475</v>
      </c>
      <c r="L206" s="4">
        <v>11.0438966</v>
      </c>
      <c r="M206" s="4">
        <v>254.8685410778246</v>
      </c>
      <c r="N206" s="4">
        <v>-7.2082305027740823E-3</v>
      </c>
      <c r="O206" s="1" t="str">
        <f>HYPERLINK(".\sm_car_250601_1258\sm_car_250601_1258_205_Ca199TrE_MaDLC_ode23t_1.png","figure")</f>
        <v>figure</v>
      </c>
      <c r="P206" t="s">
        <v>15</v>
      </c>
      <c r="V206">
        <f>K206-'2022a_250601_0524'!K206</f>
        <v>-85</v>
      </c>
      <c r="W206" s="11">
        <f>V206/'2022a_250601_0524'!K206</f>
        <v>-0.15178571428571427</v>
      </c>
      <c r="X206">
        <f>L206-'2022a_250601_0524'!L206</f>
        <v>-1.7655422999999999</v>
      </c>
      <c r="Y206" s="11">
        <f>X206/'2022a_250601_0524'!L206</f>
        <v>-0.1378313534092426</v>
      </c>
    </row>
    <row r="207" spans="1:25" x14ac:dyDescent="0.25">
      <c r="A207">
        <v>206</v>
      </c>
      <c r="B207">
        <v>189</v>
      </c>
      <c r="C207" t="s">
        <v>45</v>
      </c>
      <c r="D207" t="s">
        <v>17</v>
      </c>
      <c r="E207" t="s">
        <v>107</v>
      </c>
      <c r="F207" t="s">
        <v>19</v>
      </c>
      <c r="G207" t="s">
        <v>26</v>
      </c>
      <c r="H207" t="s">
        <v>65</v>
      </c>
      <c r="I207" t="s">
        <v>67</v>
      </c>
      <c r="J207" t="s">
        <v>23</v>
      </c>
      <c r="K207">
        <v>425</v>
      </c>
      <c r="L207" s="4">
        <v>11.600018</v>
      </c>
      <c r="M207" s="4">
        <v>263.36034093082156</v>
      </c>
      <c r="N207" s="4">
        <v>6.8752854337406077E-4</v>
      </c>
      <c r="O207" s="1" t="str">
        <f>HYPERLINK(".\sm_car_250601_1258\sm_car_250601_1258_206_Ca189TrE_MaTRD_ode23t_1.png","figure")</f>
        <v>figure</v>
      </c>
      <c r="P207" t="s">
        <v>15</v>
      </c>
      <c r="V207">
        <f>K207-'2022a_250601_0524'!K207</f>
        <v>-41</v>
      </c>
      <c r="W207" s="11">
        <f>V207/'2022a_250601_0524'!K207</f>
        <v>-8.7982832618025753E-2</v>
      </c>
      <c r="X207">
        <f>L207-'2022a_250601_0524'!L207</f>
        <v>0.52304890000000093</v>
      </c>
      <c r="Y207" s="11">
        <f>X207/'2022a_250601_0524'!L207</f>
        <v>4.7219496170662872E-2</v>
      </c>
    </row>
    <row r="208" spans="1:25" x14ac:dyDescent="0.25">
      <c r="A208">
        <v>207</v>
      </c>
      <c r="B208">
        <v>189</v>
      </c>
      <c r="C208" t="s">
        <v>45</v>
      </c>
      <c r="D208" t="s">
        <v>17</v>
      </c>
      <c r="E208" t="s">
        <v>107</v>
      </c>
      <c r="F208" t="s">
        <v>19</v>
      </c>
      <c r="G208" t="s">
        <v>26</v>
      </c>
      <c r="H208" t="s">
        <v>65</v>
      </c>
      <c r="I208" t="s">
        <v>67</v>
      </c>
      <c r="J208" t="s">
        <v>23</v>
      </c>
      <c r="K208">
        <v>704</v>
      </c>
      <c r="L208" s="4">
        <v>17.066554499999999</v>
      </c>
      <c r="M208" s="4">
        <v>262.42222897513983</v>
      </c>
      <c r="N208" s="4">
        <v>0.73083250616215789</v>
      </c>
      <c r="O208" s="1" t="str">
        <f>HYPERLINK(".\sm_car_250601_1258\sm_car_250601_1258_207_Ca189TrU_MaTRD_ode23t_1.png","figure")</f>
        <v>figure</v>
      </c>
      <c r="P208" t="s">
        <v>15</v>
      </c>
      <c r="V208">
        <f>K208-'2022a_250601_0524'!K208</f>
        <v>67</v>
      </c>
      <c r="W208" s="11">
        <f>V208/'2022a_250601_0524'!K208</f>
        <v>0.10518053375196232</v>
      </c>
      <c r="X208">
        <f>L208-'2022a_250601_0524'!L208</f>
        <v>2.1951292999999996</v>
      </c>
      <c r="Y208" s="11">
        <f>X208/'2022a_250601_0524'!L208</f>
        <v>0.14760719100412781</v>
      </c>
    </row>
    <row r="209" spans="1:25" x14ac:dyDescent="0.25">
      <c r="A209">
        <v>208</v>
      </c>
      <c r="B209">
        <v>149</v>
      </c>
      <c r="C209" t="s">
        <v>46</v>
      </c>
      <c r="D209" t="s">
        <v>17</v>
      </c>
      <c r="E209" t="s">
        <v>68</v>
      </c>
      <c r="F209" t="s">
        <v>19</v>
      </c>
      <c r="G209" t="s">
        <v>26</v>
      </c>
      <c r="H209" t="s">
        <v>21</v>
      </c>
      <c r="I209" t="s">
        <v>69</v>
      </c>
      <c r="J209" t="s">
        <v>23</v>
      </c>
      <c r="K209">
        <v>669</v>
      </c>
      <c r="L209" s="4">
        <v>9.5960993999999999</v>
      </c>
      <c r="M209" s="4">
        <v>-5.8747693058971429E-3</v>
      </c>
      <c r="N209" s="4">
        <v>-3.5942483481082865E-4</v>
      </c>
      <c r="O209" s="1" t="str">
        <f>HYPERLINK(".\sm_car_250601_1258\sm_car_250601_1258_208_Ca149TrN_MaPST_ode23t_1.png","figure")</f>
        <v>figure</v>
      </c>
      <c r="P209" t="s">
        <v>15</v>
      </c>
      <c r="V209">
        <f>K209-'2022a_250601_0524'!K209</f>
        <v>0</v>
      </c>
      <c r="W209" s="11">
        <f>V209/'2022a_250601_0524'!K209</f>
        <v>0</v>
      </c>
      <c r="X209">
        <f>L209-'2022a_250601_0524'!L209</f>
        <v>-2.5887799999999572E-2</v>
      </c>
      <c r="Y209" s="11">
        <f>X209/'2022a_250601_0524'!L209</f>
        <v>-2.6904837287665042E-3</v>
      </c>
    </row>
    <row r="210" spans="1:25" x14ac:dyDescent="0.25">
      <c r="A210">
        <v>209</v>
      </c>
      <c r="B210">
        <v>139</v>
      </c>
      <c r="C210" t="s">
        <v>45</v>
      </c>
      <c r="D210" t="s">
        <v>17</v>
      </c>
      <c r="E210" t="s">
        <v>18</v>
      </c>
      <c r="F210" t="s">
        <v>19</v>
      </c>
      <c r="G210" t="s">
        <v>26</v>
      </c>
      <c r="H210" t="s">
        <v>21</v>
      </c>
      <c r="I210" t="s">
        <v>70</v>
      </c>
      <c r="J210" t="s">
        <v>23</v>
      </c>
      <c r="K210">
        <v>1765</v>
      </c>
      <c r="L210" s="4">
        <v>51.338856700000001</v>
      </c>
      <c r="M210" s="4">
        <v>36.496272509136119</v>
      </c>
      <c r="N210" s="4">
        <v>7.1717850650335939E-3</v>
      </c>
      <c r="O210" s="1" t="str">
        <f>HYPERLINK(".\sm_car_250601_1258\sm_car_250601_1258_209_Ca139TrN_MaSKD_ode23t_1.png","figure")</f>
        <v>figure</v>
      </c>
      <c r="P210" t="s">
        <v>15</v>
      </c>
      <c r="V210">
        <f>K210-'2022a_250601_0524'!K210</f>
        <v>192</v>
      </c>
      <c r="W210" s="11">
        <f>V210/'2022a_250601_0524'!K210</f>
        <v>0.12205975842339478</v>
      </c>
      <c r="X210">
        <f>L210-'2022a_250601_0524'!L210</f>
        <v>12.621027400000003</v>
      </c>
      <c r="Y210" s="11">
        <f>X210/'2022a_250601_0524'!L210</f>
        <v>0.32597456076908743</v>
      </c>
    </row>
    <row r="211" spans="1:25" x14ac:dyDescent="0.25">
      <c r="A211">
        <v>210</v>
      </c>
      <c r="B211">
        <v>139</v>
      </c>
      <c r="C211" t="s">
        <v>45</v>
      </c>
      <c r="D211" t="s">
        <v>17</v>
      </c>
      <c r="E211" t="s">
        <v>18</v>
      </c>
      <c r="F211" t="s">
        <v>19</v>
      </c>
      <c r="G211" t="s">
        <v>26</v>
      </c>
      <c r="H211" t="s">
        <v>21</v>
      </c>
      <c r="I211" t="s">
        <v>71</v>
      </c>
      <c r="J211" t="s">
        <v>23</v>
      </c>
      <c r="K211">
        <v>975</v>
      </c>
      <c r="L211" s="4">
        <v>28.081845999999999</v>
      </c>
      <c r="M211" s="4">
        <v>5.111047460402748</v>
      </c>
      <c r="N211" s="4">
        <v>8.3639753207097165</v>
      </c>
      <c r="O211" s="1" t="str">
        <f>HYPERLINK(".\sm_car_250601_1258\sm_car_250601_1258_210_Ca139TrN_MaRAD_ode23t_1.png","figure")</f>
        <v>figure</v>
      </c>
      <c r="P211" t="s">
        <v>15</v>
      </c>
      <c r="V211">
        <f>K211-'2022a_250601_0524'!K211</f>
        <v>-92</v>
      </c>
      <c r="W211" s="11">
        <f>V211/'2022a_250601_0524'!K211</f>
        <v>-8.6223055295220244E-2</v>
      </c>
      <c r="X211">
        <f>L211-'2022a_250601_0524'!L211</f>
        <v>-5.3629997000000031</v>
      </c>
      <c r="Y211" s="11">
        <f>X211/'2022a_250601_0524'!L211</f>
        <v>-0.16035354888780373</v>
      </c>
    </row>
    <row r="212" spans="1:25" x14ac:dyDescent="0.25">
      <c r="A212">
        <v>211</v>
      </c>
      <c r="B212">
        <v>184</v>
      </c>
      <c r="C212" t="s">
        <v>105</v>
      </c>
      <c r="D212" t="s">
        <v>120</v>
      </c>
      <c r="E212" t="s">
        <v>49</v>
      </c>
      <c r="F212" t="s">
        <v>19</v>
      </c>
      <c r="G212" t="s">
        <v>20</v>
      </c>
      <c r="H212" t="s">
        <v>21</v>
      </c>
      <c r="I212" t="s">
        <v>70</v>
      </c>
      <c r="J212" t="s">
        <v>23</v>
      </c>
      <c r="K212">
        <v>1311</v>
      </c>
      <c r="L212" s="4">
        <v>53.8297107</v>
      </c>
      <c r="M212" s="4">
        <v>36.476731706861543</v>
      </c>
      <c r="N212" s="4">
        <v>1.404847937685743E-2</v>
      </c>
      <c r="O212" s="1" t="str">
        <f>HYPERLINK(".\sm_car_250601_1258\sm_car_250601_1258_211_Ca184TrN_MaSKD_ode23t_1.png","figure")</f>
        <v>figure</v>
      </c>
      <c r="P212" t="s">
        <v>15</v>
      </c>
      <c r="V212">
        <f>K212-'2022a_250601_0524'!K212</f>
        <v>-21</v>
      </c>
      <c r="W212" s="11">
        <f>V212/'2022a_250601_0524'!K212</f>
        <v>-1.5765765765765764E-2</v>
      </c>
      <c r="X212">
        <f>L212-'2022a_250601_0524'!L212</f>
        <v>2.0962292999999974</v>
      </c>
      <c r="Y212" s="11">
        <f>X212/'2022a_250601_0524'!L212</f>
        <v>4.0519780290680325E-2</v>
      </c>
    </row>
    <row r="213" spans="1:25" x14ac:dyDescent="0.25">
      <c r="A213">
        <v>212</v>
      </c>
      <c r="B213">
        <v>184</v>
      </c>
      <c r="C213" t="s">
        <v>105</v>
      </c>
      <c r="D213" t="s">
        <v>120</v>
      </c>
      <c r="E213" t="s">
        <v>49</v>
      </c>
      <c r="F213" t="s">
        <v>19</v>
      </c>
      <c r="G213" t="s">
        <v>20</v>
      </c>
      <c r="H213" t="s">
        <v>21</v>
      </c>
      <c r="I213" t="s">
        <v>71</v>
      </c>
      <c r="J213" t="s">
        <v>23</v>
      </c>
      <c r="K213">
        <v>509</v>
      </c>
      <c r="L213" s="4">
        <v>23.652284099999999</v>
      </c>
      <c r="M213" s="4">
        <v>8.2416284236588488</v>
      </c>
      <c r="N213" s="4">
        <v>22.419459021108953</v>
      </c>
      <c r="O213" s="1" t="str">
        <f>HYPERLINK(".\sm_car_250601_1258\sm_car_250601_1258_212_Ca184TrN_MaRAD_ode23t_1.png","figure")</f>
        <v>figure</v>
      </c>
      <c r="P213" t="s">
        <v>15</v>
      </c>
      <c r="V213">
        <f>K213-'2022a_250601_0524'!K213</f>
        <v>-119</v>
      </c>
      <c r="W213" s="11">
        <f>V213/'2022a_250601_0524'!K213</f>
        <v>-0.18949044585987262</v>
      </c>
      <c r="X213">
        <f>L213-'2022a_250601_0524'!L213</f>
        <v>-0.7002978000000013</v>
      </c>
      <c r="Y213" s="11">
        <f>X213/'2022a_250601_0524'!L213</f>
        <v>-2.8756614098482975E-2</v>
      </c>
    </row>
    <row r="214" spans="1:25" x14ac:dyDescent="0.25">
      <c r="A214">
        <v>213</v>
      </c>
      <c r="B214">
        <v>198</v>
      </c>
      <c r="C214" t="s">
        <v>105</v>
      </c>
      <c r="D214" t="s">
        <v>120</v>
      </c>
      <c r="E214" t="s">
        <v>107</v>
      </c>
      <c r="F214" t="s">
        <v>19</v>
      </c>
      <c r="G214" t="s">
        <v>20</v>
      </c>
      <c r="H214" t="s">
        <v>21</v>
      </c>
      <c r="I214" t="s">
        <v>70</v>
      </c>
      <c r="J214" t="s">
        <v>23</v>
      </c>
      <c r="K214">
        <v>1401</v>
      </c>
      <c r="L214" s="4">
        <v>33.9709541</v>
      </c>
      <c r="M214" s="4">
        <v>36.323630407682145</v>
      </c>
      <c r="N214" s="4">
        <v>1.885660693341646E-2</v>
      </c>
      <c r="O214" s="1" t="str">
        <f>HYPERLINK(".\sm_car_250601_1258\sm_car_250601_1258_213_Ca198TrN_MaSKD_ode23t_1.png","figure")</f>
        <v>figure</v>
      </c>
      <c r="P214" t="s">
        <v>15</v>
      </c>
      <c r="V214">
        <f>K214-'2022a_250601_0524'!K214</f>
        <v>-2</v>
      </c>
      <c r="W214" s="11">
        <f>V214/'2022a_250601_0524'!K214</f>
        <v>-1.4255167498218105E-3</v>
      </c>
      <c r="X214">
        <f>L214-'2022a_250601_0524'!L214</f>
        <v>1.2514084000000025</v>
      </c>
      <c r="Y214" s="11">
        <f>X214/'2022a_250601_0524'!L214</f>
        <v>3.8246509027782823E-2</v>
      </c>
    </row>
    <row r="215" spans="1:25" x14ac:dyDescent="0.25">
      <c r="A215">
        <v>214</v>
      </c>
      <c r="B215">
        <v>198</v>
      </c>
      <c r="C215" t="s">
        <v>105</v>
      </c>
      <c r="D215" t="s">
        <v>120</v>
      </c>
      <c r="E215" t="s">
        <v>107</v>
      </c>
      <c r="F215" t="s">
        <v>19</v>
      </c>
      <c r="G215" t="s">
        <v>20</v>
      </c>
      <c r="H215" t="s">
        <v>21</v>
      </c>
      <c r="I215" t="s">
        <v>71</v>
      </c>
      <c r="J215" t="s">
        <v>23</v>
      </c>
      <c r="K215">
        <v>616</v>
      </c>
      <c r="L215" s="4">
        <v>15.8840611</v>
      </c>
      <c r="M215" s="4">
        <v>8.226459163627549</v>
      </c>
      <c r="N215" s="4">
        <v>22.335060305571041</v>
      </c>
      <c r="O215" s="1" t="str">
        <f>HYPERLINK(".\sm_car_250601_1258\sm_car_250601_1258_214_Ca198TrN_MaRAD_ode23t_1.png","figure")</f>
        <v>figure</v>
      </c>
      <c r="P215" t="s">
        <v>15</v>
      </c>
      <c r="V215">
        <f>K215-'2022a_250601_0524'!K215</f>
        <v>-53</v>
      </c>
      <c r="W215" s="11">
        <f>V215/'2022a_250601_0524'!K215</f>
        <v>-7.9222720478325862E-2</v>
      </c>
      <c r="X215">
        <f>L215-'2022a_250601_0524'!L215</f>
        <v>0.1372706000000008</v>
      </c>
      <c r="Y215" s="11">
        <f>X215/'2022a_250601_0524'!L215</f>
        <v>8.7173700570920033E-3</v>
      </c>
    </row>
    <row r="216" spans="1:25" x14ac:dyDescent="0.25">
      <c r="A216">
        <v>215</v>
      </c>
      <c r="B216">
        <v>189</v>
      </c>
      <c r="C216" t="s">
        <v>45</v>
      </c>
      <c r="D216" t="s">
        <v>17</v>
      </c>
      <c r="E216" t="s">
        <v>107</v>
      </c>
      <c r="F216" t="s">
        <v>19</v>
      </c>
      <c r="G216" t="s">
        <v>26</v>
      </c>
      <c r="H216" t="s">
        <v>21</v>
      </c>
      <c r="I216" t="s">
        <v>132</v>
      </c>
      <c r="J216" t="s">
        <v>23</v>
      </c>
      <c r="K216">
        <v>744</v>
      </c>
      <c r="L216" s="4">
        <v>12.0422151</v>
      </c>
      <c r="M216" s="4">
        <v>122.45429340925392</v>
      </c>
      <c r="N216" s="4">
        <v>-15.830127315093575</v>
      </c>
      <c r="O216" s="1" t="str">
        <f>HYPERLINK(".\sm_car_250601_1258\sm_car_250601_1258_215_Ca189TrN_MaFSH_ode23t_1.png","figure")</f>
        <v>figure</v>
      </c>
      <c r="P216" t="s">
        <v>15</v>
      </c>
      <c r="V216">
        <f>K216-'2022a_250601_0524'!K216</f>
        <v>-16</v>
      </c>
      <c r="W216" s="11">
        <f>V216/'2022a_250601_0524'!K216</f>
        <v>-2.1052631578947368E-2</v>
      </c>
      <c r="X216">
        <f>L216-'2022a_250601_0524'!L216</f>
        <v>-0.50657580000000024</v>
      </c>
      <c r="Y216" s="11">
        <f>X216/'2022a_250601_0524'!L216</f>
        <v>-4.0368494784625043E-2</v>
      </c>
    </row>
    <row r="217" spans="1:25" x14ac:dyDescent="0.25">
      <c r="A217">
        <v>216</v>
      </c>
      <c r="B217">
        <v>189</v>
      </c>
      <c r="C217" t="s">
        <v>45</v>
      </c>
      <c r="D217" t="s">
        <v>17</v>
      </c>
      <c r="E217" t="s">
        <v>107</v>
      </c>
      <c r="F217" t="s">
        <v>19</v>
      </c>
      <c r="G217" t="s">
        <v>26</v>
      </c>
      <c r="H217" t="s">
        <v>21</v>
      </c>
      <c r="I217" t="s">
        <v>133</v>
      </c>
      <c r="J217" t="s">
        <v>23</v>
      </c>
      <c r="K217">
        <v>529</v>
      </c>
      <c r="L217" s="4">
        <v>8.4703861000000007</v>
      </c>
      <c r="M217" s="4">
        <v>119.32860712093969</v>
      </c>
      <c r="N217" s="4">
        <v>-9.4483170935140706</v>
      </c>
      <c r="O217" s="1" t="str">
        <f>HYPERLINK(".\sm_car_250601_1258\sm_car_250601_1258_216_Ca189TrN_MaSWD_ode23t_1.png","figure")</f>
        <v>figure</v>
      </c>
      <c r="P217" t="s">
        <v>15</v>
      </c>
      <c r="V217">
        <f>K217-'2022a_250601_0524'!K217</f>
        <v>-1</v>
      </c>
      <c r="W217" s="11">
        <f>V217/'2022a_250601_0524'!K217</f>
        <v>-1.8867924528301887E-3</v>
      </c>
      <c r="X217">
        <f>L217-'2022a_250601_0524'!L217</f>
        <v>1.4442751000000005</v>
      </c>
      <c r="Y217" s="11">
        <f>X217/'2022a_250601_0524'!L217</f>
        <v>0.20555825263791028</v>
      </c>
    </row>
    <row r="218" spans="1:25" x14ac:dyDescent="0.25">
      <c r="A218">
        <v>217</v>
      </c>
      <c r="B218">
        <v>189</v>
      </c>
      <c r="C218" t="s">
        <v>45</v>
      </c>
      <c r="D218" t="s">
        <v>17</v>
      </c>
      <c r="E218" t="s">
        <v>107</v>
      </c>
      <c r="F218" t="s">
        <v>19</v>
      </c>
      <c r="G218" t="s">
        <v>26</v>
      </c>
      <c r="H218" t="s">
        <v>21</v>
      </c>
      <c r="I218" t="s">
        <v>134</v>
      </c>
      <c r="J218" t="s">
        <v>23</v>
      </c>
      <c r="K218">
        <v>530</v>
      </c>
      <c r="L218" s="4">
        <v>9.9603684999999995</v>
      </c>
      <c r="M218" s="4">
        <v>102.95363711714197</v>
      </c>
      <c r="N218" s="4">
        <v>18.074676420208739</v>
      </c>
      <c r="O218" s="1" t="str">
        <f>HYPERLINK(".\sm_car_250601_1258\sm_car_250601_1258_217_Ca189TrN_MaRST_ode23t_1.png","figure")</f>
        <v>figure</v>
      </c>
      <c r="P218" t="s">
        <v>15</v>
      </c>
      <c r="V218">
        <f>K218-'2022a_250601_0524'!K218</f>
        <v>5</v>
      </c>
      <c r="W218" s="11">
        <f>V218/'2022a_250601_0524'!K218</f>
        <v>9.5238095238095247E-3</v>
      </c>
      <c r="X218">
        <f>L218-'2022a_250601_0524'!L218</f>
        <v>1.4545689999999993</v>
      </c>
      <c r="Y218" s="11">
        <f>X218/'2022a_250601_0524'!L218</f>
        <v>0.17100908621229544</v>
      </c>
    </row>
    <row r="219" spans="1:25" x14ac:dyDescent="0.25">
      <c r="A219">
        <v>218</v>
      </c>
      <c r="B219">
        <v>189</v>
      </c>
      <c r="C219" t="s">
        <v>45</v>
      </c>
      <c r="D219" t="s">
        <v>17</v>
      </c>
      <c r="E219" t="s">
        <v>107</v>
      </c>
      <c r="F219" t="s">
        <v>19</v>
      </c>
      <c r="G219" t="s">
        <v>26</v>
      </c>
      <c r="H219" t="s">
        <v>21</v>
      </c>
      <c r="I219" t="s">
        <v>135</v>
      </c>
      <c r="J219" t="s">
        <v>23</v>
      </c>
      <c r="K219">
        <v>758</v>
      </c>
      <c r="L219" s="4">
        <v>18.163059499999999</v>
      </c>
      <c r="M219" s="4">
        <v>237.85246541372553</v>
      </c>
      <c r="N219" s="4">
        <v>2.3734364516159566E-4</v>
      </c>
      <c r="O219" s="1" t="str">
        <f>HYPERLINK(".\sm_car_250601_1258\sm_car_250601_1258_218_Ca189TrN_MaSLA_ode23t_1.png","figure")</f>
        <v>figure</v>
      </c>
      <c r="P219" t="s">
        <v>15</v>
      </c>
      <c r="V219">
        <f>K219-'2022a_250601_0524'!K219</f>
        <v>154</v>
      </c>
      <c r="W219" s="11">
        <f>V219/'2022a_250601_0524'!K219</f>
        <v>0.25496688741721857</v>
      </c>
      <c r="X219">
        <f>L219-'2022a_250601_0524'!L219</f>
        <v>1.6908297999999995</v>
      </c>
      <c r="Y219" s="11">
        <f>X219/'2022a_250601_0524'!L219</f>
        <v>0.10264729370547811</v>
      </c>
    </row>
    <row r="220" spans="1:25" x14ac:dyDescent="0.25">
      <c r="A220">
        <v>219</v>
      </c>
      <c r="B220">
        <v>218</v>
      </c>
      <c r="C220" t="s">
        <v>16</v>
      </c>
      <c r="D220" t="s">
        <v>128</v>
      </c>
      <c r="E220" t="s">
        <v>107</v>
      </c>
      <c r="F220" t="s">
        <v>19</v>
      </c>
      <c r="G220" t="s">
        <v>26</v>
      </c>
      <c r="H220" t="s">
        <v>21</v>
      </c>
      <c r="I220" t="s">
        <v>132</v>
      </c>
      <c r="J220" t="s">
        <v>23</v>
      </c>
      <c r="K220">
        <v>691</v>
      </c>
      <c r="L220" s="4">
        <v>9.3699396000000004</v>
      </c>
      <c r="M220" s="4">
        <v>86.436436088702337</v>
      </c>
      <c r="N220" s="4">
        <v>-22.066540580485754</v>
      </c>
      <c r="O220" s="1" t="str">
        <f>HYPERLINK(".\sm_car_250601_1258\sm_car_250601_1258_219_Ca218TrN_MaFSH_ode23t_1.png","figure")</f>
        <v>figure</v>
      </c>
      <c r="P220" t="s">
        <v>15</v>
      </c>
      <c r="V220">
        <f>K220-'2022a_250601_0524'!K220</f>
        <v>-48</v>
      </c>
      <c r="W220" s="11">
        <f>V220/'2022a_250601_0524'!K220</f>
        <v>-6.4952638700947224E-2</v>
      </c>
      <c r="X220">
        <f>L220-'2022a_250601_0524'!L220</f>
        <v>0.46206620000000065</v>
      </c>
      <c r="Y220" s="11">
        <f>X220/'2022a_250601_0524'!L220</f>
        <v>5.1871662208401018E-2</v>
      </c>
    </row>
    <row r="221" spans="1:25" x14ac:dyDescent="0.25">
      <c r="A221">
        <v>220</v>
      </c>
      <c r="B221">
        <v>218</v>
      </c>
      <c r="C221" t="s">
        <v>16</v>
      </c>
      <c r="D221" t="s">
        <v>128</v>
      </c>
      <c r="E221" t="s">
        <v>107</v>
      </c>
      <c r="F221" t="s">
        <v>19</v>
      </c>
      <c r="G221" t="s">
        <v>26</v>
      </c>
      <c r="H221" t="s">
        <v>21</v>
      </c>
      <c r="I221" t="s">
        <v>133</v>
      </c>
      <c r="J221" t="s">
        <v>23</v>
      </c>
      <c r="K221">
        <v>520</v>
      </c>
      <c r="L221" s="4">
        <v>6.7267283000000004</v>
      </c>
      <c r="M221" s="4">
        <v>121.23717139790264</v>
      </c>
      <c r="N221" s="4">
        <v>-8.4261658550974907</v>
      </c>
      <c r="O221" s="1" t="str">
        <f>HYPERLINK(".\sm_car_250601_1258\sm_car_250601_1258_220_Ca218TrN_MaSWD_ode23t_1.png","figure")</f>
        <v>figure</v>
      </c>
      <c r="P221" t="s">
        <v>15</v>
      </c>
      <c r="V221">
        <f>K221-'2022a_250601_0524'!K221</f>
        <v>-34</v>
      </c>
      <c r="W221" s="11">
        <f>V221/'2022a_250601_0524'!K221</f>
        <v>-6.1371841155234655E-2</v>
      </c>
      <c r="X221">
        <f>L221-'2022a_250601_0524'!L221</f>
        <v>0.40925120000000081</v>
      </c>
      <c r="Y221" s="11">
        <f>X221/'2022a_250601_0524'!L221</f>
        <v>6.4780796751918709E-2</v>
      </c>
    </row>
    <row r="222" spans="1:25" x14ac:dyDescent="0.25">
      <c r="A222">
        <v>221</v>
      </c>
      <c r="B222">
        <v>218</v>
      </c>
      <c r="C222" t="s">
        <v>16</v>
      </c>
      <c r="D222" t="s">
        <v>128</v>
      </c>
      <c r="E222" t="s">
        <v>107</v>
      </c>
      <c r="F222" t="s">
        <v>19</v>
      </c>
      <c r="G222" t="s">
        <v>26</v>
      </c>
      <c r="H222" t="s">
        <v>21</v>
      </c>
      <c r="I222" t="s">
        <v>134</v>
      </c>
      <c r="J222" t="s">
        <v>23</v>
      </c>
      <c r="K222">
        <v>448</v>
      </c>
      <c r="L222" s="4">
        <v>5.4884773999999998</v>
      </c>
      <c r="M222" s="4">
        <v>86.517325685627043</v>
      </c>
      <c r="N222" s="4">
        <v>29.144883660533889</v>
      </c>
      <c r="O222" s="1" t="str">
        <f>HYPERLINK(".\sm_car_250601_1258\sm_car_250601_1258_221_Ca218TrN_MaRST_ode23t_1.png","figure")</f>
        <v>figure</v>
      </c>
      <c r="P222" t="s">
        <v>15</v>
      </c>
      <c r="V222">
        <f>K222-'2022a_250601_0524'!K222</f>
        <v>-40</v>
      </c>
      <c r="W222" s="11">
        <f>V222/'2022a_250601_0524'!K222</f>
        <v>-8.1967213114754092E-2</v>
      </c>
      <c r="X222">
        <f>L222-'2022a_250601_0524'!L222</f>
        <v>0.15881889999999999</v>
      </c>
      <c r="Y222" s="11">
        <f>X222/'2022a_250601_0524'!L222</f>
        <v>2.9799076244753767E-2</v>
      </c>
    </row>
    <row r="223" spans="1:25" x14ac:dyDescent="0.25">
      <c r="A223">
        <v>222</v>
      </c>
      <c r="B223">
        <v>218</v>
      </c>
      <c r="C223" t="s">
        <v>16</v>
      </c>
      <c r="D223" t="s">
        <v>128</v>
      </c>
      <c r="E223" t="s">
        <v>107</v>
      </c>
      <c r="F223" t="s">
        <v>19</v>
      </c>
      <c r="G223" t="s">
        <v>26</v>
      </c>
      <c r="H223" t="s">
        <v>21</v>
      </c>
      <c r="I223" t="s">
        <v>135</v>
      </c>
      <c r="J223" t="s">
        <v>23</v>
      </c>
      <c r="K223">
        <v>831</v>
      </c>
      <c r="L223" s="4">
        <v>17.889313699999999</v>
      </c>
      <c r="M223" s="4">
        <v>233.18149083573121</v>
      </c>
      <c r="N223" s="4">
        <v>7.443970570789518E-5</v>
      </c>
      <c r="O223" s="1" t="str">
        <f>HYPERLINK(".\sm_car_250601_1258\sm_car_250601_1258_222_Ca218TrN_MaSLA_ode23t_1.png","figure")</f>
        <v>figure</v>
      </c>
      <c r="P223" t="s">
        <v>15</v>
      </c>
      <c r="V223">
        <f>K223-'2022a_250601_0524'!K223</f>
        <v>126</v>
      </c>
      <c r="W223" s="11">
        <f>V223/'2022a_250601_0524'!K223</f>
        <v>0.17872340425531916</v>
      </c>
      <c r="X223">
        <f>L223-'2022a_250601_0524'!L223</f>
        <v>0.98042309999999944</v>
      </c>
      <c r="Y223" s="11">
        <f>X223/'2022a_250601_0524'!L223</f>
        <v>5.7982698167081376E-2</v>
      </c>
    </row>
    <row r="224" spans="1:25" x14ac:dyDescent="0.25">
      <c r="A224">
        <v>223</v>
      </c>
      <c r="B224">
        <v>156</v>
      </c>
      <c r="C224" t="s">
        <v>45</v>
      </c>
      <c r="D224" t="s">
        <v>17</v>
      </c>
      <c r="E224" t="s">
        <v>18</v>
      </c>
      <c r="F224" t="s">
        <v>19</v>
      </c>
      <c r="G224" t="s">
        <v>38</v>
      </c>
      <c r="H224" t="s">
        <v>21</v>
      </c>
      <c r="I224" t="s">
        <v>54</v>
      </c>
      <c r="J224" t="s">
        <v>23</v>
      </c>
      <c r="K224">
        <v>26318</v>
      </c>
      <c r="L224" s="4">
        <v>395.89573410000003</v>
      </c>
      <c r="M224" s="4">
        <v>19.414066437447758</v>
      </c>
      <c r="N224" s="4">
        <v>2.7139079070805141</v>
      </c>
      <c r="O224" s="1" t="str">
        <f>HYPERLINK(".\sm_car_250601_1258\sm_car_250601_1258_223_Ca156TrN_MaIPA_ode23t.png","figure")</f>
        <v>figure</v>
      </c>
      <c r="P224" t="s">
        <v>15</v>
      </c>
      <c r="V224">
        <f>K224-'2022a_250601_0524'!K224</f>
        <v>0</v>
      </c>
      <c r="W224" s="11">
        <f>V224/'2022a_250601_0524'!K224</f>
        <v>0</v>
      </c>
      <c r="X224">
        <f>L224-'2022a_250601_0524'!L224</f>
        <v>-6.3255242999999837</v>
      </c>
      <c r="Y224" s="11">
        <f>X224/'2022a_250601_0524'!L224</f>
        <v>-1.5726479314301663E-2</v>
      </c>
    </row>
    <row r="225" spans="1:25" x14ac:dyDescent="0.25">
      <c r="A225">
        <v>224</v>
      </c>
      <c r="B225">
        <v>130</v>
      </c>
      <c r="C225" t="s">
        <v>16</v>
      </c>
      <c r="D225" t="s">
        <v>17</v>
      </c>
      <c r="E225" t="s">
        <v>18</v>
      </c>
      <c r="F225" t="s">
        <v>19</v>
      </c>
      <c r="G225" t="s">
        <v>38</v>
      </c>
      <c r="H225" t="s">
        <v>21</v>
      </c>
      <c r="I225" t="s">
        <v>54</v>
      </c>
      <c r="J225" t="s">
        <v>23</v>
      </c>
      <c r="K225">
        <v>18379</v>
      </c>
      <c r="L225" s="4">
        <v>284.35124430000002</v>
      </c>
      <c r="M225" s="4">
        <v>16.36945245711226</v>
      </c>
      <c r="N225" s="4">
        <v>0.56684424046172122</v>
      </c>
      <c r="O225" s="1" t="str">
        <f>HYPERLINK(".\sm_car_250601_1258\sm_car_250601_1258_224_Ca130TrN_MaIPA_ode23t.png","figure")</f>
        <v>figure</v>
      </c>
      <c r="P225" t="s">
        <v>15</v>
      </c>
      <c r="V225">
        <f>K225-'2022a_250601_0524'!K225</f>
        <v>0</v>
      </c>
      <c r="W225" s="11">
        <f>V225/'2022a_250601_0524'!K225</f>
        <v>0</v>
      </c>
      <c r="X225">
        <f>L225-'2022a_250601_0524'!L225</f>
        <v>8.1732872000000043</v>
      </c>
      <c r="Y225" s="11">
        <f>X225/'2022a_250601_0524'!L225</f>
        <v>2.9594277855566061E-2</v>
      </c>
    </row>
    <row r="226" spans="1:25" x14ac:dyDescent="0.25">
      <c r="A226">
        <v>225</v>
      </c>
      <c r="B226">
        <v>171</v>
      </c>
      <c r="C226" t="s">
        <v>45</v>
      </c>
      <c r="D226" t="s">
        <v>17</v>
      </c>
      <c r="E226" t="s">
        <v>72</v>
      </c>
      <c r="F226" t="s">
        <v>19</v>
      </c>
      <c r="G226" t="s">
        <v>26</v>
      </c>
      <c r="H226" t="s">
        <v>21</v>
      </c>
      <c r="I226" t="s">
        <v>73</v>
      </c>
      <c r="J226" t="s">
        <v>23</v>
      </c>
      <c r="K226">
        <v>1370</v>
      </c>
      <c r="L226" s="4">
        <v>23.371376000000001</v>
      </c>
      <c r="M226" s="4">
        <v>338.70299408615864</v>
      </c>
      <c r="N226" s="4">
        <v>0.69507929594247353</v>
      </c>
      <c r="O226" s="1" t="str">
        <f>HYPERLINK(".\sm_car_250601_1258\sm_car_250601_1258_225_Ca171TrN_MaRDP_ode23t_1.png","figure")</f>
        <v>figure</v>
      </c>
      <c r="P226" t="s">
        <v>15</v>
      </c>
      <c r="V226">
        <f>K226-'2022a_250601_0524'!K226</f>
        <v>0</v>
      </c>
      <c r="W226" s="11">
        <f>V226/'2022a_250601_0524'!K226</f>
        <v>0</v>
      </c>
      <c r="X226">
        <f>L226-'2022a_250601_0524'!L226</f>
        <v>-2.6749871999999968</v>
      </c>
      <c r="Y226" s="11">
        <f>X226/'2022a_250601_0524'!L226</f>
        <v>-0.10270098667747968</v>
      </c>
    </row>
    <row r="227" spans="1:25" x14ac:dyDescent="0.25">
      <c r="A227">
        <v>226</v>
      </c>
      <c r="B227">
        <v>172</v>
      </c>
      <c r="C227" t="s">
        <v>46</v>
      </c>
      <c r="D227" t="s">
        <v>17</v>
      </c>
      <c r="E227" t="s">
        <v>72</v>
      </c>
      <c r="F227" t="s">
        <v>19</v>
      </c>
      <c r="G227" t="s">
        <v>26</v>
      </c>
      <c r="H227" t="s">
        <v>21</v>
      </c>
      <c r="I227" t="s">
        <v>73</v>
      </c>
      <c r="J227" t="s">
        <v>23</v>
      </c>
      <c r="K227">
        <v>1239</v>
      </c>
      <c r="L227" s="4">
        <v>12.7603016</v>
      </c>
      <c r="M227" s="4">
        <v>137.31324907911886</v>
      </c>
      <c r="N227" s="4">
        <v>3.6867395266246723E-2</v>
      </c>
      <c r="O227" s="1" t="str">
        <f>HYPERLINK(".\sm_car_250601_1258\sm_car_250601_1258_226_Ca172TrN_MaRDP_ode23t_1.png","figure")</f>
        <v>figure</v>
      </c>
      <c r="P227" t="s">
        <v>15</v>
      </c>
      <c r="V227">
        <f>K227-'2022a_250601_0524'!K227</f>
        <v>0</v>
      </c>
      <c r="W227" s="11">
        <f>V227/'2022a_250601_0524'!K227</f>
        <v>0</v>
      </c>
      <c r="X227">
        <f>L227-'2022a_250601_0524'!L227</f>
        <v>0.7379238000000008</v>
      </c>
      <c r="Y227" s="11">
        <f>X227/'2022a_250601_0524'!L227</f>
        <v>6.137918906524472E-2</v>
      </c>
    </row>
    <row r="228" spans="1:25" x14ac:dyDescent="0.25">
      <c r="A228">
        <v>227</v>
      </c>
      <c r="B228">
        <v>139</v>
      </c>
      <c r="C228" t="s">
        <v>45</v>
      </c>
      <c r="D228" t="s">
        <v>17</v>
      </c>
      <c r="E228" t="s">
        <v>18</v>
      </c>
      <c r="F228" t="s">
        <v>19</v>
      </c>
      <c r="G228" t="s">
        <v>26</v>
      </c>
      <c r="H228" t="s">
        <v>21</v>
      </c>
      <c r="I228" t="s">
        <v>74</v>
      </c>
      <c r="J228" t="s">
        <v>23</v>
      </c>
      <c r="K228">
        <v>1437</v>
      </c>
      <c r="L228" s="4">
        <v>18.809742199999999</v>
      </c>
      <c r="M228" s="4">
        <v>364.59408165534882</v>
      </c>
      <c r="N228" s="4">
        <v>0.74703279937509426</v>
      </c>
      <c r="O228" s="1" t="str">
        <f>HYPERLINK(".\sm_car_250601_1258\sm_car_250601_1258_227_Ca139TrN_MaZPL_ode23t_1.png","figure")</f>
        <v>figure</v>
      </c>
      <c r="P228" t="s">
        <v>15</v>
      </c>
      <c r="V228">
        <f>K228-'2022a_250601_0524'!K228</f>
        <v>0</v>
      </c>
      <c r="W228" s="11">
        <f>V228/'2022a_250601_0524'!K228</f>
        <v>0</v>
      </c>
      <c r="X228">
        <f>L228-'2022a_250601_0524'!L228</f>
        <v>-0.28117230000000148</v>
      </c>
      <c r="Y228" s="11">
        <f>X228/'2022a_250601_0524'!L228</f>
        <v>-1.4728068684190141E-2</v>
      </c>
    </row>
    <row r="229" spans="1:25" x14ac:dyDescent="0.25">
      <c r="A229">
        <v>228</v>
      </c>
      <c r="B229">
        <v>165</v>
      </c>
      <c r="C229" t="s">
        <v>45</v>
      </c>
      <c r="D229" t="s">
        <v>35</v>
      </c>
      <c r="E229" t="s">
        <v>49</v>
      </c>
      <c r="F229" t="s">
        <v>19</v>
      </c>
      <c r="G229" t="s">
        <v>26</v>
      </c>
      <c r="H229" t="s">
        <v>21</v>
      </c>
      <c r="I229" t="s">
        <v>74</v>
      </c>
      <c r="J229" t="s">
        <v>23</v>
      </c>
      <c r="K229">
        <v>2085</v>
      </c>
      <c r="L229" s="4">
        <v>10.6898462</v>
      </c>
      <c r="M229" s="4">
        <v>397.61468796591959</v>
      </c>
      <c r="N229" s="4">
        <v>0.34020889873195742</v>
      </c>
      <c r="O229" s="1" t="str">
        <f>HYPERLINK(".\sm_car_250601_1258\sm_car_250601_1258_228_Ca165TrN_MaZPL_ode23t_1.png","figure")</f>
        <v>figure</v>
      </c>
      <c r="P229" t="s">
        <v>15</v>
      </c>
      <c r="V229">
        <f>K229-'2022a_250601_0524'!K229</f>
        <v>-24</v>
      </c>
      <c r="W229" s="11">
        <f>V229/'2022a_250601_0524'!K229</f>
        <v>-1.1379800853485065E-2</v>
      </c>
      <c r="X229">
        <f>L229-'2022a_250601_0524'!L229</f>
        <v>-0.22914130000000021</v>
      </c>
      <c r="Y229" s="11">
        <f>X229/'2022a_250601_0524'!L229</f>
        <v>-2.0985581309622362E-2</v>
      </c>
    </row>
    <row r="230" spans="1:25" x14ac:dyDescent="0.25">
      <c r="A230">
        <v>229</v>
      </c>
      <c r="B230">
        <v>171</v>
      </c>
      <c r="C230" t="s">
        <v>45</v>
      </c>
      <c r="D230" t="s">
        <v>17</v>
      </c>
      <c r="E230" t="s">
        <v>72</v>
      </c>
      <c r="F230" t="s">
        <v>19</v>
      </c>
      <c r="G230" t="s">
        <v>26</v>
      </c>
      <c r="H230" t="s">
        <v>21</v>
      </c>
      <c r="I230" t="s">
        <v>74</v>
      </c>
      <c r="J230" t="s">
        <v>23</v>
      </c>
      <c r="K230">
        <v>1477</v>
      </c>
      <c r="L230" s="4">
        <v>25.259048799999999</v>
      </c>
      <c r="M230" s="4">
        <v>364.26821920110206</v>
      </c>
      <c r="N230" s="4">
        <v>0.76658452668842181</v>
      </c>
      <c r="O230" s="1" t="str">
        <f>HYPERLINK(".\sm_car_250601_1258\sm_car_250601_1258_229_Ca171TrN_MaZPL_ode23t_1.png","figure")</f>
        <v>figure</v>
      </c>
      <c r="P230" t="s">
        <v>15</v>
      </c>
      <c r="V230">
        <f>K230-'2022a_250601_0524'!K230</f>
        <v>0</v>
      </c>
      <c r="W230" s="11">
        <f>V230/'2022a_250601_0524'!K230</f>
        <v>0</v>
      </c>
      <c r="X230">
        <f>L230-'2022a_250601_0524'!L230</f>
        <v>1.2003766999999996</v>
      </c>
      <c r="Y230" s="11">
        <f>X230/'2022a_250601_0524'!L230</f>
        <v>4.9893722106134013E-2</v>
      </c>
    </row>
    <row r="231" spans="1:25" x14ac:dyDescent="0.25">
      <c r="A231">
        <v>230</v>
      </c>
      <c r="B231">
        <v>165</v>
      </c>
      <c r="C231" t="s">
        <v>45</v>
      </c>
      <c r="D231" t="s">
        <v>35</v>
      </c>
      <c r="E231" t="s">
        <v>49</v>
      </c>
      <c r="F231" t="s">
        <v>19</v>
      </c>
      <c r="G231" t="s">
        <v>26</v>
      </c>
      <c r="H231" t="s">
        <v>21</v>
      </c>
      <c r="I231" t="s">
        <v>75</v>
      </c>
      <c r="J231" t="s">
        <v>23</v>
      </c>
      <c r="K231">
        <v>508</v>
      </c>
      <c r="L231" s="4">
        <v>5.2652896</v>
      </c>
      <c r="M231" s="4">
        <v>378.2755360602157</v>
      </c>
      <c r="N231" s="4">
        <v>0.32748422660053694</v>
      </c>
      <c r="O231" s="1" t="str">
        <f>HYPERLINK(".\sm_car_250601_1258\sm_car_250601_1258_230_Ca165TrN_MaCPL_ode23t_1.png","figure")</f>
        <v>figure</v>
      </c>
      <c r="P231" t="s">
        <v>15</v>
      </c>
      <c r="V231">
        <f>K231-'2022a_250601_0524'!K231</f>
        <v>5</v>
      </c>
      <c r="W231" s="11">
        <f>V231/'2022a_250601_0524'!K231</f>
        <v>9.9403578528827041E-3</v>
      </c>
      <c r="X231">
        <f>L231-'2022a_250601_0524'!L231</f>
        <v>0.28403650000000003</v>
      </c>
      <c r="Y231" s="11">
        <f>X231/'2022a_250601_0524'!L231</f>
        <v>5.7021093748478677E-2</v>
      </c>
    </row>
    <row r="232" spans="1:25" x14ac:dyDescent="0.25">
      <c r="A232">
        <v>231</v>
      </c>
      <c r="B232">
        <v>170</v>
      </c>
      <c r="C232" t="s">
        <v>45</v>
      </c>
      <c r="D232" t="s">
        <v>35</v>
      </c>
      <c r="E232" t="s">
        <v>49</v>
      </c>
      <c r="F232" t="s">
        <v>19</v>
      </c>
      <c r="G232" t="s">
        <v>20</v>
      </c>
      <c r="H232" t="s">
        <v>21</v>
      </c>
      <c r="I232" t="s">
        <v>75</v>
      </c>
      <c r="J232" t="s">
        <v>23</v>
      </c>
      <c r="K232">
        <v>470</v>
      </c>
      <c r="L232" s="4">
        <v>3.5667996</v>
      </c>
      <c r="M232" s="4">
        <v>381.42969780778117</v>
      </c>
      <c r="N232" s="4">
        <v>0.33424114293474594</v>
      </c>
      <c r="O232" s="1" t="str">
        <f>HYPERLINK(".\sm_car_250601_1258\sm_car_250601_1258_231_Ca170TrN_MaCPL_ode23t_1.png","figure")</f>
        <v>figure</v>
      </c>
      <c r="P232" t="s">
        <v>15</v>
      </c>
      <c r="V232">
        <f>K232-'2022a_250601_0524'!K232</f>
        <v>0</v>
      </c>
      <c r="W232" s="11">
        <f>V232/'2022a_250601_0524'!K232</f>
        <v>0</v>
      </c>
      <c r="X232">
        <f>L232-'2022a_250601_0524'!L232</f>
        <v>0.23477009999999998</v>
      </c>
      <c r="Y232" s="11">
        <f>X232/'2022a_250601_0524'!L232</f>
        <v>7.0458589877430547E-2</v>
      </c>
    </row>
    <row r="233" spans="1:25" x14ac:dyDescent="0.25">
      <c r="A233">
        <v>232</v>
      </c>
      <c r="B233">
        <v>171</v>
      </c>
      <c r="C233" t="s">
        <v>45</v>
      </c>
      <c r="D233" t="s">
        <v>17</v>
      </c>
      <c r="E233" t="s">
        <v>72</v>
      </c>
      <c r="F233" t="s">
        <v>19</v>
      </c>
      <c r="G233" t="s">
        <v>26</v>
      </c>
      <c r="H233" t="s">
        <v>21</v>
      </c>
      <c r="I233" t="s">
        <v>76</v>
      </c>
      <c r="J233" t="s">
        <v>23</v>
      </c>
      <c r="K233">
        <v>2888</v>
      </c>
      <c r="L233" s="4">
        <v>49.962435300000003</v>
      </c>
      <c r="M233" s="4">
        <v>167.9824964652183</v>
      </c>
      <c r="N233" s="4">
        <v>2.6883589446533739E-4</v>
      </c>
      <c r="O233" s="1" t="str">
        <f>HYPERLINK(".\sm_car_250601_1258\sm_car_250601_1258_232_Ca171TrN_MaRDR_ode23t_1.png","figure")</f>
        <v>figure</v>
      </c>
      <c r="P233" t="s">
        <v>15</v>
      </c>
      <c r="V233">
        <f>K233-'2022a_250601_0524'!K233</f>
        <v>402</v>
      </c>
      <c r="W233" s="11">
        <f>V233/'2022a_250601_0524'!K233</f>
        <v>0.16170555108608206</v>
      </c>
      <c r="X233">
        <f>L233-'2022a_250601_0524'!L233</f>
        <v>7.7845523000000014</v>
      </c>
      <c r="Y233" s="11">
        <f>X233/'2022a_250601_0524'!L233</f>
        <v>0.18456479430226502</v>
      </c>
    </row>
    <row r="234" spans="1:25" x14ac:dyDescent="0.25">
      <c r="A234">
        <v>233</v>
      </c>
      <c r="B234">
        <v>172</v>
      </c>
      <c r="C234" t="s">
        <v>46</v>
      </c>
      <c r="D234" t="s">
        <v>17</v>
      </c>
      <c r="E234" t="s">
        <v>72</v>
      </c>
      <c r="F234" t="s">
        <v>19</v>
      </c>
      <c r="G234" t="s">
        <v>26</v>
      </c>
      <c r="H234" t="s">
        <v>21</v>
      </c>
      <c r="I234" t="s">
        <v>76</v>
      </c>
      <c r="J234" t="s">
        <v>23</v>
      </c>
      <c r="K234">
        <v>3218</v>
      </c>
      <c r="L234" s="4">
        <v>32.608824800000001</v>
      </c>
      <c r="M234" s="4">
        <v>160.40860721952239</v>
      </c>
      <c r="N234" s="4">
        <v>8.9418919384625807E-5</v>
      </c>
      <c r="O234" s="1" t="str">
        <f>HYPERLINK(".\sm_car_250601_1258\sm_car_250601_1258_233_Ca172TrN_MaRDR_ode23t_1.png","figure")</f>
        <v>figure</v>
      </c>
      <c r="P234" t="s">
        <v>15</v>
      </c>
      <c r="V234">
        <f>K234-'2022a_250601_0524'!K234</f>
        <v>282</v>
      </c>
      <c r="W234" s="11">
        <f>V234/'2022a_250601_0524'!K234</f>
        <v>9.6049046321525888E-2</v>
      </c>
      <c r="X234">
        <f>L234-'2022a_250601_0524'!L234</f>
        <v>4.8502238999999996</v>
      </c>
      <c r="Y234" s="11">
        <f>X234/'2022a_250601_0524'!L234</f>
        <v>0.17472868742458844</v>
      </c>
    </row>
    <row r="235" spans="1:25" x14ac:dyDescent="0.25">
      <c r="A235">
        <v>234</v>
      </c>
      <c r="B235">
        <v>139</v>
      </c>
      <c r="C235" t="s">
        <v>45</v>
      </c>
      <c r="D235" t="s">
        <v>17</v>
      </c>
      <c r="E235" t="s">
        <v>18</v>
      </c>
      <c r="F235" t="s">
        <v>19</v>
      </c>
      <c r="G235" t="s">
        <v>26</v>
      </c>
      <c r="H235" t="s">
        <v>21</v>
      </c>
      <c r="I235" t="s">
        <v>77</v>
      </c>
      <c r="J235" t="s">
        <v>23</v>
      </c>
      <c r="K235">
        <v>3007</v>
      </c>
      <c r="L235" s="4">
        <v>38.9724401</v>
      </c>
      <c r="M235" s="4">
        <v>192.17456535171365</v>
      </c>
      <c r="N235" s="4">
        <v>2.739205995160293E-4</v>
      </c>
      <c r="O235" s="1" t="str">
        <f>HYPERLINK(".\sm_car_250601_1258\sm_car_250601_1258_234_Ca139TrN_MaZRR_ode23t_1.png","figure")</f>
        <v>figure</v>
      </c>
      <c r="P235" t="s">
        <v>15</v>
      </c>
      <c r="V235">
        <f>K235-'2022a_250601_0524'!K235</f>
        <v>-34</v>
      </c>
      <c r="W235" s="11">
        <f>V235/'2022a_250601_0524'!K235</f>
        <v>-1.1180532719500164E-2</v>
      </c>
      <c r="X235">
        <f>L235-'2022a_250601_0524'!L235</f>
        <v>2.5209350000000015</v>
      </c>
      <c r="Y235" s="11">
        <f>X235/'2022a_250601_0524'!L235</f>
        <v>6.9158598337274182E-2</v>
      </c>
    </row>
    <row r="236" spans="1:25" x14ac:dyDescent="0.25">
      <c r="A236">
        <v>235</v>
      </c>
      <c r="B236">
        <v>165</v>
      </c>
      <c r="C236" t="s">
        <v>45</v>
      </c>
      <c r="D236" t="s">
        <v>35</v>
      </c>
      <c r="E236" t="s">
        <v>49</v>
      </c>
      <c r="F236" t="s">
        <v>19</v>
      </c>
      <c r="G236" t="s">
        <v>26</v>
      </c>
      <c r="H236" t="s">
        <v>21</v>
      </c>
      <c r="I236" t="s">
        <v>77</v>
      </c>
      <c r="J236" t="s">
        <v>23</v>
      </c>
      <c r="K236">
        <v>3567</v>
      </c>
      <c r="L236" s="4">
        <v>23.047480799999999</v>
      </c>
      <c r="M236" s="4">
        <v>192.60013823269179</v>
      </c>
      <c r="N236" s="4">
        <v>2.22718859656735E-5</v>
      </c>
      <c r="O236" s="1" t="str">
        <f>HYPERLINK(".\sm_car_250601_1258\sm_car_250601_1258_235_Ca165TrN_MaZRR_ode23t_1.png","figure")</f>
        <v>figure</v>
      </c>
      <c r="P236" t="s">
        <v>15</v>
      </c>
      <c r="V236">
        <f>K236-'2022a_250601_0524'!K236</f>
        <v>-12</v>
      </c>
      <c r="W236" s="11">
        <f>V236/'2022a_250601_0524'!K236</f>
        <v>-3.3528918692372171E-3</v>
      </c>
      <c r="X236">
        <f>L236-'2022a_250601_0524'!L236</f>
        <v>0.37184269999999842</v>
      </c>
      <c r="Y236" s="11">
        <f>X236/'2022a_250601_0524'!L236</f>
        <v>1.6398334563294977E-2</v>
      </c>
    </row>
    <row r="237" spans="1:25" x14ac:dyDescent="0.25">
      <c r="A237">
        <v>236</v>
      </c>
      <c r="B237">
        <v>171</v>
      </c>
      <c r="C237" t="s">
        <v>45</v>
      </c>
      <c r="D237" t="s">
        <v>17</v>
      </c>
      <c r="E237" t="s">
        <v>72</v>
      </c>
      <c r="F237" t="s">
        <v>19</v>
      </c>
      <c r="G237" t="s">
        <v>26</v>
      </c>
      <c r="H237" t="s">
        <v>21</v>
      </c>
      <c r="I237" t="s">
        <v>77</v>
      </c>
      <c r="J237" t="s">
        <v>23</v>
      </c>
      <c r="K237">
        <v>2994</v>
      </c>
      <c r="L237" s="4">
        <v>56.872892299999997</v>
      </c>
      <c r="M237" s="4">
        <v>192.17725006102171</v>
      </c>
      <c r="N237" s="4">
        <v>2.6141192606646203E-4</v>
      </c>
      <c r="O237" s="1" t="str">
        <f>HYPERLINK(".\sm_car_250601_1258\sm_car_250601_1258_236_Ca171TrN_MaZRR_ode23t_1.png","figure")</f>
        <v>figure</v>
      </c>
      <c r="P237" t="s">
        <v>15</v>
      </c>
      <c r="V237">
        <f>K237-'2022a_250601_0524'!K237</f>
        <v>-5</v>
      </c>
      <c r="W237" s="11">
        <f>V237/'2022a_250601_0524'!K237</f>
        <v>-1.6672224074691564E-3</v>
      </c>
      <c r="X237">
        <f>L237-'2022a_250601_0524'!L237</f>
        <v>3.9212631999999985</v>
      </c>
      <c r="Y237" s="11">
        <f>X237/'2022a_250601_0524'!L237</f>
        <v>7.4053683836518613E-2</v>
      </c>
    </row>
    <row r="238" spans="1:25" x14ac:dyDescent="0.25">
      <c r="A238">
        <v>237</v>
      </c>
      <c r="B238">
        <v>170</v>
      </c>
      <c r="C238" t="s">
        <v>45</v>
      </c>
      <c r="D238" t="s">
        <v>35</v>
      </c>
      <c r="E238" t="s">
        <v>49</v>
      </c>
      <c r="F238" t="s">
        <v>19</v>
      </c>
      <c r="G238" t="s">
        <v>20</v>
      </c>
      <c r="H238" t="s">
        <v>21</v>
      </c>
      <c r="I238" t="s">
        <v>78</v>
      </c>
      <c r="J238" t="s">
        <v>23</v>
      </c>
      <c r="K238">
        <v>5267</v>
      </c>
      <c r="L238" s="4">
        <v>32.226588399999997</v>
      </c>
      <c r="M238" s="4">
        <v>-5.9856750124742684</v>
      </c>
      <c r="N238" s="4">
        <v>-0.14754838068631443</v>
      </c>
      <c r="O238" s="1" t="str">
        <f>HYPERLINK(".\sm_car_250601_1258\sm_car_250601_1258_237_Ca170TrN_MaCMP_ode23t_1.png","figure")</f>
        <v>figure</v>
      </c>
      <c r="P238" t="s">
        <v>15</v>
      </c>
      <c r="V238">
        <f>K238-'2022a_250601_0524'!K238</f>
        <v>157</v>
      </c>
      <c r="W238" s="11">
        <f>V238/'2022a_250601_0524'!K238</f>
        <v>3.0724070450097847E-2</v>
      </c>
      <c r="X238">
        <f>L238-'2022a_250601_0524'!L238</f>
        <v>13.237832499999996</v>
      </c>
      <c r="Y238" s="11">
        <f>X238/'2022a_250601_0524'!L238</f>
        <v>0.69714059044805543</v>
      </c>
    </row>
    <row r="239" spans="1:25" x14ac:dyDescent="0.25">
      <c r="A239">
        <v>238</v>
      </c>
      <c r="B239">
        <v>170</v>
      </c>
      <c r="C239" t="s">
        <v>45</v>
      </c>
      <c r="D239" t="s">
        <v>35</v>
      </c>
      <c r="E239" t="s">
        <v>49</v>
      </c>
      <c r="F239" t="s">
        <v>19</v>
      </c>
      <c r="G239" t="s">
        <v>20</v>
      </c>
      <c r="H239" t="s">
        <v>21</v>
      </c>
      <c r="I239" t="s">
        <v>79</v>
      </c>
      <c r="J239" t="s">
        <v>23</v>
      </c>
      <c r="K239">
        <v>3950</v>
      </c>
      <c r="L239" s="4">
        <v>41.886030499999997</v>
      </c>
      <c r="M239" s="4">
        <v>-107.00033766101618</v>
      </c>
      <c r="N239" s="4">
        <v>0.6110690610347328</v>
      </c>
      <c r="O239" s="1" t="str">
        <f>HYPERLINK(".\sm_car_250601_1258\sm_car_250601_1258_238_Ca170TrN_MaCMF_ode23t_1.png","figure")</f>
        <v>figure</v>
      </c>
      <c r="P239" t="s">
        <v>15</v>
      </c>
      <c r="V239">
        <f>K239-'2022a_250601_0524'!K239</f>
        <v>2127</v>
      </c>
      <c r="W239" s="11">
        <f>V239/'2022a_250601_0524'!K239</f>
        <v>1.1667580910586945</v>
      </c>
      <c r="X239">
        <f>L239-'2022a_250601_0524'!L239</f>
        <v>29.851433899999996</v>
      </c>
      <c r="Y239" s="11">
        <f>X239/'2022a_250601_0524'!L239</f>
        <v>2.4804681778864111</v>
      </c>
    </row>
    <row r="240" spans="1:25" x14ac:dyDescent="0.25">
      <c r="A240">
        <v>239</v>
      </c>
      <c r="B240">
        <v>170</v>
      </c>
      <c r="C240" t="s">
        <v>45</v>
      </c>
      <c r="D240" t="s">
        <v>35</v>
      </c>
      <c r="E240" t="s">
        <v>49</v>
      </c>
      <c r="F240" t="s">
        <v>19</v>
      </c>
      <c r="G240" t="s">
        <v>20</v>
      </c>
      <c r="H240" t="s">
        <v>21</v>
      </c>
      <c r="I240" t="s">
        <v>80</v>
      </c>
      <c r="J240" t="s">
        <v>23</v>
      </c>
      <c r="K240">
        <v>5380</v>
      </c>
      <c r="L240" s="4">
        <v>58.992903800000001</v>
      </c>
      <c r="M240" s="4">
        <v>-271.80404798169189</v>
      </c>
      <c r="N240" s="4">
        <v>18.638886943666687</v>
      </c>
      <c r="O240" s="1" t="str">
        <f>HYPERLINK(".\sm_car_250601_1258\sm_car_250601_1258_239_Ca170TrN_MaMPO_ode23t_1.png","figure")</f>
        <v>figure</v>
      </c>
      <c r="P240" t="s">
        <v>15</v>
      </c>
      <c r="V240">
        <f>K240-'2022a_250601_0524'!K240</f>
        <v>782</v>
      </c>
      <c r="W240" s="11">
        <f>V240/'2022a_250601_0524'!K240</f>
        <v>0.17007394519356242</v>
      </c>
      <c r="X240">
        <f>L240-'2022a_250601_0524'!L240</f>
        <v>20.222422700000003</v>
      </c>
      <c r="Y240" s="11">
        <f>X240/'2022a_250601_0524'!L240</f>
        <v>0.52159328763139867</v>
      </c>
    </row>
    <row r="241" spans="1:25" x14ac:dyDescent="0.25">
      <c r="A241">
        <v>240</v>
      </c>
      <c r="B241">
        <v>170</v>
      </c>
      <c r="C241" t="s">
        <v>45</v>
      </c>
      <c r="D241" t="s">
        <v>35</v>
      </c>
      <c r="E241" t="s">
        <v>49</v>
      </c>
      <c r="F241" t="s">
        <v>19</v>
      </c>
      <c r="G241" t="s">
        <v>20</v>
      </c>
      <c r="H241" t="s">
        <v>21</v>
      </c>
      <c r="I241" t="s">
        <v>81</v>
      </c>
      <c r="J241" t="s">
        <v>23</v>
      </c>
      <c r="K241">
        <v>1394</v>
      </c>
      <c r="L241" s="4">
        <v>16.331938099999999</v>
      </c>
      <c r="M241" s="4">
        <v>-13.280516830678536</v>
      </c>
      <c r="N241" s="4">
        <v>0.76130535851345371</v>
      </c>
      <c r="O241" s="1" t="str">
        <f>HYPERLINK(".\sm_car_250601_1258\sm_car_250601_1258_240_Ca170TrN_MaMCI_ode23t_1.png","figure")</f>
        <v>figure</v>
      </c>
      <c r="P241" t="s">
        <v>15</v>
      </c>
      <c r="V241">
        <f>K241-'2022a_250601_0524'!K241</f>
        <v>209</v>
      </c>
      <c r="W241" s="11">
        <f>V241/'2022a_250601_0524'!K241</f>
        <v>0.17637130801687764</v>
      </c>
      <c r="X241">
        <f>L241-'2022a_250601_0524'!L241</f>
        <v>4.878665299999998</v>
      </c>
      <c r="Y241" s="11">
        <f>X241/'2022a_250601_0524'!L241</f>
        <v>0.42596255107099151</v>
      </c>
    </row>
    <row r="242" spans="1:25" x14ac:dyDescent="0.25">
      <c r="A242">
        <v>241</v>
      </c>
      <c r="B242">
        <v>170</v>
      </c>
      <c r="C242" t="s">
        <v>45</v>
      </c>
      <c r="D242" t="s">
        <v>35</v>
      </c>
      <c r="E242" t="s">
        <v>49</v>
      </c>
      <c r="F242" t="s">
        <v>19</v>
      </c>
      <c r="G242" t="s">
        <v>20</v>
      </c>
      <c r="H242" t="s">
        <v>21</v>
      </c>
      <c r="I242" t="s">
        <v>110</v>
      </c>
      <c r="J242" t="s">
        <v>23</v>
      </c>
      <c r="K242">
        <v>6447</v>
      </c>
      <c r="L242" s="4">
        <v>93.418254000000005</v>
      </c>
      <c r="M242" s="4">
        <v>-5.8501630003531107</v>
      </c>
      <c r="N242" s="4">
        <v>-0.20604467851504887</v>
      </c>
      <c r="O242" s="1" t="str">
        <f>HYPERLINK(".\sm_car_250601_1258\sm_car_250601_1258_241_Ca170TrN_MaCHO_ode23t_1.png","figure")</f>
        <v>figure</v>
      </c>
      <c r="P242" t="s">
        <v>15</v>
      </c>
      <c r="V242">
        <f>K242-'2022a_250601_0524'!K242</f>
        <v>96</v>
      </c>
      <c r="W242" s="11">
        <f>V242/'2022a_250601_0524'!K242</f>
        <v>1.5115729806329713E-2</v>
      </c>
      <c r="X242">
        <f>L242-'2022a_250601_0524'!L242</f>
        <v>72.842127099999999</v>
      </c>
      <c r="Y242" s="11">
        <f>X242/'2022a_250601_0524'!L242</f>
        <v>3.5401282007062274</v>
      </c>
    </row>
    <row r="243" spans="1:25" x14ac:dyDescent="0.25">
      <c r="A243">
        <v>242</v>
      </c>
      <c r="B243">
        <v>170</v>
      </c>
      <c r="C243" t="s">
        <v>45</v>
      </c>
      <c r="D243" t="s">
        <v>35</v>
      </c>
      <c r="E243" t="s">
        <v>49</v>
      </c>
      <c r="F243" t="s">
        <v>19</v>
      </c>
      <c r="G243" t="s">
        <v>20</v>
      </c>
      <c r="H243" t="s">
        <v>21</v>
      </c>
      <c r="I243" t="s">
        <v>111</v>
      </c>
      <c r="J243" t="s">
        <v>23</v>
      </c>
      <c r="K243">
        <v>3567</v>
      </c>
      <c r="L243" s="4">
        <v>62.955197200000001</v>
      </c>
      <c r="M243" s="4">
        <v>-5.8659550064482993</v>
      </c>
      <c r="N243" s="4">
        <v>-2.0848580759958962E-2</v>
      </c>
      <c r="O243" s="1" t="str">
        <f>HYPERLINK(".\sm_car_250601_1258\sm_car_250601_1258_242_Ca170TrN_MaCHF_ode23t_1.png","figure")</f>
        <v>figure</v>
      </c>
      <c r="P243" t="s">
        <v>15</v>
      </c>
      <c r="V243">
        <f>K243-'2022a_250601_0524'!K243</f>
        <v>103</v>
      </c>
      <c r="W243" s="11">
        <f>V243/'2022a_250601_0524'!K243</f>
        <v>2.9734411085450347E-2</v>
      </c>
      <c r="X243">
        <f>L243-'2022a_250601_0524'!L243</f>
        <v>43.168610100000002</v>
      </c>
      <c r="Y243" s="11">
        <f>X243/'2022a_250601_0524'!L243</f>
        <v>2.181710766077491</v>
      </c>
    </row>
    <row r="244" spans="1:25" x14ac:dyDescent="0.25">
      <c r="A244">
        <v>243</v>
      </c>
      <c r="B244">
        <v>170</v>
      </c>
      <c r="C244" t="s">
        <v>45</v>
      </c>
      <c r="D244" t="s">
        <v>35</v>
      </c>
      <c r="E244" t="s">
        <v>49</v>
      </c>
      <c r="F244" t="s">
        <v>19</v>
      </c>
      <c r="G244" t="s">
        <v>20</v>
      </c>
      <c r="H244" t="s">
        <v>21</v>
      </c>
      <c r="I244" t="s">
        <v>82</v>
      </c>
      <c r="J244" t="s">
        <v>23</v>
      </c>
      <c r="K244">
        <v>6548</v>
      </c>
      <c r="L244" s="4">
        <v>49.638882899999999</v>
      </c>
      <c r="M244" s="4">
        <v>-499.74470502054578</v>
      </c>
      <c r="N244" s="4">
        <v>443.91396400409889</v>
      </c>
      <c r="O244" s="1" t="str">
        <f>HYPERLINK(".\sm_car_250601_1258\sm_car_250601_1258_243_Ca170TrN_MaCKY_ode23t_1.png","figure")</f>
        <v>figure</v>
      </c>
      <c r="P244" t="s">
        <v>15</v>
      </c>
      <c r="V244">
        <f>K244-'2022a_250601_0524'!K244</f>
        <v>-541</v>
      </c>
      <c r="W244" s="11">
        <f>V244/'2022a_250601_0524'!K244</f>
        <v>-7.6315418253632389E-2</v>
      </c>
      <c r="X244">
        <f>L244-'2022a_250601_0524'!L244</f>
        <v>18.101695499999998</v>
      </c>
      <c r="Y244" s="11">
        <f>X244/'2022a_250601_0524'!L244</f>
        <v>0.57397938726774345</v>
      </c>
    </row>
    <row r="245" spans="1:25" x14ac:dyDescent="0.25">
      <c r="A245">
        <v>244</v>
      </c>
      <c r="B245">
        <v>170</v>
      </c>
      <c r="C245" t="s">
        <v>45</v>
      </c>
      <c r="D245" t="s">
        <v>35</v>
      </c>
      <c r="E245" t="s">
        <v>49</v>
      </c>
      <c r="F245" t="s">
        <v>19</v>
      </c>
      <c r="G245" t="s">
        <v>20</v>
      </c>
      <c r="H245" t="s">
        <v>21</v>
      </c>
      <c r="I245" t="s">
        <v>83</v>
      </c>
      <c r="J245" t="s">
        <v>23</v>
      </c>
      <c r="K245">
        <v>2555</v>
      </c>
      <c r="L245" s="4">
        <v>34.614806199999997</v>
      </c>
      <c r="M245" s="4">
        <v>-495.45776379018696</v>
      </c>
      <c r="N245" s="4">
        <v>442.24932937420482</v>
      </c>
      <c r="O245" s="1" t="str">
        <f>HYPERLINK(".\sm_car_250601_1258\sm_car_250601_1258_244_Ca170TrN_MaCKF_ode23t_1.png","figure")</f>
        <v>figure</v>
      </c>
      <c r="P245" t="s">
        <v>15</v>
      </c>
      <c r="V245">
        <f>K245-'2022a_250601_0524'!K245</f>
        <v>402</v>
      </c>
      <c r="W245" s="11">
        <f>V245/'2022a_250601_0524'!K245</f>
        <v>0.18671620993961913</v>
      </c>
      <c r="X245">
        <f>L245-'2022a_250601_0524'!L245</f>
        <v>18.240771199999998</v>
      </c>
      <c r="Y245" s="11">
        <f>X245/'2022a_250601_0524'!L245</f>
        <v>1.1140058757661138</v>
      </c>
    </row>
    <row r="246" spans="1:25" x14ac:dyDescent="0.25">
      <c r="A246">
        <v>245</v>
      </c>
      <c r="B246">
        <v>170</v>
      </c>
      <c r="C246" t="s">
        <v>45</v>
      </c>
      <c r="D246" t="s">
        <v>35</v>
      </c>
      <c r="E246" t="s">
        <v>49</v>
      </c>
      <c r="F246" t="s">
        <v>19</v>
      </c>
      <c r="G246" t="s">
        <v>20</v>
      </c>
      <c r="H246" t="s">
        <v>21</v>
      </c>
      <c r="I246" t="s">
        <v>84</v>
      </c>
      <c r="J246" t="s">
        <v>23</v>
      </c>
      <c r="K246">
        <v>2693</v>
      </c>
      <c r="L246" s="4">
        <v>37.613407700000003</v>
      </c>
      <c r="M246" s="4">
        <v>174.81197310821705</v>
      </c>
      <c r="N246" s="4">
        <v>284.17118447338629</v>
      </c>
      <c r="O246" s="1" t="str">
        <f>HYPERLINK(".\sm_car_250601_1258\sm_car_250601_1258_245_Ca170TrN_MaCNN_ode23t_1.png","figure")</f>
        <v>figure</v>
      </c>
      <c r="P246" t="s">
        <v>15</v>
      </c>
      <c r="V246">
        <f>K246-'2022a_250601_0524'!K246</f>
        <v>-53</v>
      </c>
      <c r="W246" s="11">
        <f>V246/'2022a_250601_0524'!K246</f>
        <v>-1.930080116533139E-2</v>
      </c>
      <c r="X246">
        <f>L246-'2022a_250601_0524'!L246</f>
        <v>21.120974000000004</v>
      </c>
      <c r="Y246" s="11">
        <f>X246/'2022a_250601_0524'!L246</f>
        <v>1.2806462881218073</v>
      </c>
    </row>
    <row r="247" spans="1:25" x14ac:dyDescent="0.25">
      <c r="A247">
        <v>246</v>
      </c>
      <c r="B247">
        <v>170</v>
      </c>
      <c r="C247" t="s">
        <v>45</v>
      </c>
      <c r="D247" t="s">
        <v>35</v>
      </c>
      <c r="E247" t="s">
        <v>49</v>
      </c>
      <c r="F247" t="s">
        <v>19</v>
      </c>
      <c r="G247" t="s">
        <v>20</v>
      </c>
      <c r="H247" t="s">
        <v>21</v>
      </c>
      <c r="I247" t="s">
        <v>85</v>
      </c>
      <c r="J247" t="s">
        <v>23</v>
      </c>
      <c r="K247">
        <v>4264</v>
      </c>
      <c r="L247" s="4">
        <v>248.5111186</v>
      </c>
      <c r="M247" s="4">
        <v>3078.4758639962211</v>
      </c>
      <c r="N247" s="4">
        <v>-2985.3027729991559</v>
      </c>
      <c r="O247" s="1" t="str">
        <f>HYPERLINK(".\sm_car_250601_1258\sm_car_250601_1258_246_Ca170TrN_MaCNF_ode23t_1.png","figure")</f>
        <v>figure</v>
      </c>
      <c r="P247" t="s">
        <v>15</v>
      </c>
      <c r="V247">
        <f>K247-'2022a_250601_0524'!K247</f>
        <v>-63</v>
      </c>
      <c r="W247" s="11">
        <f>V247/'2022a_250601_0524'!K247</f>
        <v>-1.4559741160157152E-2</v>
      </c>
      <c r="X247">
        <f>L247-'2022a_250601_0524'!L247</f>
        <v>177.53178880000002</v>
      </c>
      <c r="Y247" s="11">
        <f>X247/'2022a_250601_0524'!L247</f>
        <v>2.5011758958591916</v>
      </c>
    </row>
    <row r="248" spans="1:25" x14ac:dyDescent="0.25">
      <c r="A248">
        <v>247</v>
      </c>
      <c r="B248">
        <v>170</v>
      </c>
      <c r="C248" t="s">
        <v>45</v>
      </c>
      <c r="D248" t="s">
        <v>35</v>
      </c>
      <c r="E248" t="s">
        <v>49</v>
      </c>
      <c r="F248" t="s">
        <v>19</v>
      </c>
      <c r="G248" t="s">
        <v>20</v>
      </c>
      <c r="H248" t="s">
        <v>21</v>
      </c>
      <c r="I248" t="s">
        <v>86</v>
      </c>
      <c r="J248" t="s">
        <v>23</v>
      </c>
      <c r="K248">
        <v>2865</v>
      </c>
      <c r="L248" s="4">
        <v>26.0095536</v>
      </c>
      <c r="M248" s="4">
        <v>524.95286766965535</v>
      </c>
      <c r="N248" s="4">
        <v>-165.35138333173563</v>
      </c>
      <c r="O248" s="1" t="str">
        <f>HYPERLINK(".\sm_car_250601_1258\sm_car_250601_1258_247_Ca170TrN_MaCSZ_ode23t_1.png","figure")</f>
        <v>figure</v>
      </c>
      <c r="P248" t="s">
        <v>15</v>
      </c>
      <c r="V248">
        <f>K248-'2022a_250601_0524'!K248</f>
        <v>-91</v>
      </c>
      <c r="W248" s="11">
        <f>V248/'2022a_250601_0524'!K248</f>
        <v>-3.0784844384303112E-2</v>
      </c>
      <c r="X248">
        <f>L248-'2022a_250601_0524'!L248</f>
        <v>12.134460600000001</v>
      </c>
      <c r="Y248" s="11">
        <f>X248/'2022a_250601_0524'!L248</f>
        <v>0.87454985707122834</v>
      </c>
    </row>
    <row r="249" spans="1:25" x14ac:dyDescent="0.25">
      <c r="A249">
        <v>248</v>
      </c>
      <c r="B249">
        <v>170</v>
      </c>
      <c r="C249" t="s">
        <v>45</v>
      </c>
      <c r="D249" t="s">
        <v>35</v>
      </c>
      <c r="E249" t="s">
        <v>49</v>
      </c>
      <c r="F249" t="s">
        <v>19</v>
      </c>
      <c r="G249" t="s">
        <v>20</v>
      </c>
      <c r="H249" t="s">
        <v>21</v>
      </c>
      <c r="I249" t="s">
        <v>87</v>
      </c>
      <c r="J249" t="s">
        <v>23</v>
      </c>
      <c r="K249">
        <v>6140</v>
      </c>
      <c r="L249" s="4">
        <v>231.46276979999999</v>
      </c>
      <c r="M249" s="4">
        <v>-355.11972429053873</v>
      </c>
      <c r="N249" s="4">
        <v>-9.836940596537076</v>
      </c>
      <c r="O249" s="1" t="str">
        <f>HYPERLINK(".\sm_car_250601_1258\sm_car_250601_1258_248_Ca170TrN_MaCSF_ode23t_1.png","figure")</f>
        <v>figure</v>
      </c>
      <c r="P249" t="s">
        <v>15</v>
      </c>
      <c r="V249">
        <f>K249-'2022a_250601_0524'!K249</f>
        <v>444</v>
      </c>
      <c r="W249" s="11">
        <f>V249/'2022a_250601_0524'!K249</f>
        <v>7.7949438202247187E-2</v>
      </c>
      <c r="X249">
        <f>L249-'2022a_250601_0524'!L249</f>
        <v>146.92334489999999</v>
      </c>
      <c r="Y249" s="11">
        <f>X249/'2022a_250601_0524'!L249</f>
        <v>1.7379269503405386</v>
      </c>
    </row>
    <row r="250" spans="1:25" x14ac:dyDescent="0.25">
      <c r="A250">
        <v>249</v>
      </c>
      <c r="B250">
        <v>170</v>
      </c>
      <c r="C250" t="s">
        <v>45</v>
      </c>
      <c r="D250" t="s">
        <v>35</v>
      </c>
      <c r="E250" t="s">
        <v>49</v>
      </c>
      <c r="F250" t="s">
        <v>19</v>
      </c>
      <c r="G250" t="s">
        <v>20</v>
      </c>
      <c r="H250" t="s">
        <v>21</v>
      </c>
      <c r="I250" t="s">
        <v>88</v>
      </c>
      <c r="J250" t="s">
        <v>23</v>
      </c>
      <c r="K250">
        <v>1976</v>
      </c>
      <c r="L250" s="4">
        <v>35.764591600000003</v>
      </c>
      <c r="M250" s="4">
        <v>207.14083989483871</v>
      </c>
      <c r="N250" s="4">
        <v>377.58708453304712</v>
      </c>
      <c r="O250" s="1" t="str">
        <f>HYPERLINK(".\sm_car_250601_1258\sm_car_250601_1258_249_Ca170TrN_MaCPU_ode23t_1.png","figure")</f>
        <v>figure</v>
      </c>
      <c r="P250" t="s">
        <v>15</v>
      </c>
      <c r="V250">
        <f>K250-'2022a_250601_0524'!K250</f>
        <v>-145</v>
      </c>
      <c r="W250" s="11">
        <f>V250/'2022a_250601_0524'!K250</f>
        <v>-6.8363979255068361E-2</v>
      </c>
      <c r="X250">
        <f>L250-'2022a_250601_0524'!L250</f>
        <v>18.925118100000002</v>
      </c>
      <c r="Y250" s="11">
        <f>X250/'2022a_250601_0524'!L250</f>
        <v>1.1238545017455566</v>
      </c>
    </row>
    <row r="251" spans="1:25" x14ac:dyDescent="0.25">
      <c r="A251">
        <v>250</v>
      </c>
      <c r="B251">
        <v>170</v>
      </c>
      <c r="C251" t="s">
        <v>45</v>
      </c>
      <c r="D251" t="s">
        <v>35</v>
      </c>
      <c r="E251" t="s">
        <v>49</v>
      </c>
      <c r="F251" t="s">
        <v>19</v>
      </c>
      <c r="G251" t="s">
        <v>20</v>
      </c>
      <c r="H251" t="s">
        <v>21</v>
      </c>
      <c r="I251" t="s">
        <v>89</v>
      </c>
      <c r="J251" t="s">
        <v>23</v>
      </c>
      <c r="K251">
        <v>2526</v>
      </c>
      <c r="L251" s="4">
        <v>36.217867400000003</v>
      </c>
      <c r="M251" s="4">
        <v>183.89389283146829</v>
      </c>
      <c r="N251" s="4">
        <v>-169.55801414542657</v>
      </c>
      <c r="O251" s="1" t="str">
        <f>HYPERLINK(".\sm_car_250601_1258\sm_car_250601_1258_250_Ca170TrN_MaCPD_ode23t_1.png","figure")</f>
        <v>figure</v>
      </c>
      <c r="P251" t="s">
        <v>15</v>
      </c>
      <c r="V251">
        <f>K251-'2022a_250601_0524'!K251</f>
        <v>-92</v>
      </c>
      <c r="W251" s="11">
        <f>V251/'2022a_250601_0524'!K251</f>
        <v>-3.5141329258976318E-2</v>
      </c>
      <c r="X251">
        <f>L251-'2022a_250601_0524'!L251</f>
        <v>17.579111100000002</v>
      </c>
      <c r="Y251" s="11">
        <f>X251/'2022a_250601_0524'!L251</f>
        <v>0.94314828827929909</v>
      </c>
    </row>
    <row r="252" spans="1:25" x14ac:dyDescent="0.25">
      <c r="A252">
        <v>251</v>
      </c>
      <c r="B252">
        <v>202</v>
      </c>
      <c r="C252" t="s">
        <v>45</v>
      </c>
      <c r="D252" t="s">
        <v>35</v>
      </c>
      <c r="E252" t="s">
        <v>107</v>
      </c>
      <c r="F252" t="s">
        <v>19</v>
      </c>
      <c r="G252" t="s">
        <v>20</v>
      </c>
      <c r="H252" t="s">
        <v>21</v>
      </c>
      <c r="I252" t="s">
        <v>79</v>
      </c>
      <c r="J252" t="s">
        <v>23</v>
      </c>
      <c r="K252">
        <v>2128</v>
      </c>
      <c r="L252" s="4">
        <v>11.4614221</v>
      </c>
      <c r="M252" s="4">
        <v>-5.8233175171711711</v>
      </c>
      <c r="N252" s="4">
        <v>-0.14879901929514383</v>
      </c>
      <c r="O252" s="1" t="str">
        <f>HYPERLINK(".\sm_car_250601_1258\sm_car_250601_1258_251_Ca202TrN_MaCMF_ode23t_1.png","figure")</f>
        <v>figure</v>
      </c>
      <c r="P252" t="s">
        <v>15</v>
      </c>
      <c r="V252">
        <f>K252-'2022a_250601_0524'!K252</f>
        <v>295</v>
      </c>
      <c r="W252" s="11">
        <f>V252/'2022a_250601_0524'!K252</f>
        <v>0.16093835242771412</v>
      </c>
      <c r="X252">
        <f>L252-'2022a_250601_0524'!L252</f>
        <v>7.1575084000000002</v>
      </c>
      <c r="Y252" s="11">
        <f>X252/'2022a_250601_0524'!L252</f>
        <v>1.6630232153586166</v>
      </c>
    </row>
    <row r="253" spans="1:25" x14ac:dyDescent="0.25">
      <c r="A253">
        <v>252</v>
      </c>
      <c r="B253">
        <v>202</v>
      </c>
      <c r="C253" t="s">
        <v>45</v>
      </c>
      <c r="D253" t="s">
        <v>35</v>
      </c>
      <c r="E253" t="s">
        <v>107</v>
      </c>
      <c r="F253" t="s">
        <v>19</v>
      </c>
      <c r="G253" t="s">
        <v>20</v>
      </c>
      <c r="H253" t="s">
        <v>21</v>
      </c>
      <c r="I253" t="s">
        <v>80</v>
      </c>
      <c r="J253" t="s">
        <v>23</v>
      </c>
      <c r="K253">
        <v>5378</v>
      </c>
      <c r="L253" s="4">
        <v>34.6685582</v>
      </c>
      <c r="M253" s="4">
        <v>-269.56145302837319</v>
      </c>
      <c r="N253" s="4">
        <v>17.699220006168794</v>
      </c>
      <c r="O253" s="1" t="str">
        <f>HYPERLINK(".\sm_car_250601_1258\sm_car_250601_1258_252_Ca202TrN_MaMPO_ode23t_1.png","figure")</f>
        <v>figure</v>
      </c>
      <c r="P253" t="s">
        <v>15</v>
      </c>
      <c r="V253">
        <f>K253-'2022a_250601_0524'!K253</f>
        <v>858</v>
      </c>
      <c r="W253" s="11">
        <f>V253/'2022a_250601_0524'!K253</f>
        <v>0.18982300884955752</v>
      </c>
      <c r="X253">
        <f>L253-'2022a_250601_0524'!L253</f>
        <v>9.4709988999999979</v>
      </c>
      <c r="Y253" s="11">
        <f>X253/'2022a_250601_0524'!L253</f>
        <v>0.37586969385562663</v>
      </c>
    </row>
    <row r="254" spans="1:25" x14ac:dyDescent="0.25">
      <c r="A254">
        <v>253</v>
      </c>
      <c r="B254">
        <v>202</v>
      </c>
      <c r="C254" t="s">
        <v>45</v>
      </c>
      <c r="D254" t="s">
        <v>35</v>
      </c>
      <c r="E254" t="s">
        <v>107</v>
      </c>
      <c r="F254" t="s">
        <v>19</v>
      </c>
      <c r="G254" t="s">
        <v>20</v>
      </c>
      <c r="H254" t="s">
        <v>21</v>
      </c>
      <c r="I254" t="s">
        <v>81</v>
      </c>
      <c r="J254" t="s">
        <v>23</v>
      </c>
      <c r="K254">
        <v>1356</v>
      </c>
      <c r="L254" s="4">
        <v>10.106848299999999</v>
      </c>
      <c r="M254" s="4">
        <v>-13.264389845996703</v>
      </c>
      <c r="N254" s="4">
        <v>0.77031589402946565</v>
      </c>
      <c r="O254" s="1" t="str">
        <f>HYPERLINK(".\sm_car_250601_1258\sm_car_250601_1258_253_Ca202TrN_MaMCI_ode23t_1.png","figure")</f>
        <v>figure</v>
      </c>
      <c r="P254" t="s">
        <v>15</v>
      </c>
      <c r="V254">
        <f>K254-'2022a_250601_0524'!K254</f>
        <v>170</v>
      </c>
      <c r="W254" s="11">
        <f>V254/'2022a_250601_0524'!K254</f>
        <v>0.14333895446880271</v>
      </c>
      <c r="X254">
        <f>L254-'2022a_250601_0524'!L254</f>
        <v>2.8028695999999993</v>
      </c>
      <c r="Y254" s="11">
        <f>X254/'2022a_250601_0524'!L254</f>
        <v>0.38374558786706198</v>
      </c>
    </row>
    <row r="255" spans="1:25" x14ac:dyDescent="0.25">
      <c r="A255">
        <v>254</v>
      </c>
      <c r="B255">
        <v>202</v>
      </c>
      <c r="C255" t="s">
        <v>45</v>
      </c>
      <c r="D255" t="s">
        <v>35</v>
      </c>
      <c r="E255" t="s">
        <v>107</v>
      </c>
      <c r="F255" t="s">
        <v>19</v>
      </c>
      <c r="G255" t="s">
        <v>20</v>
      </c>
      <c r="H255" t="s">
        <v>21</v>
      </c>
      <c r="I255" t="s">
        <v>83</v>
      </c>
      <c r="J255" t="s">
        <v>23</v>
      </c>
      <c r="K255">
        <v>3729</v>
      </c>
      <c r="L255" s="4">
        <v>24.961941499999998</v>
      </c>
      <c r="M255" s="4">
        <v>-189.40308530224263</v>
      </c>
      <c r="N255" s="4">
        <v>7.1425314779372675</v>
      </c>
      <c r="O255" s="1" t="str">
        <f>HYPERLINK(".\sm_car_250601_1258\sm_car_250601_1258_254_Ca202TrN_MaCKF_ode23t_1.png","figure")</f>
        <v>figure</v>
      </c>
      <c r="P255" t="s">
        <v>15</v>
      </c>
      <c r="V255">
        <f>K255-'2022a_250601_0524'!K255</f>
        <v>117</v>
      </c>
      <c r="W255" s="11">
        <f>V255/'2022a_250601_0524'!K255</f>
        <v>3.2392026578073087E-2</v>
      </c>
      <c r="X255">
        <f>L255-'2022a_250601_0524'!L255</f>
        <v>15.629058099999998</v>
      </c>
      <c r="Y255" s="11">
        <f>X255/'2022a_250601_0524'!L255</f>
        <v>1.674622668059905</v>
      </c>
    </row>
    <row r="256" spans="1:25" x14ac:dyDescent="0.25">
      <c r="A256">
        <v>255</v>
      </c>
      <c r="B256">
        <v>202</v>
      </c>
      <c r="C256" t="s">
        <v>45</v>
      </c>
      <c r="D256" t="s">
        <v>35</v>
      </c>
      <c r="E256" t="s">
        <v>107</v>
      </c>
      <c r="F256" t="s">
        <v>19</v>
      </c>
      <c r="G256" t="s">
        <v>20</v>
      </c>
      <c r="H256" t="s">
        <v>21</v>
      </c>
      <c r="I256" t="s">
        <v>85</v>
      </c>
      <c r="J256" t="s">
        <v>23</v>
      </c>
      <c r="K256">
        <v>9801</v>
      </c>
      <c r="L256" s="4">
        <v>327.08804140000001</v>
      </c>
      <c r="M256" s="4">
        <v>-8.9547551749868326</v>
      </c>
      <c r="N256" s="4">
        <v>-3.2915595798582742</v>
      </c>
      <c r="O256" s="1" t="str">
        <f>HYPERLINK(".\sm_car_250601_1258\sm_car_250601_1258_255_Ca202TrN_MaCNF_ode23t_1.png","figure")</f>
        <v>figure</v>
      </c>
      <c r="P256" t="s">
        <v>15</v>
      </c>
      <c r="V256">
        <f>K256-'2022a_250601_0524'!K256</f>
        <v>-415</v>
      </c>
      <c r="W256" s="11">
        <f>V256/'2022a_250601_0524'!K256</f>
        <v>-4.0622552858261551E-2</v>
      </c>
      <c r="X256">
        <f>L256-'2022a_250601_0524'!L256</f>
        <v>218.17196200000001</v>
      </c>
      <c r="Y256" s="11">
        <f>X256/'2022a_250601_0524'!L256</f>
        <v>2.0031198625755895</v>
      </c>
    </row>
    <row r="257" spans="1:25" x14ac:dyDescent="0.25">
      <c r="A257">
        <v>256</v>
      </c>
      <c r="B257">
        <v>202</v>
      </c>
      <c r="C257" t="s">
        <v>45</v>
      </c>
      <c r="D257" t="s">
        <v>35</v>
      </c>
      <c r="E257" t="s">
        <v>107</v>
      </c>
      <c r="F257" t="s">
        <v>19</v>
      </c>
      <c r="G257" t="s">
        <v>20</v>
      </c>
      <c r="H257" t="s">
        <v>21</v>
      </c>
      <c r="I257" t="s">
        <v>87</v>
      </c>
      <c r="J257" t="s">
        <v>23</v>
      </c>
      <c r="K257">
        <v>6089</v>
      </c>
      <c r="L257" s="4">
        <v>113.5057939</v>
      </c>
      <c r="M257" s="4">
        <v>-355.65507855269368</v>
      </c>
      <c r="N257" s="4">
        <v>-10.018819400736618</v>
      </c>
      <c r="O257" s="1" t="str">
        <f>HYPERLINK(".\sm_car_250601_1258\sm_car_250601_1258_256_Ca202TrN_MaCSF_ode23t_1.png","figure")</f>
        <v>figure</v>
      </c>
      <c r="P257" t="s">
        <v>15</v>
      </c>
      <c r="V257">
        <f>K257-'2022a_250601_0524'!K257</f>
        <v>389</v>
      </c>
      <c r="W257" s="11">
        <f>V257/'2022a_250601_0524'!K257</f>
        <v>6.8245614035087721E-2</v>
      </c>
      <c r="X257">
        <f>L257-'2022a_250601_0524'!L257</f>
        <v>66.876707500000009</v>
      </c>
      <c r="Y257" s="11">
        <f>X257/'2022a_250601_0524'!L257</f>
        <v>1.4342272745022089</v>
      </c>
    </row>
    <row r="258" spans="1:25" x14ac:dyDescent="0.25">
      <c r="A258">
        <v>257</v>
      </c>
      <c r="B258">
        <v>202</v>
      </c>
      <c r="C258" t="s">
        <v>45</v>
      </c>
      <c r="D258" t="s">
        <v>35</v>
      </c>
      <c r="E258" t="s">
        <v>107</v>
      </c>
      <c r="F258" t="s">
        <v>19</v>
      </c>
      <c r="G258" t="s">
        <v>20</v>
      </c>
      <c r="H258" t="s">
        <v>21</v>
      </c>
      <c r="I258" t="s">
        <v>78</v>
      </c>
      <c r="J258" t="s">
        <v>23</v>
      </c>
      <c r="K258">
        <v>5709</v>
      </c>
      <c r="L258" s="4">
        <v>37.219510200000002</v>
      </c>
      <c r="M258" s="4">
        <v>-5.982009378209975</v>
      </c>
      <c r="N258" s="4">
        <v>-0.14665610212059854</v>
      </c>
      <c r="O258" s="1" t="str">
        <f>HYPERLINK(".\sm_car_250601_1258\sm_car_250601_1258_257_Ca202TrN_MaCMP_ode23t_1.png","figure")</f>
        <v>figure</v>
      </c>
      <c r="P258" t="s">
        <v>15</v>
      </c>
      <c r="V258">
        <f>K258-'2022a_250601_0524'!K258</f>
        <v>291</v>
      </c>
      <c r="W258" s="11">
        <f>V258/'2022a_250601_0524'!K258</f>
        <v>5.3709856035437431E-2</v>
      </c>
      <c r="X258">
        <f>L258-'2022a_250601_0524'!L258</f>
        <v>18.644944900000002</v>
      </c>
      <c r="Y258" s="11">
        <f>X258/'2022a_250601_0524'!L258</f>
        <v>1.0037890307990143</v>
      </c>
    </row>
    <row r="259" spans="1:25" x14ac:dyDescent="0.25">
      <c r="A259">
        <v>258</v>
      </c>
      <c r="B259">
        <v>202</v>
      </c>
      <c r="C259" t="s">
        <v>45</v>
      </c>
      <c r="D259" t="s">
        <v>35</v>
      </c>
      <c r="E259" t="s">
        <v>107</v>
      </c>
      <c r="F259" t="s">
        <v>19</v>
      </c>
      <c r="G259" t="s">
        <v>20</v>
      </c>
      <c r="H259" t="s">
        <v>21</v>
      </c>
      <c r="I259" t="s">
        <v>82</v>
      </c>
      <c r="J259" t="s">
        <v>23</v>
      </c>
      <c r="K259">
        <v>14640</v>
      </c>
      <c r="L259" s="4">
        <v>92.772606199999998</v>
      </c>
      <c r="M259" s="4">
        <v>-190.79970642897177</v>
      </c>
      <c r="N259" s="4">
        <v>7.1986115433882691</v>
      </c>
      <c r="O259" s="1" t="str">
        <f>HYPERLINK(".\sm_car_250601_1258\sm_car_250601_1258_258_Ca202TrN_MaCKY_ode23t_1.png","figure")</f>
        <v>figure</v>
      </c>
      <c r="P259" t="s">
        <v>15</v>
      </c>
      <c r="V259">
        <f>K259-'2022a_250601_0524'!K259</f>
        <v>-460</v>
      </c>
      <c r="W259" s="11">
        <f>V259/'2022a_250601_0524'!K259</f>
        <v>-3.0463576158940398E-2</v>
      </c>
      <c r="X259">
        <f>L259-'2022a_250601_0524'!L259</f>
        <v>38.156009900000001</v>
      </c>
      <c r="Y259" s="11">
        <f>X259/'2022a_250601_0524'!L259</f>
        <v>0.69861566785332618</v>
      </c>
    </row>
    <row r="260" spans="1:25" x14ac:dyDescent="0.25">
      <c r="A260">
        <v>259</v>
      </c>
      <c r="B260">
        <v>202</v>
      </c>
      <c r="C260" t="s">
        <v>45</v>
      </c>
      <c r="D260" t="s">
        <v>35</v>
      </c>
      <c r="E260" t="s">
        <v>107</v>
      </c>
      <c r="F260" t="s">
        <v>19</v>
      </c>
      <c r="G260" t="s">
        <v>20</v>
      </c>
      <c r="H260" t="s">
        <v>21</v>
      </c>
      <c r="I260" t="s">
        <v>75</v>
      </c>
      <c r="J260" t="s">
        <v>23</v>
      </c>
      <c r="K260">
        <v>455</v>
      </c>
      <c r="L260" s="4">
        <v>3.1318473999999998</v>
      </c>
      <c r="M260" s="4">
        <v>381.04323470632642</v>
      </c>
      <c r="N260" s="4">
        <v>0.3335145224833066</v>
      </c>
      <c r="O260" s="1" t="str">
        <f>HYPERLINK(".\sm_car_250601_1258\sm_car_250601_1258_259_Ca202TrN_MaCPL_ode23t_1.png","figure")</f>
        <v>figure</v>
      </c>
      <c r="P260" t="s">
        <v>15</v>
      </c>
      <c r="V260">
        <f>K260-'2022a_250601_0524'!K260</f>
        <v>1</v>
      </c>
      <c r="W260" s="11">
        <f>V260/'2022a_250601_0524'!K260</f>
        <v>2.2026431718061676E-3</v>
      </c>
      <c r="X260">
        <f>L260-'2022a_250601_0524'!L260</f>
        <v>0.54394279999999995</v>
      </c>
      <c r="Y260" s="11">
        <f>X260/'2022a_250601_0524'!L260</f>
        <v>0.21018657333813617</v>
      </c>
    </row>
    <row r="261" spans="1:25" x14ac:dyDescent="0.25">
      <c r="A261">
        <v>260</v>
      </c>
      <c r="B261">
        <v>140</v>
      </c>
      <c r="C261" t="s">
        <v>45</v>
      </c>
      <c r="D261" t="s">
        <v>17</v>
      </c>
      <c r="E261" t="s">
        <v>49</v>
      </c>
      <c r="F261" t="s">
        <v>19</v>
      </c>
      <c r="G261" t="s">
        <v>26</v>
      </c>
      <c r="H261" t="s">
        <v>21</v>
      </c>
      <c r="I261" t="s">
        <v>112</v>
      </c>
      <c r="J261" t="s">
        <v>23</v>
      </c>
      <c r="K261">
        <v>2734</v>
      </c>
      <c r="L261" s="4">
        <v>44.714757300000002</v>
      </c>
      <c r="M261" s="4">
        <v>191.9791671326291</v>
      </c>
      <c r="N261" s="4">
        <v>2.5820879353750812E-4</v>
      </c>
      <c r="O261" s="1" t="str">
        <f>HYPERLINK(".\sm_car_250601_1258\sm_car_250601_1258_260_Ca140TrN_MaCRR_ode23t_1.png","figure")</f>
        <v>figure</v>
      </c>
      <c r="P261" t="s">
        <v>15</v>
      </c>
      <c r="V261">
        <f>K261-'2022a_250601_0524'!K261</f>
        <v>8</v>
      </c>
      <c r="W261" s="11">
        <f>V261/'2022a_250601_0524'!K261</f>
        <v>2.93470286133529E-3</v>
      </c>
      <c r="X261">
        <f>L261-'2022a_250601_0524'!L261</f>
        <v>2.5823679000000013</v>
      </c>
      <c r="Y261" s="11">
        <f>X261/'2022a_250601_0524'!L261</f>
        <v>6.12917505219868E-2</v>
      </c>
    </row>
    <row r="262" spans="1:25" x14ac:dyDescent="0.25">
      <c r="A262">
        <v>261</v>
      </c>
      <c r="B262">
        <v>189</v>
      </c>
      <c r="C262" t="s">
        <v>45</v>
      </c>
      <c r="D262" t="s">
        <v>17</v>
      </c>
      <c r="E262" t="s">
        <v>107</v>
      </c>
      <c r="F262" t="s">
        <v>19</v>
      </c>
      <c r="G262" t="s">
        <v>26</v>
      </c>
      <c r="H262" t="s">
        <v>21</v>
      </c>
      <c r="I262" t="s">
        <v>112</v>
      </c>
      <c r="J262" t="s">
        <v>23</v>
      </c>
      <c r="K262">
        <v>3357</v>
      </c>
      <c r="L262" s="4">
        <v>41.176501999999999</v>
      </c>
      <c r="M262" s="4">
        <v>192.04012480214973</v>
      </c>
      <c r="N262" s="4">
        <v>2.7057644838615619E-4</v>
      </c>
      <c r="O262" s="1" t="str">
        <f>HYPERLINK(".\sm_car_250601_1258\sm_car_250601_1258_261_Ca189TrN_MaCRR_ode23t_1.png","figure")</f>
        <v>figure</v>
      </c>
      <c r="P262" t="s">
        <v>15</v>
      </c>
      <c r="V262">
        <f>K262-'2022a_250601_0524'!K262</f>
        <v>13</v>
      </c>
      <c r="W262" s="11">
        <f>V262/'2022a_250601_0524'!K262</f>
        <v>3.8875598086124401E-3</v>
      </c>
      <c r="X262">
        <f>L262-'2022a_250601_0524'!L262</f>
        <v>2.2836520999999976</v>
      </c>
      <c r="Y262" s="11">
        <f>X262/'2022a_250601_0524'!L262</f>
        <v>5.8716502027278732E-2</v>
      </c>
    </row>
    <row r="263" spans="1:25" x14ac:dyDescent="0.25">
      <c r="A263">
        <v>262</v>
      </c>
      <c r="B263">
        <v>173</v>
      </c>
      <c r="C263" t="s">
        <v>45</v>
      </c>
      <c r="D263" t="s">
        <v>35</v>
      </c>
      <c r="E263" t="s">
        <v>49</v>
      </c>
      <c r="F263" t="s">
        <v>19</v>
      </c>
      <c r="G263" t="s">
        <v>90</v>
      </c>
      <c r="H263" t="s">
        <v>21</v>
      </c>
      <c r="I263" t="s">
        <v>91</v>
      </c>
      <c r="J263" t="s">
        <v>92</v>
      </c>
      <c r="K263">
        <v>1646</v>
      </c>
      <c r="L263" s="4">
        <v>71.351005799999996</v>
      </c>
      <c r="M263" s="4">
        <v>51.298870179838786</v>
      </c>
      <c r="N263" s="4">
        <v>9.1602747821765505E-3</v>
      </c>
      <c r="O263" s="1" t="str">
        <f>HYPERLINK(".\sm_car_250601_1258\sm_car_250601_1258_262_Ca173TrN_MaDCA_daessc_1.png","figure")</f>
        <v>figure</v>
      </c>
      <c r="P263" t="s">
        <v>15</v>
      </c>
      <c r="V263">
        <f>K263-'2022a_250601_0524'!K263</f>
        <v>0</v>
      </c>
      <c r="W263" s="11">
        <f>V263/'2022a_250601_0524'!K263</f>
        <v>0</v>
      </c>
      <c r="X263">
        <f>L263-'2022a_250601_0524'!L263</f>
        <v>4.8774495999999914</v>
      </c>
      <c r="Y263" s="11">
        <f>X263/'2022a_250601_0524'!L263</f>
        <v>7.3374284133755893E-2</v>
      </c>
    </row>
    <row r="264" spans="1:25" x14ac:dyDescent="0.25">
      <c r="A264">
        <v>263</v>
      </c>
      <c r="B264">
        <v>173</v>
      </c>
      <c r="C264" t="s">
        <v>45</v>
      </c>
      <c r="D264" t="s">
        <v>35</v>
      </c>
      <c r="E264" t="s">
        <v>49</v>
      </c>
      <c r="F264" t="s">
        <v>19</v>
      </c>
      <c r="G264" t="s">
        <v>90</v>
      </c>
      <c r="H264" t="s">
        <v>21</v>
      </c>
      <c r="I264" t="s">
        <v>93</v>
      </c>
      <c r="J264" t="s">
        <v>92</v>
      </c>
      <c r="K264">
        <v>4055</v>
      </c>
      <c r="L264" s="4">
        <v>107.402327</v>
      </c>
      <c r="M264" s="4">
        <v>980.46470773628346</v>
      </c>
      <c r="N264" s="4">
        <v>0.73521790665577991</v>
      </c>
      <c r="O264" s="1" t="str">
        <f>HYPERLINK(".\sm_car_250601_1258\sm_car_250601_1258_263_Ca173TrN_MaDC1_daessc_1.png","figure")</f>
        <v>figure</v>
      </c>
      <c r="P264" t="s">
        <v>15</v>
      </c>
      <c r="V264">
        <f>K264-'2022a_250601_0524'!K264</f>
        <v>47</v>
      </c>
      <c r="W264" s="11">
        <f>V264/'2022a_250601_0524'!K264</f>
        <v>1.1726546906187624E-2</v>
      </c>
      <c r="X264">
        <f>L264-'2022a_250601_0524'!L264</f>
        <v>8.4187074000000024</v>
      </c>
      <c r="Y264" s="11">
        <f>X264/'2022a_250601_0524'!L264</f>
        <v>8.5051520989236518E-2</v>
      </c>
    </row>
    <row r="265" spans="1:25" x14ac:dyDescent="0.25">
      <c r="A265">
        <v>264</v>
      </c>
      <c r="B265">
        <v>165</v>
      </c>
      <c r="C265" t="s">
        <v>45</v>
      </c>
      <c r="D265" t="s">
        <v>35</v>
      </c>
      <c r="E265" t="s">
        <v>49</v>
      </c>
      <c r="F265" t="s">
        <v>19</v>
      </c>
      <c r="G265" t="s">
        <v>26</v>
      </c>
      <c r="H265" t="s">
        <v>21</v>
      </c>
      <c r="I265" t="s">
        <v>91</v>
      </c>
      <c r="J265" t="s">
        <v>23</v>
      </c>
      <c r="K265">
        <v>339</v>
      </c>
      <c r="L265" s="4">
        <v>4.0894287</v>
      </c>
      <c r="M265" s="4">
        <v>53.509077075066649</v>
      </c>
      <c r="N265" s="4">
        <v>1.0039275824066019E-2</v>
      </c>
      <c r="O265" s="1" t="str">
        <f>HYPERLINK(".\sm_car_250601_1258\sm_car_250601_1258_264_Ca165TrN_MaDCA_ode23t_1.png","figure")</f>
        <v>figure</v>
      </c>
      <c r="P265" t="s">
        <v>15</v>
      </c>
      <c r="V265">
        <f>K265-'2022a_250601_0524'!K265</f>
        <v>0</v>
      </c>
      <c r="W265" s="11">
        <f>V265/'2022a_250601_0524'!K265</f>
        <v>0</v>
      </c>
      <c r="X265">
        <f>L265-'2022a_250601_0524'!L265</f>
        <v>0.20203700000000024</v>
      </c>
      <c r="Y265" s="11">
        <f>X265/'2022a_250601_0524'!L265</f>
        <v>5.1972380349528516E-2</v>
      </c>
    </row>
    <row r="266" spans="1:25" x14ac:dyDescent="0.25">
      <c r="A266">
        <v>265</v>
      </c>
      <c r="B266">
        <v>165</v>
      </c>
      <c r="C266" t="s">
        <v>45</v>
      </c>
      <c r="D266" t="s">
        <v>35</v>
      </c>
      <c r="E266" t="s">
        <v>49</v>
      </c>
      <c r="F266" t="s">
        <v>19</v>
      </c>
      <c r="G266" t="s">
        <v>26</v>
      </c>
      <c r="H266" t="s">
        <v>21</v>
      </c>
      <c r="I266" t="s">
        <v>93</v>
      </c>
      <c r="J266" t="s">
        <v>23</v>
      </c>
      <c r="K266">
        <v>1205</v>
      </c>
      <c r="L266" s="4">
        <v>8.0001950999999991</v>
      </c>
      <c r="M266" s="4">
        <v>992.65497886577782</v>
      </c>
      <c r="N266" s="4">
        <v>0.79687187688750794</v>
      </c>
      <c r="O266" s="1" t="str">
        <f>HYPERLINK(".\sm_car_250601_1258\sm_car_250601_1258_265_Ca165TrN_MaDC1_ode23t_1.png","figure")</f>
        <v>figure</v>
      </c>
      <c r="P266" t="s">
        <v>15</v>
      </c>
      <c r="V266">
        <f>K266-'2022a_250601_0524'!K266</f>
        <v>-2</v>
      </c>
      <c r="W266" s="11">
        <f>V266/'2022a_250601_0524'!K266</f>
        <v>-1.6570008285004142E-3</v>
      </c>
      <c r="X266">
        <f>L266-'2022a_250601_0524'!L266</f>
        <v>-0.77779010000000071</v>
      </c>
      <c r="Y266" s="11">
        <f>X266/'2022a_250601_0524'!L266</f>
        <v>-8.8606904919365861E-2</v>
      </c>
    </row>
    <row r="267" spans="1:25" x14ac:dyDescent="0.25">
      <c r="A267">
        <v>266</v>
      </c>
      <c r="B267">
        <v>196</v>
      </c>
      <c r="C267" t="s">
        <v>45</v>
      </c>
      <c r="D267" t="s">
        <v>35</v>
      </c>
      <c r="E267" t="s">
        <v>107</v>
      </c>
      <c r="F267" t="s">
        <v>19</v>
      </c>
      <c r="G267" t="s">
        <v>90</v>
      </c>
      <c r="H267" t="s">
        <v>21</v>
      </c>
      <c r="I267" t="s">
        <v>93</v>
      </c>
      <c r="J267" t="s">
        <v>92</v>
      </c>
      <c r="K267">
        <v>4164</v>
      </c>
      <c r="L267" s="4">
        <v>61.986632700000001</v>
      </c>
      <c r="M267" s="4">
        <v>980.46488068742735</v>
      </c>
      <c r="N267" s="4">
        <v>0.73507328541678174</v>
      </c>
      <c r="O267" s="1" t="str">
        <f>HYPERLINK(".\sm_car_250601_1258\sm_car_250601_1258_266_Ca196TrN_MaDC1_daessc_1.png","figure")</f>
        <v>figure</v>
      </c>
      <c r="P267" t="s">
        <v>15</v>
      </c>
      <c r="V267">
        <f>K267-'2022a_250601_0524'!K267</f>
        <v>142</v>
      </c>
      <c r="W267" s="11">
        <f>V267/'2022a_250601_0524'!K267</f>
        <v>3.5305818000994534E-2</v>
      </c>
      <c r="X267">
        <f>L267-'2022a_250601_0524'!L267</f>
        <v>12.859003100000002</v>
      </c>
      <c r="Y267" s="11">
        <f>X267/'2022a_250601_0524'!L267</f>
        <v>0.26174686637028388</v>
      </c>
    </row>
    <row r="268" spans="1:25" x14ac:dyDescent="0.25">
      <c r="A268">
        <v>267</v>
      </c>
      <c r="B268">
        <v>179</v>
      </c>
      <c r="C268" t="s">
        <v>45</v>
      </c>
      <c r="D268" t="s">
        <v>57</v>
      </c>
      <c r="E268" t="s">
        <v>18</v>
      </c>
      <c r="F268" t="s">
        <v>19</v>
      </c>
      <c r="G268" t="s">
        <v>26</v>
      </c>
      <c r="H268" t="s">
        <v>21</v>
      </c>
      <c r="I268" t="s">
        <v>22</v>
      </c>
      <c r="J268" t="s">
        <v>23</v>
      </c>
      <c r="K268">
        <v>469</v>
      </c>
      <c r="L268" s="4">
        <v>5.5488125000000004</v>
      </c>
      <c r="M268" s="4">
        <v>147.79577462033984</v>
      </c>
      <c r="N268" s="4">
        <v>9.6896843636243471E-2</v>
      </c>
      <c r="O268" s="1" t="str">
        <f>HYPERLINK(".\sm_car_250601_1258\sm_car_250601_1258_267_Ca179TrN_MaWOT_ode23t_1.png","figure")</f>
        <v>figure</v>
      </c>
      <c r="P268" t="s">
        <v>15</v>
      </c>
      <c r="V268">
        <f>K268-'2022a_250601_0524'!K268</f>
        <v>-27</v>
      </c>
      <c r="W268" s="11">
        <f>V268/'2022a_250601_0524'!K268</f>
        <v>-5.4435483870967742E-2</v>
      </c>
      <c r="X268">
        <f>L268-'2022a_250601_0524'!L268</f>
        <v>-0.21412869999999984</v>
      </c>
      <c r="Y268" s="11">
        <f>X268/'2022a_250601_0524'!L268</f>
        <v>-3.7156148669363454E-2</v>
      </c>
    </row>
    <row r="269" spans="1:25" x14ac:dyDescent="0.25">
      <c r="A269">
        <v>268</v>
      </c>
      <c r="B269">
        <v>180</v>
      </c>
      <c r="C269" t="s">
        <v>45</v>
      </c>
      <c r="D269" t="s">
        <v>57</v>
      </c>
      <c r="E269" t="s">
        <v>49</v>
      </c>
      <c r="F269" t="s">
        <v>19</v>
      </c>
      <c r="G269" t="s">
        <v>26</v>
      </c>
      <c r="H269" t="s">
        <v>21</v>
      </c>
      <c r="I269" t="s">
        <v>22</v>
      </c>
      <c r="J269" t="s">
        <v>23</v>
      </c>
      <c r="K269">
        <v>508</v>
      </c>
      <c r="L269" s="4">
        <v>8.4291856000000003</v>
      </c>
      <c r="M269" s="4">
        <v>147.84980388293806</v>
      </c>
      <c r="N269" s="4">
        <v>9.6056388603589504E-2</v>
      </c>
      <c r="O269" s="1" t="str">
        <f>HYPERLINK(".\sm_car_250601_1258\sm_car_250601_1258_268_Ca180TrN_MaWOT_ode23t_1.png","figure")</f>
        <v>figure</v>
      </c>
      <c r="P269" t="s">
        <v>15</v>
      </c>
      <c r="V269">
        <f>K269-'2022a_250601_0524'!K269</f>
        <v>0</v>
      </c>
      <c r="W269" s="11">
        <f>V269/'2022a_250601_0524'!K269</f>
        <v>0</v>
      </c>
      <c r="X269">
        <f>L269-'2022a_250601_0524'!L269</f>
        <v>0.81970740000000042</v>
      </c>
      <c r="Y269" s="11">
        <f>X269/'2022a_250601_0524'!L269</f>
        <v>0.1077218934670186</v>
      </c>
    </row>
    <row r="270" spans="1:25" x14ac:dyDescent="0.25">
      <c r="A270">
        <v>269</v>
      </c>
      <c r="B270">
        <v>197</v>
      </c>
      <c r="C270" t="s">
        <v>45</v>
      </c>
      <c r="D270" t="s">
        <v>57</v>
      </c>
      <c r="E270" t="s">
        <v>107</v>
      </c>
      <c r="F270" t="s">
        <v>19</v>
      </c>
      <c r="G270" t="s">
        <v>26</v>
      </c>
      <c r="H270" t="s">
        <v>21</v>
      </c>
      <c r="I270" t="s">
        <v>22</v>
      </c>
      <c r="J270" t="s">
        <v>23</v>
      </c>
      <c r="K270">
        <v>458</v>
      </c>
      <c r="L270" s="4">
        <v>2.6231273000000002</v>
      </c>
      <c r="M270" s="4">
        <v>147.84410192199061</v>
      </c>
      <c r="N270" s="4">
        <v>9.6083867831797176E-2</v>
      </c>
      <c r="O270" s="1" t="str">
        <f>HYPERLINK(".\sm_car_250601_1258\sm_car_250601_1258_269_Ca197TrN_MaWOT_ode23t_1.png","figure")</f>
        <v>figure</v>
      </c>
      <c r="P270" t="s">
        <v>15</v>
      </c>
      <c r="V270">
        <f>K270-'2022a_250601_0524'!K270</f>
        <v>11</v>
      </c>
      <c r="W270" s="11">
        <f>V270/'2022a_250601_0524'!K270</f>
        <v>2.4608501118568233E-2</v>
      </c>
      <c r="X270">
        <f>L270-'2022a_250601_0524'!L270</f>
        <v>0.37817970000000001</v>
      </c>
      <c r="Y270" s="11">
        <f>X270/'2022a_250601_0524'!L270</f>
        <v>0.16845814129470105</v>
      </c>
    </row>
    <row r="271" spans="1:25" x14ac:dyDescent="0.25">
      <c r="A271">
        <v>270</v>
      </c>
      <c r="B271">
        <v>182</v>
      </c>
      <c r="C271" t="s">
        <v>45</v>
      </c>
      <c r="D271" t="s">
        <v>17</v>
      </c>
      <c r="E271" t="s">
        <v>49</v>
      </c>
      <c r="F271" t="s">
        <v>19</v>
      </c>
      <c r="G271" t="s">
        <v>26</v>
      </c>
      <c r="H271" t="s">
        <v>21</v>
      </c>
      <c r="I271" t="s">
        <v>64</v>
      </c>
      <c r="J271" t="s">
        <v>23</v>
      </c>
      <c r="K271">
        <v>425</v>
      </c>
      <c r="L271" s="4">
        <v>13.5071403</v>
      </c>
      <c r="M271" s="4">
        <v>62.247790880992</v>
      </c>
      <c r="N271" s="4">
        <v>-24.541572966824855</v>
      </c>
      <c r="O271" s="1" t="str">
        <f>HYPERLINK(".\sm_car_250601_1258\sm_car_250601_1258_270_Ca182TrN_MaTUR_ode23t_1.png","figure")</f>
        <v>figure</v>
      </c>
      <c r="P271" t="s">
        <v>15</v>
      </c>
      <c r="V271">
        <f>K271-'2022a_250601_0524'!K271</f>
        <v>0</v>
      </c>
      <c r="W271" s="11">
        <f>V271/'2022a_250601_0524'!K271</f>
        <v>0</v>
      </c>
      <c r="X271">
        <f>L271-'2022a_250601_0524'!L271</f>
        <v>0.14492689999999975</v>
      </c>
      <c r="Y271" s="11">
        <f>X271/'2022a_250601_0524'!L271</f>
        <v>1.0846024955715777E-2</v>
      </c>
    </row>
    <row r="272" spans="1:25" x14ac:dyDescent="0.25">
      <c r="A272">
        <v>271</v>
      </c>
      <c r="B272">
        <v>203</v>
      </c>
      <c r="C272" t="s">
        <v>45</v>
      </c>
      <c r="D272" t="s">
        <v>17</v>
      </c>
      <c r="E272" t="s">
        <v>107</v>
      </c>
      <c r="F272" t="s">
        <v>19</v>
      </c>
      <c r="G272" t="s">
        <v>26</v>
      </c>
      <c r="H272" t="s">
        <v>21</v>
      </c>
      <c r="I272" t="s">
        <v>64</v>
      </c>
      <c r="J272" t="s">
        <v>23</v>
      </c>
      <c r="K272">
        <v>368</v>
      </c>
      <c r="L272" s="4">
        <v>5.4046149000000003</v>
      </c>
      <c r="M272" s="4">
        <v>62.254814014817171</v>
      </c>
      <c r="N272" s="4">
        <v>-24.556623537306013</v>
      </c>
      <c r="O272" s="1" t="str">
        <f>HYPERLINK(".\sm_car_250601_1258\sm_car_250601_1258_271_Ca203TrN_MaTUR_ode23t_1.png","figure")</f>
        <v>figure</v>
      </c>
      <c r="P272" t="s">
        <v>15</v>
      </c>
      <c r="V272">
        <f>K272-'2022a_250601_0524'!K272</f>
        <v>0</v>
      </c>
      <c r="W272" s="11">
        <f>V272/'2022a_250601_0524'!K272</f>
        <v>0</v>
      </c>
      <c r="X272">
        <f>L272-'2022a_250601_0524'!L272</f>
        <v>0.71314170000000043</v>
      </c>
      <c r="Y272" s="11">
        <f>X272/'2022a_250601_0524'!L272</f>
        <v>0.15200805154338309</v>
      </c>
    </row>
    <row r="273" spans="1:25" x14ac:dyDescent="0.25">
      <c r="A273">
        <v>272</v>
      </c>
      <c r="B273">
        <v>185</v>
      </c>
      <c r="C273" t="s">
        <v>45</v>
      </c>
      <c r="D273" t="s">
        <v>17</v>
      </c>
      <c r="E273" t="s">
        <v>18</v>
      </c>
      <c r="F273" t="s">
        <v>19</v>
      </c>
      <c r="G273" t="s">
        <v>26</v>
      </c>
      <c r="H273" t="s">
        <v>21</v>
      </c>
      <c r="I273" t="s">
        <v>64</v>
      </c>
      <c r="J273" t="s">
        <v>23</v>
      </c>
      <c r="K273">
        <v>515</v>
      </c>
      <c r="L273" s="4">
        <v>22.364573700000001</v>
      </c>
      <c r="M273" s="4">
        <v>112.7068315345371</v>
      </c>
      <c r="N273" s="4">
        <v>-79.241208826314192</v>
      </c>
      <c r="O273" s="1" t="str">
        <f>HYPERLINK(".\sm_car_250601_1258\sm_car_250601_1258_272_Ca185TrN_MaTUR_ode23t_1.png","figure")</f>
        <v>figure</v>
      </c>
      <c r="P273" t="s">
        <v>15</v>
      </c>
      <c r="V273">
        <f>K273-'2022a_250601_0524'!K273</f>
        <v>0</v>
      </c>
      <c r="W273" s="11">
        <f>V273/'2022a_250601_0524'!K273</f>
        <v>0</v>
      </c>
      <c r="X273">
        <f>L273-'2022a_250601_0524'!L273</f>
        <v>-0.35703439999999986</v>
      </c>
      <c r="Y273" s="11">
        <f>X273/'2022a_250601_0524'!L273</f>
        <v>-1.5713430071879458E-2</v>
      </c>
    </row>
    <row r="274" spans="1:25" x14ac:dyDescent="0.25">
      <c r="A274">
        <v>273</v>
      </c>
      <c r="B274">
        <v>188</v>
      </c>
      <c r="C274" t="s">
        <v>45</v>
      </c>
      <c r="D274" t="s">
        <v>113</v>
      </c>
      <c r="E274" t="s">
        <v>49</v>
      </c>
      <c r="F274" t="s">
        <v>19</v>
      </c>
      <c r="G274" t="s">
        <v>26</v>
      </c>
      <c r="H274" t="s">
        <v>21</v>
      </c>
      <c r="I274" t="s">
        <v>64</v>
      </c>
      <c r="J274" t="s">
        <v>23</v>
      </c>
      <c r="K274">
        <v>538</v>
      </c>
      <c r="L274" s="4">
        <v>7.9868442999999996</v>
      </c>
      <c r="M274" s="4">
        <v>140.60859017668929</v>
      </c>
      <c r="N274" s="4">
        <v>-71.740086664623803</v>
      </c>
      <c r="O274" s="1" t="str">
        <f>HYPERLINK(".\sm_car_250601_1258\sm_car_250601_1258_273_Ca188TrN_MaTUR_ode23t_1.png","figure")</f>
        <v>figure</v>
      </c>
      <c r="P274" t="s">
        <v>15</v>
      </c>
      <c r="V274">
        <f>K274-'2022a_250601_0524'!K274</f>
        <v>0</v>
      </c>
      <c r="W274" s="11">
        <f>V274/'2022a_250601_0524'!K274</f>
        <v>0</v>
      </c>
      <c r="X274">
        <f>L274-'2022a_250601_0524'!L274</f>
        <v>0.31887229999999978</v>
      </c>
      <c r="Y274" s="11">
        <f>X274/'2022a_250601_0524'!L274</f>
        <v>4.1584958839181958E-2</v>
      </c>
    </row>
    <row r="275" spans="1:25" x14ac:dyDescent="0.25">
      <c r="A275">
        <v>274</v>
      </c>
      <c r="B275" t="s">
        <v>94</v>
      </c>
      <c r="C275" t="s">
        <v>95</v>
      </c>
      <c r="D275" t="s">
        <v>35</v>
      </c>
      <c r="E275" t="s">
        <v>18</v>
      </c>
      <c r="F275" t="s">
        <v>19</v>
      </c>
      <c r="G275" t="s">
        <v>96</v>
      </c>
      <c r="H275" t="s">
        <v>21</v>
      </c>
      <c r="I275" t="s">
        <v>22</v>
      </c>
      <c r="J275" t="s">
        <v>23</v>
      </c>
      <c r="K275">
        <v>441</v>
      </c>
      <c r="L275" s="4">
        <v>16.569359899999998</v>
      </c>
      <c r="M275" s="4">
        <v>79.220922629445354</v>
      </c>
      <c r="N275" s="4">
        <v>-0.33365900389598846</v>
      </c>
      <c r="O275" s="1" t="str">
        <f>HYPERLINK(".\sm_car_250601_1258\sm_car_Axle3_250601_1258_274_CaAxle3_000TrN_MaWOT_ode23t_1.png","figure")</f>
        <v>figure</v>
      </c>
      <c r="P275" t="s">
        <v>15</v>
      </c>
      <c r="V275">
        <f>K275-'2022a_250601_0524'!K275</f>
        <v>0</v>
      </c>
      <c r="W275" s="11">
        <f>V275/'2022a_250601_0524'!K275</f>
        <v>0</v>
      </c>
      <c r="X275">
        <f>L275-'2022a_250601_0524'!L275</f>
        <v>2.5533153999999989</v>
      </c>
      <c r="Y275" s="11">
        <f>X275/'2022a_250601_0524'!L275</f>
        <v>0.18217089707442061</v>
      </c>
    </row>
    <row r="276" spans="1:25" x14ac:dyDescent="0.25">
      <c r="A276">
        <v>275</v>
      </c>
      <c r="B276" t="s">
        <v>99</v>
      </c>
      <c r="C276" t="s">
        <v>100</v>
      </c>
      <c r="D276" t="s">
        <v>35</v>
      </c>
      <c r="E276" t="s">
        <v>18</v>
      </c>
      <c r="F276" t="s">
        <v>19</v>
      </c>
      <c r="G276" t="s">
        <v>96</v>
      </c>
      <c r="H276" t="s">
        <v>21</v>
      </c>
      <c r="I276" t="s">
        <v>22</v>
      </c>
      <c r="J276" t="s">
        <v>23</v>
      </c>
      <c r="K276">
        <v>476</v>
      </c>
      <c r="L276" s="4">
        <v>13.9900535</v>
      </c>
      <c r="M276" s="4">
        <v>68.926561662831958</v>
      </c>
      <c r="N276" s="4">
        <v>8.3279586275803619E-2</v>
      </c>
      <c r="O276" s="1" t="str">
        <f>HYPERLINK(".\sm_car_250601_1258\sm_car_Axle3_250601_1258_275_CaAxle3_008TrN_MaWOT_ode23t_1.png","figure")</f>
        <v>figure</v>
      </c>
      <c r="P276" t="s">
        <v>15</v>
      </c>
      <c r="V276">
        <f>K276-'2022a_250601_0524'!K276</f>
        <v>0</v>
      </c>
      <c r="W276" s="11">
        <f>V276/'2022a_250601_0524'!K276</f>
        <v>0</v>
      </c>
      <c r="X276">
        <f>L276-'2022a_250601_0524'!L276</f>
        <v>1.2146032000000009</v>
      </c>
      <c r="Y276" s="11">
        <f>X276/'2022a_250601_0524'!L276</f>
        <v>9.5073220237098091E-2</v>
      </c>
    </row>
    <row r="277" spans="1:25" x14ac:dyDescent="0.25">
      <c r="A277">
        <v>276</v>
      </c>
      <c r="B277" t="s">
        <v>97</v>
      </c>
      <c r="C277" t="s">
        <v>95</v>
      </c>
      <c r="D277" t="s">
        <v>35</v>
      </c>
      <c r="E277" t="s">
        <v>49</v>
      </c>
      <c r="F277" t="s">
        <v>19</v>
      </c>
      <c r="G277" t="s">
        <v>98</v>
      </c>
      <c r="H277" t="s">
        <v>21</v>
      </c>
      <c r="I277" t="s">
        <v>22</v>
      </c>
      <c r="J277" t="s">
        <v>23</v>
      </c>
      <c r="K277">
        <v>426</v>
      </c>
      <c r="L277" s="4">
        <v>14.9851198</v>
      </c>
      <c r="M277" s="4">
        <v>79.265706861750871</v>
      </c>
      <c r="N277" s="4">
        <v>-0.31323883463624247</v>
      </c>
      <c r="O277" s="1" t="str">
        <f>HYPERLINK(".\sm_car_250601_1258\sm_car_Axle3_250601_1258_276_CaAxle3_003TrN_MaWOT_ode23t_1.png","figure")</f>
        <v>figure</v>
      </c>
      <c r="P277" t="s">
        <v>15</v>
      </c>
      <c r="V277">
        <f>K277-'2022a_250601_0524'!K277</f>
        <v>0</v>
      </c>
      <c r="W277" s="11">
        <f>V277/'2022a_250601_0524'!K277</f>
        <v>0</v>
      </c>
      <c r="X277">
        <f>L277-'2022a_250601_0524'!L277</f>
        <v>1.4122307000000003</v>
      </c>
      <c r="Y277" s="11">
        <f>X277/'2022a_250601_0524'!L277</f>
        <v>0.10404790679384542</v>
      </c>
    </row>
    <row r="278" spans="1:25" x14ac:dyDescent="0.25">
      <c r="A278">
        <v>277</v>
      </c>
      <c r="B278" t="s">
        <v>114</v>
      </c>
      <c r="C278" t="s">
        <v>95</v>
      </c>
      <c r="D278" t="s">
        <v>35</v>
      </c>
      <c r="E278" t="s">
        <v>107</v>
      </c>
      <c r="F278" t="s">
        <v>19</v>
      </c>
      <c r="G278" t="s">
        <v>98</v>
      </c>
      <c r="H278" t="s">
        <v>21</v>
      </c>
      <c r="I278" t="s">
        <v>22</v>
      </c>
      <c r="J278" t="s">
        <v>23</v>
      </c>
      <c r="K278">
        <v>427</v>
      </c>
      <c r="L278" s="4">
        <v>2.4961085999999999</v>
      </c>
      <c r="M278" s="4">
        <v>80.145520056216895</v>
      </c>
      <c r="N278" s="4">
        <v>-0.31945069771391377</v>
      </c>
      <c r="O278" s="1" t="str">
        <f>HYPERLINK(".\sm_car_250601_1258\sm_car_Axle3_250601_1258_277_CaAxle3_017TrN_MaWOT_ode23t_1.png","figure")</f>
        <v>figure</v>
      </c>
      <c r="P278" t="s">
        <v>15</v>
      </c>
      <c r="V278">
        <f>K278-'2022a_250601_0524'!K278</f>
        <v>0</v>
      </c>
      <c r="W278" s="11">
        <f>V278/'2022a_250601_0524'!K278</f>
        <v>0</v>
      </c>
      <c r="X278">
        <f>L278-'2022a_250601_0524'!L278</f>
        <v>0.33703009999999978</v>
      </c>
      <c r="Y278" s="11">
        <f>X278/'2022a_250601_0524'!L278</f>
        <v>0.15609904873769054</v>
      </c>
    </row>
    <row r="279" spans="1:25" x14ac:dyDescent="0.25">
      <c r="A279">
        <v>278</v>
      </c>
      <c r="B279" t="s">
        <v>101</v>
      </c>
      <c r="C279" t="s">
        <v>100</v>
      </c>
      <c r="D279" t="s">
        <v>35</v>
      </c>
      <c r="E279" t="s">
        <v>49</v>
      </c>
      <c r="F279" t="s">
        <v>19</v>
      </c>
      <c r="G279" t="s">
        <v>96</v>
      </c>
      <c r="H279" t="s">
        <v>102</v>
      </c>
      <c r="I279" t="s">
        <v>22</v>
      </c>
      <c r="J279" t="s">
        <v>23</v>
      </c>
      <c r="K279">
        <v>389</v>
      </c>
      <c r="L279" s="4">
        <v>36.807021900000002</v>
      </c>
      <c r="M279" s="4">
        <v>23.441197642076311</v>
      </c>
      <c r="N279" s="4">
        <v>2.5338231217298043E-3</v>
      </c>
      <c r="O279" s="1" t="str">
        <f>HYPERLINK(".\sm_car_250601_1258\sm_car_Axle3_250601_1258_278_CaAxle3_010TrK_MaWOT_ode23t_1.png","figure")</f>
        <v>figure</v>
      </c>
      <c r="P279" t="s">
        <v>15</v>
      </c>
      <c r="V279">
        <f>K279-'2022a_250601_0524'!K279</f>
        <v>0</v>
      </c>
      <c r="W279" s="11">
        <f>V279/'2022a_250601_0524'!K279</f>
        <v>0</v>
      </c>
      <c r="X279">
        <f>L279-'2022a_250601_0524'!L279</f>
        <v>2.3025494000000037</v>
      </c>
      <c r="Y279" s="11">
        <f>X279/'2022a_250601_0524'!L279</f>
        <v>6.6731911348594117E-2</v>
      </c>
    </row>
    <row r="280" spans="1:25" x14ac:dyDescent="0.25">
      <c r="A280">
        <v>279</v>
      </c>
      <c r="B280" t="s">
        <v>101</v>
      </c>
      <c r="C280" t="s">
        <v>100</v>
      </c>
      <c r="D280" t="s">
        <v>35</v>
      </c>
      <c r="E280" t="s">
        <v>49</v>
      </c>
      <c r="F280" t="s">
        <v>19</v>
      </c>
      <c r="G280" t="s">
        <v>96</v>
      </c>
      <c r="H280" t="s">
        <v>102</v>
      </c>
      <c r="I280" t="s">
        <v>22</v>
      </c>
      <c r="J280" t="s">
        <v>23</v>
      </c>
      <c r="K280">
        <v>408</v>
      </c>
      <c r="L280" s="4">
        <v>36.470090200000001</v>
      </c>
      <c r="M280" s="4">
        <v>23.429999926382738</v>
      </c>
      <c r="N280" s="4">
        <v>2.5300522592802965E-3</v>
      </c>
      <c r="O280" s="1" t="str">
        <f>HYPERLINK(".\sm_car_250601_1258\sm_car_Axle3_250601_1258_279_CaAxle3_010TrK_MaWOT_ode23t_1.png","figure")</f>
        <v>figure</v>
      </c>
      <c r="P280" t="s">
        <v>15</v>
      </c>
      <c r="V280">
        <f>K280-'2022a_250601_0524'!K280</f>
        <v>0</v>
      </c>
      <c r="W280" s="11">
        <f>V280/'2022a_250601_0524'!K280</f>
        <v>0</v>
      </c>
      <c r="X280">
        <f>L280-'2022a_250601_0524'!L280</f>
        <v>3.6587779999999981</v>
      </c>
      <c r="Y280" s="11">
        <f>X280/'2022a_250601_0524'!L280</f>
        <v>0.11150965184501209</v>
      </c>
    </row>
    <row r="281" spans="1:25" x14ac:dyDescent="0.25">
      <c r="A281">
        <v>280</v>
      </c>
      <c r="B281" t="s">
        <v>115</v>
      </c>
      <c r="C281" t="s">
        <v>100</v>
      </c>
      <c r="D281" t="s">
        <v>35</v>
      </c>
      <c r="E281" t="s">
        <v>107</v>
      </c>
      <c r="F281" t="s">
        <v>19</v>
      </c>
      <c r="G281" t="s">
        <v>96</v>
      </c>
      <c r="H281" t="s">
        <v>102</v>
      </c>
      <c r="I281" t="s">
        <v>22</v>
      </c>
      <c r="J281" t="s">
        <v>23</v>
      </c>
      <c r="K281">
        <v>398</v>
      </c>
      <c r="L281" s="4">
        <v>3.0275639999999999</v>
      </c>
      <c r="M281" s="4">
        <v>26.938643279552089</v>
      </c>
      <c r="N281" s="4">
        <v>3.6338408759568099E-3</v>
      </c>
      <c r="O281" s="1" t="str">
        <f>HYPERLINK(".\sm_car_250601_1258\sm_car_Axle3_250601_1258_280_CaAxle3_019TrK_MaWOT_ode23t_1.png","figure")</f>
        <v>figure</v>
      </c>
      <c r="P281" t="s">
        <v>15</v>
      </c>
      <c r="V281">
        <f>K281-'2022a_250601_0524'!K281</f>
        <v>0</v>
      </c>
      <c r="W281" s="11">
        <f>V281/'2022a_250601_0524'!K281</f>
        <v>0</v>
      </c>
      <c r="X281">
        <f>L281-'2022a_250601_0524'!L281</f>
        <v>0.26029489999999988</v>
      </c>
      <c r="Y281" s="11">
        <f>X281/'2022a_250601_0524'!L281</f>
        <v>9.4062012256054137E-2</v>
      </c>
    </row>
    <row r="282" spans="1:25" x14ac:dyDescent="0.25">
      <c r="A282">
        <v>281</v>
      </c>
      <c r="B282" t="s">
        <v>115</v>
      </c>
      <c r="C282" t="s">
        <v>100</v>
      </c>
      <c r="D282" t="s">
        <v>35</v>
      </c>
      <c r="E282" t="s">
        <v>107</v>
      </c>
      <c r="F282" t="s">
        <v>19</v>
      </c>
      <c r="G282" t="s">
        <v>96</v>
      </c>
      <c r="H282" t="s">
        <v>102</v>
      </c>
      <c r="I282" t="s">
        <v>22</v>
      </c>
      <c r="J282" t="s">
        <v>23</v>
      </c>
      <c r="K282">
        <v>407</v>
      </c>
      <c r="L282" s="4">
        <v>3.1393721000000001</v>
      </c>
      <c r="M282" s="4">
        <v>26.922858662192844</v>
      </c>
      <c r="N282" s="4">
        <v>3.6250774264289382E-3</v>
      </c>
      <c r="O282" s="1" t="str">
        <f>HYPERLINK(".\sm_car_250601_1258\sm_car_Axle3_250601_1258_281_CaAxle3_019TrK_MaWOT_ode23t_1.png","figure")</f>
        <v>figure</v>
      </c>
      <c r="P282" t="s">
        <v>15</v>
      </c>
      <c r="V282">
        <f>K282-'2022a_250601_0524'!K282</f>
        <v>0</v>
      </c>
      <c r="W282" s="11">
        <f>V282/'2022a_250601_0524'!K282</f>
        <v>0</v>
      </c>
      <c r="X282">
        <f>L282-'2022a_250601_0524'!L282</f>
        <v>-0.37144099999999991</v>
      </c>
      <c r="Y282" s="11">
        <f>X282/'2022a_250601_0524'!L282</f>
        <v>-0.10579913809709776</v>
      </c>
    </row>
    <row r="283" spans="1:25" x14ac:dyDescent="0.25">
      <c r="A283">
        <v>282</v>
      </c>
      <c r="B283" t="s">
        <v>115</v>
      </c>
      <c r="C283" t="s">
        <v>100</v>
      </c>
      <c r="D283" t="s">
        <v>35</v>
      </c>
      <c r="E283" t="s">
        <v>107</v>
      </c>
      <c r="F283" t="s">
        <v>19</v>
      </c>
      <c r="G283" t="s">
        <v>96</v>
      </c>
      <c r="H283" t="s">
        <v>102</v>
      </c>
      <c r="I283" t="s">
        <v>53</v>
      </c>
      <c r="J283" t="s">
        <v>23</v>
      </c>
      <c r="K283">
        <v>699</v>
      </c>
      <c r="L283" s="4">
        <v>4.5950252999999996</v>
      </c>
      <c r="M283" s="4">
        <v>253.8556991047754</v>
      </c>
      <c r="N283" s="4">
        <v>-0.1003578589398777</v>
      </c>
      <c r="O283" s="1" t="str">
        <f>HYPERLINK(".\sm_car_250601_1258\sm_car_Axle3_250601_1258_282_CaAxle3_019TrK_MaDLC_ode23t_1.png","figure")</f>
        <v>figure</v>
      </c>
      <c r="P283" t="s">
        <v>15</v>
      </c>
      <c r="V283">
        <f>K283-'2022a_250601_0524'!K283</f>
        <v>0</v>
      </c>
      <c r="W283" s="11">
        <f>V283/'2022a_250601_0524'!K283</f>
        <v>0</v>
      </c>
      <c r="X283">
        <f>L283-'2022a_250601_0524'!L283</f>
        <v>0.23781479999999977</v>
      </c>
      <c r="Y283" s="11">
        <f>X283/'2022a_250601_0524'!L283</f>
        <v>5.4579598575740094E-2</v>
      </c>
    </row>
    <row r="284" spans="1:25" x14ac:dyDescent="0.25">
      <c r="A284">
        <v>283</v>
      </c>
      <c r="B284" t="s">
        <v>115</v>
      </c>
      <c r="C284" t="s">
        <v>100</v>
      </c>
      <c r="D284" t="s">
        <v>35</v>
      </c>
      <c r="E284" t="s">
        <v>107</v>
      </c>
      <c r="F284" t="s">
        <v>19</v>
      </c>
      <c r="G284" t="s">
        <v>96</v>
      </c>
      <c r="H284" t="s">
        <v>102</v>
      </c>
      <c r="I284" t="s">
        <v>53</v>
      </c>
      <c r="J284" t="s">
        <v>23</v>
      </c>
      <c r="K284">
        <v>784</v>
      </c>
      <c r="L284" s="4">
        <v>5.5482300999999996</v>
      </c>
      <c r="M284" s="4">
        <v>253.19935915830922</v>
      </c>
      <c r="N284" s="4">
        <v>-9.7683174959912744E-2</v>
      </c>
      <c r="O284" s="1" t="str">
        <f>HYPERLINK(".\sm_car_250601_1258\sm_car_Axle3_250601_1258_283_CaAxle3_019TrK_MaDLC_ode23t_1.png","figure")</f>
        <v>figure</v>
      </c>
      <c r="P284" t="s">
        <v>15</v>
      </c>
      <c r="V284">
        <f>K284-'2022a_250601_0524'!K284</f>
        <v>-8</v>
      </c>
      <c r="W284" s="11">
        <f>V284/'2022a_250601_0524'!K284</f>
        <v>-1.0101010101010102E-2</v>
      </c>
      <c r="X284">
        <f>L284-'2022a_250601_0524'!L284</f>
        <v>0.90152969999999932</v>
      </c>
      <c r="Y284" s="11">
        <f>X284/'2022a_250601_0524'!L284</f>
        <v>0.19401502623237754</v>
      </c>
    </row>
    <row r="285" spans="1:25" x14ac:dyDescent="0.25">
      <c r="A285">
        <v>284</v>
      </c>
      <c r="B285" t="s">
        <v>115</v>
      </c>
      <c r="C285" t="s">
        <v>100</v>
      </c>
      <c r="D285" t="s">
        <v>35</v>
      </c>
      <c r="E285" t="s">
        <v>107</v>
      </c>
      <c r="F285" t="s">
        <v>19</v>
      </c>
      <c r="G285" t="s">
        <v>96</v>
      </c>
      <c r="H285" t="s">
        <v>102</v>
      </c>
      <c r="I285" t="s">
        <v>53</v>
      </c>
      <c r="J285" t="s">
        <v>23</v>
      </c>
      <c r="K285">
        <v>685</v>
      </c>
      <c r="L285" s="4">
        <v>5.0327747</v>
      </c>
      <c r="M285" s="4">
        <v>254.05633400541888</v>
      </c>
      <c r="N285" s="4">
        <v>-0.10070949822929842</v>
      </c>
      <c r="O285" s="1" t="str">
        <f>HYPERLINK(".\sm_car_250601_1258\sm_car_Axle3_250601_1258_284_CaAxle3_019TrK_MaDLC_ode23t_1.png","figure")</f>
        <v>figure</v>
      </c>
      <c r="P285" t="s">
        <v>15</v>
      </c>
      <c r="V285">
        <f>K285-'2022a_250601_0524'!K285</f>
        <v>0</v>
      </c>
      <c r="W285" s="11">
        <f>V285/'2022a_250601_0524'!K285</f>
        <v>0</v>
      </c>
      <c r="X285">
        <f>L285-'2022a_250601_0524'!L285</f>
        <v>4.9629600000000273E-2</v>
      </c>
      <c r="Y285" s="11">
        <f>X285/'2022a_250601_0524'!L285</f>
        <v>9.9594932525645854E-3</v>
      </c>
    </row>
    <row r="286" spans="1:25" x14ac:dyDescent="0.25">
      <c r="A286">
        <v>285</v>
      </c>
      <c r="B286" t="s">
        <v>115</v>
      </c>
      <c r="C286" t="s">
        <v>100</v>
      </c>
      <c r="D286" t="s">
        <v>35</v>
      </c>
      <c r="E286" t="s">
        <v>107</v>
      </c>
      <c r="F286" t="s">
        <v>19</v>
      </c>
      <c r="G286" t="s">
        <v>96</v>
      </c>
      <c r="H286" t="s">
        <v>102</v>
      </c>
      <c r="I286" t="s">
        <v>53</v>
      </c>
      <c r="J286" t="s">
        <v>23</v>
      </c>
      <c r="K286">
        <v>922</v>
      </c>
      <c r="L286" s="4">
        <v>6.0049973000000003</v>
      </c>
      <c r="M286" s="4">
        <v>253.66745974644425</v>
      </c>
      <c r="N286" s="4">
        <v>-9.3488631418418677E-2</v>
      </c>
      <c r="O286" s="1" t="str">
        <f>HYPERLINK(".\sm_car_250601_1258\sm_car_Axle3_250601_1258_285_CaAxle3_019TrK_MaDLC_ode23t_1.png","figure")</f>
        <v>figure</v>
      </c>
      <c r="P286" t="s">
        <v>15</v>
      </c>
      <c r="V286">
        <f>K286-'2022a_250601_0524'!K286</f>
        <v>-5</v>
      </c>
      <c r="W286" s="11">
        <f>V286/'2022a_250601_0524'!K286</f>
        <v>-5.3937432578209281E-3</v>
      </c>
      <c r="X286">
        <f>L286-'2022a_250601_0524'!L286</f>
        <v>0.75895560000000017</v>
      </c>
      <c r="Y286" s="11">
        <f>X286/'2022a_250601_0524'!L286</f>
        <v>0.14467204864193134</v>
      </c>
    </row>
    <row r="287" spans="1:25" x14ac:dyDescent="0.25">
      <c r="A287">
        <v>286</v>
      </c>
      <c r="B287" t="s">
        <v>138</v>
      </c>
      <c r="C287" t="s">
        <v>139</v>
      </c>
      <c r="D287" t="s">
        <v>35</v>
      </c>
      <c r="E287" t="s">
        <v>49</v>
      </c>
      <c r="F287" t="s">
        <v>19</v>
      </c>
      <c r="G287" t="s">
        <v>96</v>
      </c>
      <c r="H287" t="s">
        <v>102</v>
      </c>
      <c r="I287" t="s">
        <v>22</v>
      </c>
      <c r="J287" t="s">
        <v>23</v>
      </c>
      <c r="K287">
        <v>346</v>
      </c>
      <c r="L287" s="4">
        <v>3.1640888</v>
      </c>
      <c r="M287" s="4">
        <v>85.306904634675533</v>
      </c>
      <c r="N287" s="4">
        <v>7.0142610387136706E-2</v>
      </c>
      <c r="O287" s="1" t="str">
        <f>HYPERLINK(".\sm_car_250601_1258\sm_car_Axle3_250601_1258_286_CaAxle3_023TrK_MaWOT_ode23t_1.png","figure")</f>
        <v>figure</v>
      </c>
      <c r="P287" t="s">
        <v>15</v>
      </c>
      <c r="V287">
        <f>K287-'2022a_250601_0524'!K287</f>
        <v>3</v>
      </c>
      <c r="W287" s="11">
        <f>V287/'2022a_250601_0524'!K287</f>
        <v>8.7463556851311956E-3</v>
      </c>
      <c r="X287">
        <f>L287-'2022a_250601_0524'!L287</f>
        <v>0.24505070000000018</v>
      </c>
      <c r="Y287" s="11">
        <f>X287/'2022a_250601_0524'!L287</f>
        <v>8.3949126940138327E-2</v>
      </c>
    </row>
  </sheetData>
  <conditionalFormatting sqref="V2:V28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{4E6A1766-2FA6-46BA-907A-83921B9B1751}</x14:id>
        </ext>
      </extLst>
    </cfRule>
  </conditionalFormatting>
  <conditionalFormatting sqref="W2:W28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{6A7479DA-E16E-4E3E-8CF5-18DC92819ABE}</x14:id>
        </ext>
      </extLst>
    </cfRule>
  </conditionalFormatting>
  <conditionalFormatting sqref="Y2:Y28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{731ACBBF-C6CB-4EC7-BA21-0789E2F1509F}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6A1766-2FA6-46BA-907A-83921B9B17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V2:V287</xm:sqref>
        </x14:conditionalFormatting>
        <x14:conditionalFormatting xmlns:xm="http://schemas.microsoft.com/office/excel/2006/main">
          <x14:cfRule type="dataBar" id="{6A7479DA-E16E-4E3E-8CF5-18DC92819A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W2:W287</xm:sqref>
        </x14:conditionalFormatting>
        <x14:conditionalFormatting xmlns:xm="http://schemas.microsoft.com/office/excel/2006/main">
          <x14:cfRule type="dataBar" id="{731ACBBF-C6CB-4EC7-BA21-0789E2F150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Y2:Y287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86D0-AAFC-4B65-9A62-AEB4D4D381B1}">
  <dimension ref="A1:T53"/>
  <sheetViews>
    <sheetView workbookViewId="0">
      <selection activeCell="B3" sqref="B3"/>
    </sheetView>
  </sheetViews>
  <sheetFormatPr defaultRowHeight="15" x14ac:dyDescent="0.25"/>
  <cols>
    <col min="1" max="1" width="4.42578125" bestFit="1" customWidth="1"/>
    <col min="2" max="2" width="6.7109375" bestFit="1" customWidth="1"/>
    <col min="3" max="3" width="9.28515625" bestFit="1" customWidth="1"/>
    <col min="4" max="4" width="12.42578125" bestFit="1" customWidth="1"/>
    <col min="5" max="5" width="9.85546875" bestFit="1" customWidth="1"/>
    <col min="6" max="6" width="6.85546875" bestFit="1" customWidth="1"/>
    <col min="7" max="7" width="14.28515625" bestFit="1" customWidth="1"/>
    <col min="8" max="8" width="5.85546875" bestFit="1" customWidth="1"/>
    <col min="9" max="9" width="16.7109375" bestFit="1" customWidth="1"/>
    <col min="10" max="10" width="12.42578125" bestFit="1" customWidth="1"/>
    <col min="11" max="11" width="7.140625" bestFit="1" customWidth="1"/>
    <col min="12" max="12" width="7.28515625" bestFit="1" customWidth="1"/>
    <col min="13" max="14" width="7.5703125" bestFit="1" customWidth="1"/>
    <col min="15" max="15" width="6.28515625" bestFit="1" customWidth="1"/>
    <col min="16" max="16" width="6.5703125" bestFit="1" customWidth="1"/>
    <col min="17" max="17" width="4.85546875" bestFit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6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S1" s="2" t="s">
        <v>150</v>
      </c>
    </row>
    <row r="2" spans="1:19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148</v>
      </c>
      <c r="K2" t="s">
        <v>23</v>
      </c>
      <c r="L2">
        <v>423</v>
      </c>
      <c r="M2" s="4">
        <v>6.7661885000000002</v>
      </c>
      <c r="N2" s="4">
        <v>231.2177424405688</v>
      </c>
      <c r="O2" s="4">
        <v>-4.8384781673831328E-3</v>
      </c>
      <c r="P2" s="1" t="str">
        <f>HYPERLINK(".\sm_car_250602_1237\sm_car_250602_1237_001_Ca000TrN_MaWOT_DrSt_ode23t.png","figure")</f>
        <v>figure</v>
      </c>
      <c r="Q2" t="s">
        <v>15</v>
      </c>
      <c r="S2" s="2" t="s">
        <v>116</v>
      </c>
    </row>
    <row r="3" spans="1:19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24</v>
      </c>
      <c r="J3" t="s">
        <v>148</v>
      </c>
      <c r="K3" t="s">
        <v>23</v>
      </c>
      <c r="L3">
        <v>533</v>
      </c>
      <c r="M3" s="4">
        <v>7.6611482999999998</v>
      </c>
      <c r="N3" s="4">
        <v>71.236125327442352</v>
      </c>
      <c r="O3" s="4">
        <v>-0.53981194400981525</v>
      </c>
      <c r="P3" s="1" t="str">
        <f>HYPERLINK(".\sm_car_250602_1237\sm_car_250602_1237_002_Ca000TrN_MaLSS_DrSt_ode23t.png","figure")</f>
        <v>figure</v>
      </c>
      <c r="Q3" t="s">
        <v>15</v>
      </c>
      <c r="S3" s="2" t="s">
        <v>117</v>
      </c>
    </row>
    <row r="4" spans="1:19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21</v>
      </c>
      <c r="I4" t="s">
        <v>22</v>
      </c>
      <c r="J4" t="s">
        <v>148</v>
      </c>
      <c r="K4" t="s">
        <v>23</v>
      </c>
      <c r="L4">
        <v>421</v>
      </c>
      <c r="M4" s="4">
        <v>7.3282648000000004</v>
      </c>
      <c r="N4" s="4">
        <v>230.31073710127711</v>
      </c>
      <c r="O4" s="4">
        <v>-1.2513166869400516E-2</v>
      </c>
      <c r="P4" s="1" t="str">
        <f>HYPERLINK(".\sm_car_250602_1237\sm_car_250602_1237_003_Ca001TrN_MaWOT_DrSt_ode23t.png","figure")</f>
        <v>figure</v>
      </c>
      <c r="Q4" t="s">
        <v>15</v>
      </c>
      <c r="S4" s="2" t="s">
        <v>118</v>
      </c>
    </row>
    <row r="5" spans="1:19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25</v>
      </c>
      <c r="H5" t="s">
        <v>21</v>
      </c>
      <c r="I5" t="s">
        <v>24</v>
      </c>
      <c r="J5" t="s">
        <v>148</v>
      </c>
      <c r="K5" t="s">
        <v>23</v>
      </c>
      <c r="L5">
        <v>522</v>
      </c>
      <c r="M5" s="4">
        <v>8.0491738000000002</v>
      </c>
      <c r="N5" s="4">
        <v>70.961988299975928</v>
      </c>
      <c r="O5" s="4">
        <v>-0.53536836924365883</v>
      </c>
      <c r="P5" s="1" t="str">
        <f>HYPERLINK(".\sm_car_250602_1237\sm_car_250602_1237_004_Ca001TrN_MaLSS_DrSt_ode23t.png","figure")</f>
        <v>figure</v>
      </c>
      <c r="Q5" t="s">
        <v>15</v>
      </c>
      <c r="S5" t="s">
        <v>151</v>
      </c>
    </row>
    <row r="6" spans="1:19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26</v>
      </c>
      <c r="H6" t="s">
        <v>21</v>
      </c>
      <c r="I6" t="s">
        <v>22</v>
      </c>
      <c r="J6" t="s">
        <v>148</v>
      </c>
      <c r="K6" t="s">
        <v>23</v>
      </c>
      <c r="L6">
        <v>431</v>
      </c>
      <c r="M6" s="4">
        <v>10.756826</v>
      </c>
      <c r="N6" s="4">
        <v>230.39353132088564</v>
      </c>
      <c r="O6" s="4">
        <v>5.3633281204426446E-2</v>
      </c>
      <c r="P6" s="1" t="str">
        <f>HYPERLINK(".\sm_car_250602_1237\sm_car_250602_1237_005_Ca002TrN_MaWOT_DrSt_ode23t.png","figure")</f>
        <v>figure</v>
      </c>
      <c r="Q6" t="s">
        <v>15</v>
      </c>
    </row>
    <row r="7" spans="1:19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26</v>
      </c>
      <c r="H7" t="s">
        <v>21</v>
      </c>
      <c r="I7" t="s">
        <v>24</v>
      </c>
      <c r="J7" t="s">
        <v>148</v>
      </c>
      <c r="K7" t="s">
        <v>23</v>
      </c>
      <c r="L7">
        <v>526</v>
      </c>
      <c r="M7" s="4">
        <v>11.1438384</v>
      </c>
      <c r="N7" s="4">
        <v>70.960569189103424</v>
      </c>
      <c r="O7" s="4">
        <v>-0.52803158816223184</v>
      </c>
      <c r="P7" s="1" t="str">
        <f>HYPERLINK(".\sm_car_250602_1237\sm_car_250602_1237_006_Ca002TrN_MaLSS_DrSt_ode23t.png","figure")</f>
        <v>figure</v>
      </c>
      <c r="Q7" t="s">
        <v>15</v>
      </c>
    </row>
    <row r="8" spans="1:19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27</v>
      </c>
      <c r="H8" t="s">
        <v>21</v>
      </c>
      <c r="I8" t="s">
        <v>22</v>
      </c>
      <c r="J8" t="s">
        <v>148</v>
      </c>
      <c r="K8" t="s">
        <v>23</v>
      </c>
      <c r="L8">
        <v>495</v>
      </c>
      <c r="M8" s="4">
        <v>12.105298899999999</v>
      </c>
      <c r="N8" s="4">
        <v>229.89357544752883</v>
      </c>
      <c r="O8" s="4">
        <v>6.2849007069600255E-2</v>
      </c>
      <c r="P8" s="1" t="str">
        <f>HYPERLINK(".\sm_car_250602_1237\sm_car_250602_1237_007_Ca003TrN_MaWOT_DrSt_ode23t.png","figure")</f>
        <v>figure</v>
      </c>
      <c r="Q8" t="s">
        <v>15</v>
      </c>
    </row>
    <row r="9" spans="1:19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27</v>
      </c>
      <c r="H9" t="s">
        <v>21</v>
      </c>
      <c r="I9" t="s">
        <v>24</v>
      </c>
      <c r="J9" t="s">
        <v>148</v>
      </c>
      <c r="K9" t="s">
        <v>23</v>
      </c>
      <c r="L9">
        <v>547</v>
      </c>
      <c r="M9" s="4">
        <v>12.0343578</v>
      </c>
      <c r="N9" s="4">
        <v>70.819478815268269</v>
      </c>
      <c r="O9" s="4">
        <v>-0.52802651899205089</v>
      </c>
      <c r="P9" s="1" t="str">
        <f>HYPERLINK(".\sm_car_250602_1237\sm_car_250602_1237_008_Ca003TrN_MaLSS_DrSt_ode23t.png","figure")</f>
        <v>figure</v>
      </c>
      <c r="Q9" t="s">
        <v>15</v>
      </c>
    </row>
    <row r="10" spans="1:19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20</v>
      </c>
      <c r="H10" t="s">
        <v>21</v>
      </c>
      <c r="I10" t="s">
        <v>22</v>
      </c>
      <c r="J10" t="s">
        <v>148</v>
      </c>
      <c r="K10" t="s">
        <v>23</v>
      </c>
      <c r="L10">
        <v>1085</v>
      </c>
      <c r="M10" s="4">
        <v>11.135820900000001</v>
      </c>
      <c r="N10" s="4">
        <v>231.35048401278598</v>
      </c>
      <c r="O10" s="4">
        <v>-4.0514741091662787E-3</v>
      </c>
      <c r="P10" s="1" t="str">
        <f>HYPERLINK(".\sm_car_250602_1237\sm_car_250602_1237_009_Ca004TrN_MaWOT_DrSt_ode23t.png","figure")</f>
        <v>figure</v>
      </c>
      <c r="Q10" t="s">
        <v>15</v>
      </c>
    </row>
    <row r="11" spans="1:19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20</v>
      </c>
      <c r="H11" t="s">
        <v>21</v>
      </c>
      <c r="I11" t="s">
        <v>24</v>
      </c>
      <c r="J11" t="s">
        <v>148</v>
      </c>
      <c r="K11" t="s">
        <v>23</v>
      </c>
      <c r="L11">
        <v>1206</v>
      </c>
      <c r="M11" s="4">
        <v>12.777351700000001</v>
      </c>
      <c r="N11" s="4">
        <v>71.24565934260167</v>
      </c>
      <c r="O11" s="4">
        <v>-0.54254908395302193</v>
      </c>
      <c r="P11" s="1" t="str">
        <f>HYPERLINK(".\sm_car_250602_1237\sm_car_250602_1237_010_Ca004TrN_MaLSS_DrSt_ode23t.png","figure")</f>
        <v>figure</v>
      </c>
      <c r="Q11" t="s">
        <v>15</v>
      </c>
    </row>
    <row r="12" spans="1:19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25</v>
      </c>
      <c r="H12" t="s">
        <v>21</v>
      </c>
      <c r="I12" t="s">
        <v>22</v>
      </c>
      <c r="J12" t="s">
        <v>148</v>
      </c>
      <c r="K12" t="s">
        <v>23</v>
      </c>
      <c r="L12">
        <v>1124</v>
      </c>
      <c r="M12" s="4">
        <v>13.210131000000001</v>
      </c>
      <c r="N12" s="4">
        <v>230.28632888358879</v>
      </c>
      <c r="O12" s="4">
        <v>-1.3535337425784914E-2</v>
      </c>
      <c r="P12" s="1" t="str">
        <f>HYPERLINK(".\sm_car_250602_1237\sm_car_250602_1237_011_Ca005TrN_MaWOT_DrSt_ode23t.png","figure")</f>
        <v>figure</v>
      </c>
      <c r="Q12" t="s">
        <v>15</v>
      </c>
    </row>
    <row r="13" spans="1:19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25</v>
      </c>
      <c r="H13" t="s">
        <v>21</v>
      </c>
      <c r="I13" t="s">
        <v>24</v>
      </c>
      <c r="J13" t="s">
        <v>148</v>
      </c>
      <c r="K13" t="s">
        <v>23</v>
      </c>
      <c r="L13">
        <v>1240</v>
      </c>
      <c r="M13" s="4">
        <v>14.581455699999999</v>
      </c>
      <c r="N13" s="4">
        <v>70.963484438638275</v>
      </c>
      <c r="O13" s="4">
        <v>-0.53562428490382352</v>
      </c>
      <c r="P13" s="1" t="str">
        <f>HYPERLINK(".\sm_car_250602_1237\sm_car_250602_1237_012_Ca005TrN_MaLSS_DrSt_ode23t.png","figure")</f>
        <v>figure</v>
      </c>
      <c r="Q13" t="s">
        <v>15</v>
      </c>
    </row>
    <row r="14" spans="1:19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26</v>
      </c>
      <c r="H14" t="s">
        <v>21</v>
      </c>
      <c r="I14" t="s">
        <v>22</v>
      </c>
      <c r="J14" t="s">
        <v>148</v>
      </c>
      <c r="K14" t="s">
        <v>23</v>
      </c>
      <c r="L14">
        <v>1192</v>
      </c>
      <c r="M14" s="4">
        <v>17.0723117</v>
      </c>
      <c r="N14" s="4">
        <v>230.31971790422389</v>
      </c>
      <c r="O14" s="4">
        <v>5.5554848513428533E-2</v>
      </c>
      <c r="P14" s="1" t="str">
        <f>HYPERLINK(".\sm_car_250602_1237\sm_car_250602_1237_013_Ca006TrN_MaWOT_DrSt_ode23t.png","figure")</f>
        <v>figure</v>
      </c>
      <c r="Q14" t="s">
        <v>15</v>
      </c>
    </row>
    <row r="15" spans="1:19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26</v>
      </c>
      <c r="H15" t="s">
        <v>21</v>
      </c>
      <c r="I15" t="s">
        <v>24</v>
      </c>
      <c r="J15" t="s">
        <v>148</v>
      </c>
      <c r="K15" t="s">
        <v>23</v>
      </c>
      <c r="L15">
        <v>1291</v>
      </c>
      <c r="M15" s="4">
        <v>15.652411799999999</v>
      </c>
      <c r="N15" s="4">
        <v>70.956870710847156</v>
      </c>
      <c r="O15" s="4">
        <v>-0.53363311785478917</v>
      </c>
      <c r="P15" s="1" t="str">
        <f>HYPERLINK(".\sm_car_250602_1237\sm_car_250602_1237_014_Ca006TrN_MaLSS_DrSt_ode23t.png","figure")</f>
        <v>figure</v>
      </c>
      <c r="Q15" t="s">
        <v>15</v>
      </c>
    </row>
    <row r="16" spans="1:19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27</v>
      </c>
      <c r="H16" t="s">
        <v>21</v>
      </c>
      <c r="I16" t="s">
        <v>22</v>
      </c>
      <c r="J16" t="s">
        <v>148</v>
      </c>
      <c r="K16" t="s">
        <v>23</v>
      </c>
      <c r="L16">
        <v>1208</v>
      </c>
      <c r="M16" s="4">
        <v>18.2710592</v>
      </c>
      <c r="N16" s="4">
        <v>229.90338511131827</v>
      </c>
      <c r="O16" s="4">
        <v>5.2787602454037671E-2</v>
      </c>
      <c r="P16" s="1" t="str">
        <f>HYPERLINK(".\sm_car_250602_1237\sm_car_250602_1237_015_Ca007TrN_MaWOT_DrSt_ode23t.png","figure")</f>
        <v>figure</v>
      </c>
      <c r="Q16" t="s">
        <v>15</v>
      </c>
    </row>
    <row r="17" spans="1:20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27</v>
      </c>
      <c r="H17" t="s">
        <v>21</v>
      </c>
      <c r="I17" t="s">
        <v>24</v>
      </c>
      <c r="J17" t="s">
        <v>148</v>
      </c>
      <c r="K17" t="s">
        <v>23</v>
      </c>
      <c r="L17">
        <v>1285</v>
      </c>
      <c r="M17" s="4">
        <v>18.059742100000001</v>
      </c>
      <c r="N17" s="4">
        <v>70.837615888645956</v>
      </c>
      <c r="O17" s="4">
        <v>-0.52847431114254728</v>
      </c>
      <c r="P17" s="1" t="str">
        <f>HYPERLINK(".\sm_car_250602_1237\sm_car_250602_1237_016_Ca007TrN_MaLSS_DrSt_ode23t.png","figure")</f>
        <v>figure</v>
      </c>
      <c r="Q17" t="s">
        <v>15</v>
      </c>
    </row>
    <row r="18" spans="1:20" x14ac:dyDescent="0.25">
      <c r="A18">
        <v>17</v>
      </c>
      <c r="B18">
        <v>12</v>
      </c>
      <c r="C18" t="s">
        <v>16</v>
      </c>
      <c r="D18" t="s">
        <v>17</v>
      </c>
      <c r="E18" t="s">
        <v>49</v>
      </c>
      <c r="F18" t="s">
        <v>28</v>
      </c>
      <c r="G18" t="s">
        <v>20</v>
      </c>
      <c r="H18" t="s">
        <v>21</v>
      </c>
      <c r="I18" t="s">
        <v>55</v>
      </c>
      <c r="J18" t="s">
        <v>148</v>
      </c>
      <c r="K18" t="s">
        <v>23</v>
      </c>
      <c r="L18">
        <v>2573</v>
      </c>
      <c r="M18" s="4">
        <v>41.424556199999998</v>
      </c>
      <c r="N18" s="4">
        <v>-1.6839541320541759E-2</v>
      </c>
      <c r="O18" s="4">
        <v>-0.64076123004374719</v>
      </c>
      <c r="P18" s="1" t="str">
        <f>HYPERLINK(".\sm_car_250602_1237\sm_car_250602_1237_017_Ca012TrN_MaMPK_DrSt_ode23t_1.png","figure")</f>
        <v>figure</v>
      </c>
      <c r="Q18" t="s">
        <v>15</v>
      </c>
      <c r="S18">
        <f>L18-L19</f>
        <v>146</v>
      </c>
      <c r="T18">
        <f>M18-M19</f>
        <v>3.1360405</v>
      </c>
    </row>
    <row r="19" spans="1:20" x14ac:dyDescent="0.25">
      <c r="A19">
        <v>18</v>
      </c>
      <c r="B19">
        <v>12</v>
      </c>
      <c r="C19" t="s">
        <v>16</v>
      </c>
      <c r="D19" t="s">
        <v>17</v>
      </c>
      <c r="E19" t="s">
        <v>49</v>
      </c>
      <c r="F19" t="s">
        <v>28</v>
      </c>
      <c r="G19" t="s">
        <v>20</v>
      </c>
      <c r="H19" t="s">
        <v>21</v>
      </c>
      <c r="I19" t="s">
        <v>55</v>
      </c>
      <c r="J19" t="s">
        <v>149</v>
      </c>
      <c r="K19" t="s">
        <v>23</v>
      </c>
      <c r="L19">
        <v>2427</v>
      </c>
      <c r="M19" s="4">
        <v>38.288515699999998</v>
      </c>
      <c r="N19" s="4">
        <v>9.9679583333965538E-2</v>
      </c>
      <c r="O19" s="4">
        <v>-5.250932479508625E-2</v>
      </c>
      <c r="P19" s="1" t="str">
        <f>HYPERLINK(".\sm_car_250602_1237\sm_car_250602_1237_018_Ca012TrN_MaMPK_DrSt_ode23t_1.png","figure")</f>
        <v>figure</v>
      </c>
      <c r="Q19" t="s">
        <v>15</v>
      </c>
    </row>
    <row r="20" spans="1:20" x14ac:dyDescent="0.25">
      <c r="A20">
        <v>19</v>
      </c>
      <c r="B20">
        <v>12</v>
      </c>
      <c r="C20" t="s">
        <v>16</v>
      </c>
      <c r="D20" t="s">
        <v>17</v>
      </c>
      <c r="E20" t="s">
        <v>49</v>
      </c>
      <c r="F20" t="s">
        <v>28</v>
      </c>
      <c r="G20" t="s">
        <v>20</v>
      </c>
      <c r="H20" t="s">
        <v>21</v>
      </c>
      <c r="I20" t="s">
        <v>56</v>
      </c>
      <c r="J20" t="s">
        <v>148</v>
      </c>
      <c r="K20" t="s">
        <v>23</v>
      </c>
      <c r="L20">
        <v>3057</v>
      </c>
      <c r="M20" s="4">
        <v>43.2198639</v>
      </c>
      <c r="N20" s="4">
        <v>0.7888253923102102</v>
      </c>
      <c r="O20" s="4">
        <v>-0.33093553095721945</v>
      </c>
      <c r="P20" s="1" t="str">
        <f>HYPERLINK(".\sm_car_250602_1237\sm_car_250602_1237_019_Ca012TrN_MaMPC_DrSt_ode23t_1.png","figure")</f>
        <v>figure</v>
      </c>
      <c r="Q20" t="s">
        <v>15</v>
      </c>
      <c r="S20">
        <f>L20-L21</f>
        <v>78</v>
      </c>
      <c r="T20">
        <f>M20-M21</f>
        <v>0.70645389999999963</v>
      </c>
    </row>
    <row r="21" spans="1:20" x14ac:dyDescent="0.25">
      <c r="A21">
        <v>20</v>
      </c>
      <c r="B21">
        <v>12</v>
      </c>
      <c r="C21" t="s">
        <v>16</v>
      </c>
      <c r="D21" t="s">
        <v>17</v>
      </c>
      <c r="E21" t="s">
        <v>49</v>
      </c>
      <c r="F21" t="s">
        <v>28</v>
      </c>
      <c r="G21" t="s">
        <v>20</v>
      </c>
      <c r="H21" t="s">
        <v>21</v>
      </c>
      <c r="I21" t="s">
        <v>56</v>
      </c>
      <c r="J21" t="s">
        <v>149</v>
      </c>
      <c r="K21" t="s">
        <v>23</v>
      </c>
      <c r="L21">
        <v>2979</v>
      </c>
      <c r="M21" s="4">
        <v>42.51341</v>
      </c>
      <c r="N21" s="4">
        <v>0.7889087474032408</v>
      </c>
      <c r="O21" s="4">
        <v>9.4426897713948493E-2</v>
      </c>
      <c r="P21" s="1" t="str">
        <f>HYPERLINK(".\sm_car_250602_1237\sm_car_250602_1237_020_Ca012TrN_MaMPC_DrSt_ode23t_1.png","figure")</f>
        <v>figure</v>
      </c>
      <c r="Q21" t="s">
        <v>15</v>
      </c>
    </row>
    <row r="22" spans="1:20" x14ac:dyDescent="0.25">
      <c r="A22">
        <v>21</v>
      </c>
      <c r="B22">
        <v>142</v>
      </c>
      <c r="C22" t="s">
        <v>45</v>
      </c>
      <c r="D22" t="s">
        <v>17</v>
      </c>
      <c r="E22" t="s">
        <v>49</v>
      </c>
      <c r="F22" t="s">
        <v>28</v>
      </c>
      <c r="G22" t="s">
        <v>26</v>
      </c>
      <c r="H22" t="s">
        <v>21</v>
      </c>
      <c r="I22" t="s">
        <v>55</v>
      </c>
      <c r="J22" t="s">
        <v>148</v>
      </c>
      <c r="K22" t="s">
        <v>23</v>
      </c>
      <c r="L22">
        <v>2473</v>
      </c>
      <c r="M22" s="4">
        <v>78.179132800000005</v>
      </c>
      <c r="N22" s="4">
        <v>-1.8527594334041733E-2</v>
      </c>
      <c r="O22" s="4">
        <v>-0.56306927049424971</v>
      </c>
      <c r="P22" s="1" t="str">
        <f>HYPERLINK(".\sm_car_250602_1237\sm_car_250602_1237_021_Ca142TrN_MaMPK_DrSt_ode23t_1.png","figure")</f>
        <v>figure</v>
      </c>
      <c r="Q22" t="s">
        <v>15</v>
      </c>
      <c r="S22">
        <f>L22-L23</f>
        <v>-336</v>
      </c>
      <c r="T22">
        <f>M22-M23</f>
        <v>3.0704522000000054</v>
      </c>
    </row>
    <row r="23" spans="1:20" x14ac:dyDescent="0.25">
      <c r="A23">
        <v>22</v>
      </c>
      <c r="B23">
        <v>142</v>
      </c>
      <c r="C23" t="s">
        <v>45</v>
      </c>
      <c r="D23" t="s">
        <v>17</v>
      </c>
      <c r="E23" t="s">
        <v>49</v>
      </c>
      <c r="F23" t="s">
        <v>28</v>
      </c>
      <c r="G23" t="s">
        <v>26</v>
      </c>
      <c r="H23" t="s">
        <v>21</v>
      </c>
      <c r="I23" t="s">
        <v>55</v>
      </c>
      <c r="J23" t="s">
        <v>149</v>
      </c>
      <c r="K23" t="s">
        <v>23</v>
      </c>
      <c r="L23">
        <v>2809</v>
      </c>
      <c r="M23" s="4">
        <v>75.1086806</v>
      </c>
      <c r="N23" s="4">
        <v>-8.1050003154202743E-3</v>
      </c>
      <c r="O23" s="4">
        <v>-7.8849806055344848E-2</v>
      </c>
      <c r="P23" s="1" t="str">
        <f>HYPERLINK(".\sm_car_250602_1237\sm_car_250602_1237_022_Ca142TrN_MaMPK_DrSt_ode23t_1.png","figure")</f>
        <v>figure</v>
      </c>
      <c r="Q23" t="s">
        <v>15</v>
      </c>
    </row>
    <row r="24" spans="1:20" x14ac:dyDescent="0.25">
      <c r="A24">
        <v>23</v>
      </c>
      <c r="B24">
        <v>142</v>
      </c>
      <c r="C24" t="s">
        <v>45</v>
      </c>
      <c r="D24" t="s">
        <v>17</v>
      </c>
      <c r="E24" t="s">
        <v>49</v>
      </c>
      <c r="F24" t="s">
        <v>28</v>
      </c>
      <c r="G24" t="s">
        <v>26</v>
      </c>
      <c r="H24" t="s">
        <v>21</v>
      </c>
      <c r="I24" t="s">
        <v>56</v>
      </c>
      <c r="J24" t="s">
        <v>148</v>
      </c>
      <c r="K24" t="s">
        <v>23</v>
      </c>
      <c r="L24">
        <v>3164</v>
      </c>
      <c r="M24" s="4">
        <v>99.578388000000004</v>
      </c>
      <c r="N24" s="4">
        <v>0.77687417633013567</v>
      </c>
      <c r="O24" s="4">
        <v>-0.37404222932564124</v>
      </c>
      <c r="P24" s="1" t="str">
        <f>HYPERLINK(".\sm_car_250602_1237\sm_car_250602_1237_023_Ca142TrN_MaMPC_DrSt_ode23t_1.png","figure")</f>
        <v>figure</v>
      </c>
      <c r="Q24" t="s">
        <v>15</v>
      </c>
      <c r="S24">
        <f>L24-L25</f>
        <v>-343</v>
      </c>
      <c r="T24">
        <f>M24-M25</f>
        <v>-3.1722017000000022</v>
      </c>
    </row>
    <row r="25" spans="1:20" x14ac:dyDescent="0.25">
      <c r="A25">
        <v>24</v>
      </c>
      <c r="B25">
        <v>142</v>
      </c>
      <c r="C25" t="s">
        <v>45</v>
      </c>
      <c r="D25" t="s">
        <v>17</v>
      </c>
      <c r="E25" t="s">
        <v>49</v>
      </c>
      <c r="F25" t="s">
        <v>28</v>
      </c>
      <c r="G25" t="s">
        <v>26</v>
      </c>
      <c r="H25" t="s">
        <v>21</v>
      </c>
      <c r="I25" t="s">
        <v>56</v>
      </c>
      <c r="J25" t="s">
        <v>149</v>
      </c>
      <c r="K25" t="s">
        <v>23</v>
      </c>
      <c r="L25">
        <v>3507</v>
      </c>
      <c r="M25" s="4">
        <v>102.75058970000001</v>
      </c>
      <c r="N25" s="4">
        <v>0.78590611187894233</v>
      </c>
      <c r="O25" s="4">
        <v>-5.1725885823639102E-3</v>
      </c>
      <c r="P25" s="1" t="str">
        <f>HYPERLINK(".\sm_car_250602_1237\sm_car_250602_1237_024_Ca142TrN_MaMPC_DrSt_ode23t_1.png","figure")</f>
        <v>figure</v>
      </c>
      <c r="Q25" t="s">
        <v>15</v>
      </c>
    </row>
    <row r="26" spans="1:20" x14ac:dyDescent="0.25">
      <c r="A26">
        <v>25</v>
      </c>
      <c r="B26">
        <v>116</v>
      </c>
      <c r="C26" t="s">
        <v>16</v>
      </c>
      <c r="D26" t="s">
        <v>35</v>
      </c>
      <c r="E26" t="s">
        <v>18</v>
      </c>
      <c r="F26" t="s">
        <v>28</v>
      </c>
      <c r="G26" t="s">
        <v>20</v>
      </c>
      <c r="H26" t="s">
        <v>21</v>
      </c>
      <c r="I26" t="s">
        <v>55</v>
      </c>
      <c r="J26" t="s">
        <v>148</v>
      </c>
      <c r="K26" t="s">
        <v>23</v>
      </c>
      <c r="L26">
        <v>2725</v>
      </c>
      <c r="M26" s="4">
        <v>18.8756597</v>
      </c>
      <c r="N26" s="4">
        <v>-1.8389072990780922E-2</v>
      </c>
      <c r="O26" s="4">
        <v>-0.54061676168815531</v>
      </c>
      <c r="P26" s="1" t="str">
        <f>HYPERLINK(".\sm_car_250602_1237\sm_car_250602_1237_025_Ca116TrN_MaMPK_DrSt_ode23t_1.png","figure")</f>
        <v>figure</v>
      </c>
      <c r="Q26" t="s">
        <v>15</v>
      </c>
      <c r="S26">
        <f>L26-L27</f>
        <v>-35</v>
      </c>
      <c r="T26">
        <f>M26-M27</f>
        <v>-0.5064175000000013</v>
      </c>
    </row>
    <row r="27" spans="1:20" x14ac:dyDescent="0.25">
      <c r="A27">
        <v>26</v>
      </c>
      <c r="B27">
        <v>116</v>
      </c>
      <c r="C27" t="s">
        <v>16</v>
      </c>
      <c r="D27" t="s">
        <v>35</v>
      </c>
      <c r="E27" t="s">
        <v>18</v>
      </c>
      <c r="F27" t="s">
        <v>28</v>
      </c>
      <c r="G27" t="s">
        <v>20</v>
      </c>
      <c r="H27" t="s">
        <v>21</v>
      </c>
      <c r="I27" t="s">
        <v>55</v>
      </c>
      <c r="J27" t="s">
        <v>149</v>
      </c>
      <c r="K27" t="s">
        <v>23</v>
      </c>
      <c r="L27">
        <v>2760</v>
      </c>
      <c r="M27" s="4">
        <v>19.382077200000001</v>
      </c>
      <c r="N27" s="4">
        <v>0.17777092870801234</v>
      </c>
      <c r="O27" s="4">
        <v>-0.47558168624316632</v>
      </c>
      <c r="P27" s="1" t="str">
        <f>HYPERLINK(".\sm_car_250602_1237\sm_car_250602_1237_026_Ca116TrN_MaMPK_DrSt_ode23t_1.png","figure")</f>
        <v>figure</v>
      </c>
      <c r="Q27" t="s">
        <v>15</v>
      </c>
    </row>
    <row r="28" spans="1:20" x14ac:dyDescent="0.25">
      <c r="A28">
        <v>27</v>
      </c>
      <c r="B28">
        <v>116</v>
      </c>
      <c r="C28" t="s">
        <v>16</v>
      </c>
      <c r="D28" t="s">
        <v>35</v>
      </c>
      <c r="E28" t="s">
        <v>18</v>
      </c>
      <c r="F28" t="s">
        <v>28</v>
      </c>
      <c r="G28" t="s">
        <v>20</v>
      </c>
      <c r="H28" t="s">
        <v>21</v>
      </c>
      <c r="I28" t="s">
        <v>56</v>
      </c>
      <c r="J28" t="s">
        <v>148</v>
      </c>
      <c r="K28" t="s">
        <v>23</v>
      </c>
      <c r="L28">
        <v>3277</v>
      </c>
      <c r="M28" s="4">
        <v>21.3164844</v>
      </c>
      <c r="N28" s="4">
        <v>0.78830096566220931</v>
      </c>
      <c r="O28" s="4">
        <v>-0.3638766087534735</v>
      </c>
      <c r="P28" s="1" t="str">
        <f>HYPERLINK(".\sm_car_250602_1237\sm_car_250602_1237_027_Ca116TrN_MaMPC_DrSt_ode23t_1.png","figure")</f>
        <v>figure</v>
      </c>
      <c r="Q28" t="s">
        <v>15</v>
      </c>
      <c r="S28">
        <f>L28-L29</f>
        <v>57</v>
      </c>
      <c r="T28">
        <f>M28-M29</f>
        <v>0.63944959999999895</v>
      </c>
    </row>
    <row r="29" spans="1:20" x14ac:dyDescent="0.25">
      <c r="A29">
        <v>28</v>
      </c>
      <c r="B29">
        <v>116</v>
      </c>
      <c r="C29" t="s">
        <v>16</v>
      </c>
      <c r="D29" t="s">
        <v>35</v>
      </c>
      <c r="E29" t="s">
        <v>18</v>
      </c>
      <c r="F29" t="s">
        <v>28</v>
      </c>
      <c r="G29" t="s">
        <v>20</v>
      </c>
      <c r="H29" t="s">
        <v>21</v>
      </c>
      <c r="I29" t="s">
        <v>56</v>
      </c>
      <c r="J29" t="s">
        <v>149</v>
      </c>
      <c r="K29" t="s">
        <v>23</v>
      </c>
      <c r="L29">
        <v>3220</v>
      </c>
      <c r="M29" s="4">
        <v>20.677034800000001</v>
      </c>
      <c r="N29" s="4">
        <v>0.78936756726570678</v>
      </c>
      <c r="O29" s="4">
        <v>0.28005527920300721</v>
      </c>
      <c r="P29" s="1" t="str">
        <f>HYPERLINK(".\sm_car_250602_1237\sm_car_250602_1237_028_Ca116TrN_MaMPC_DrSt_ode23t_1.png","figure")</f>
        <v>figure</v>
      </c>
      <c r="Q29" t="s">
        <v>15</v>
      </c>
    </row>
    <row r="30" spans="1:20" x14ac:dyDescent="0.25">
      <c r="A30">
        <v>29</v>
      </c>
      <c r="B30">
        <v>143</v>
      </c>
      <c r="C30" t="s">
        <v>46</v>
      </c>
      <c r="D30" t="s">
        <v>17</v>
      </c>
      <c r="E30" t="s">
        <v>47</v>
      </c>
      <c r="F30" t="s">
        <v>19</v>
      </c>
      <c r="G30" t="s">
        <v>26</v>
      </c>
      <c r="H30" t="s">
        <v>21</v>
      </c>
      <c r="I30" t="s">
        <v>55</v>
      </c>
      <c r="J30" t="s">
        <v>148</v>
      </c>
      <c r="K30" t="s">
        <v>23</v>
      </c>
      <c r="L30">
        <v>2586</v>
      </c>
      <c r="M30" s="4">
        <v>56.822881799999998</v>
      </c>
      <c r="N30" s="4">
        <v>-1.6425615765482987E-2</v>
      </c>
      <c r="O30" s="4">
        <v>-0.40120044493317203</v>
      </c>
      <c r="P30" s="1" t="str">
        <f>HYPERLINK(".\sm_car_250602_1237\sm_car_250602_1237_029_Ca143TrN_MaMPK_DrSt_ode23t_1.png","figure")</f>
        <v>figure</v>
      </c>
      <c r="Q30" t="s">
        <v>15</v>
      </c>
      <c r="S30">
        <f>L30-L31</f>
        <v>245</v>
      </c>
      <c r="T30">
        <f>M30-M31</f>
        <v>1.1989402999999967</v>
      </c>
    </row>
    <row r="31" spans="1:20" x14ac:dyDescent="0.25">
      <c r="A31">
        <v>30</v>
      </c>
      <c r="B31">
        <v>143</v>
      </c>
      <c r="C31" t="s">
        <v>46</v>
      </c>
      <c r="D31" t="s">
        <v>17</v>
      </c>
      <c r="E31" t="s">
        <v>47</v>
      </c>
      <c r="F31" t="s">
        <v>19</v>
      </c>
      <c r="G31" t="s">
        <v>26</v>
      </c>
      <c r="H31" t="s">
        <v>21</v>
      </c>
      <c r="I31" t="s">
        <v>55</v>
      </c>
      <c r="J31" t="s">
        <v>149</v>
      </c>
      <c r="K31" t="s">
        <v>23</v>
      </c>
      <c r="L31">
        <v>2341</v>
      </c>
      <c r="M31" s="4">
        <v>55.623941500000001</v>
      </c>
      <c r="N31" s="4">
        <v>-1.1321604189975451E-2</v>
      </c>
      <c r="O31" s="4">
        <v>-9.3363063099980312E-2</v>
      </c>
      <c r="P31" s="1" t="str">
        <f>HYPERLINK(".\sm_car_250602_1237\sm_car_250602_1237_030_Ca143TrN_MaMPK_DrSt_ode23t_1.png","figure")</f>
        <v>figure</v>
      </c>
      <c r="Q31" t="s">
        <v>15</v>
      </c>
    </row>
    <row r="32" spans="1:20" x14ac:dyDescent="0.25">
      <c r="A32">
        <v>31</v>
      </c>
      <c r="B32">
        <v>143</v>
      </c>
      <c r="C32" t="s">
        <v>46</v>
      </c>
      <c r="D32" t="s">
        <v>17</v>
      </c>
      <c r="E32" t="s">
        <v>47</v>
      </c>
      <c r="F32" t="s">
        <v>19</v>
      </c>
      <c r="G32" t="s">
        <v>26</v>
      </c>
      <c r="H32" t="s">
        <v>21</v>
      </c>
      <c r="I32" t="s">
        <v>56</v>
      </c>
      <c r="J32" t="s">
        <v>148</v>
      </c>
      <c r="K32" t="s">
        <v>23</v>
      </c>
      <c r="L32">
        <v>2764</v>
      </c>
      <c r="M32" s="4">
        <v>72.930677000000003</v>
      </c>
      <c r="N32" s="4">
        <v>0.78765080658280162</v>
      </c>
      <c r="O32" s="4">
        <v>-0.26812064236939093</v>
      </c>
      <c r="P32" s="1" t="str">
        <f>HYPERLINK(".\sm_car_250602_1237\sm_car_250602_1237_031_Ca143TrN_MaMPC_DrSt_ode23t_1.png","figure")</f>
        <v>figure</v>
      </c>
      <c r="Q32" t="s">
        <v>15</v>
      </c>
      <c r="S32">
        <f>L32-L33</f>
        <v>289</v>
      </c>
      <c r="T32">
        <f>M32-M33</f>
        <v>-2.2524839000000014</v>
      </c>
    </row>
    <row r="33" spans="1:20" x14ac:dyDescent="0.25">
      <c r="A33">
        <v>32</v>
      </c>
      <c r="B33">
        <v>143</v>
      </c>
      <c r="C33" t="s">
        <v>46</v>
      </c>
      <c r="D33" t="s">
        <v>17</v>
      </c>
      <c r="E33" t="s">
        <v>47</v>
      </c>
      <c r="F33" t="s">
        <v>19</v>
      </c>
      <c r="G33" t="s">
        <v>26</v>
      </c>
      <c r="H33" t="s">
        <v>21</v>
      </c>
      <c r="I33" t="s">
        <v>56</v>
      </c>
      <c r="J33" t="s">
        <v>149</v>
      </c>
      <c r="K33" t="s">
        <v>23</v>
      </c>
      <c r="L33">
        <v>2475</v>
      </c>
      <c r="M33" s="4">
        <v>75.183160900000004</v>
      </c>
      <c r="N33" s="4">
        <v>0.78852715624279668</v>
      </c>
      <c r="O33" s="4">
        <v>-0.15678423964474547</v>
      </c>
      <c r="P33" s="1" t="str">
        <f>HYPERLINK(".\sm_car_250602_1237\sm_car_250602_1237_032_Ca143TrN_MaMPC_DrSt_ode23t_1.png","figure")</f>
        <v>figure</v>
      </c>
      <c r="Q33" t="s">
        <v>15</v>
      </c>
    </row>
    <row r="34" spans="1:20" x14ac:dyDescent="0.25">
      <c r="A34">
        <v>33</v>
      </c>
      <c r="B34">
        <v>166</v>
      </c>
      <c r="C34" t="s">
        <v>45</v>
      </c>
      <c r="D34" t="s">
        <v>57</v>
      </c>
      <c r="E34" t="s">
        <v>18</v>
      </c>
      <c r="F34" t="s">
        <v>19</v>
      </c>
      <c r="G34" t="s">
        <v>26</v>
      </c>
      <c r="H34" t="s">
        <v>21</v>
      </c>
      <c r="I34" t="s">
        <v>55</v>
      </c>
      <c r="J34" t="s">
        <v>148</v>
      </c>
      <c r="K34" t="s">
        <v>23</v>
      </c>
      <c r="L34">
        <v>2971</v>
      </c>
      <c r="M34" s="4">
        <v>62.312453599999998</v>
      </c>
      <c r="N34" s="4">
        <v>-1.9436153989092764E-2</v>
      </c>
      <c r="O34" s="4">
        <v>-0.57268173919299037</v>
      </c>
      <c r="P34" s="1" t="str">
        <f>HYPERLINK(".\sm_car_250602_1237\sm_car_250602_1237_033_Ca166TrN_MaMPK_DrSt_ode23t_1.png","figure")</f>
        <v>figure</v>
      </c>
      <c r="Q34" t="s">
        <v>15</v>
      </c>
      <c r="S34">
        <f>L34-L35</f>
        <v>-827</v>
      </c>
      <c r="T34">
        <f>M34-M35</f>
        <v>-2.4689273999999983</v>
      </c>
    </row>
    <row r="35" spans="1:20" x14ac:dyDescent="0.25">
      <c r="A35">
        <v>34</v>
      </c>
      <c r="B35">
        <v>166</v>
      </c>
      <c r="C35" t="s">
        <v>45</v>
      </c>
      <c r="D35" t="s">
        <v>57</v>
      </c>
      <c r="E35" t="s">
        <v>18</v>
      </c>
      <c r="F35" t="s">
        <v>19</v>
      </c>
      <c r="G35" t="s">
        <v>26</v>
      </c>
      <c r="H35" t="s">
        <v>21</v>
      </c>
      <c r="I35" t="s">
        <v>55</v>
      </c>
      <c r="J35" t="s">
        <v>149</v>
      </c>
      <c r="K35" t="s">
        <v>23</v>
      </c>
      <c r="L35">
        <v>3798</v>
      </c>
      <c r="M35" s="4">
        <v>64.781380999999996</v>
      </c>
      <c r="N35" s="4">
        <v>1.1220275042628236E-3</v>
      </c>
      <c r="O35" s="4">
        <v>-8.2366848815061414E-2</v>
      </c>
      <c r="P35" s="1" t="str">
        <f>HYPERLINK(".\sm_car_250602_1237\sm_car_250602_1237_034_Ca166TrN_MaMPK_DrSt_ode23t_1.png","figure")</f>
        <v>figure</v>
      </c>
      <c r="Q35" t="s">
        <v>15</v>
      </c>
    </row>
    <row r="36" spans="1:20" x14ac:dyDescent="0.25">
      <c r="A36">
        <v>35</v>
      </c>
      <c r="B36">
        <v>166</v>
      </c>
      <c r="C36" t="s">
        <v>45</v>
      </c>
      <c r="D36" t="s">
        <v>57</v>
      </c>
      <c r="E36" t="s">
        <v>18</v>
      </c>
      <c r="F36" t="s">
        <v>19</v>
      </c>
      <c r="G36" t="s">
        <v>26</v>
      </c>
      <c r="H36" t="s">
        <v>21</v>
      </c>
      <c r="I36" t="s">
        <v>56</v>
      </c>
      <c r="J36" t="s">
        <v>148</v>
      </c>
      <c r="K36" t="s">
        <v>23</v>
      </c>
      <c r="L36">
        <v>3436</v>
      </c>
      <c r="M36" s="4">
        <v>64.882128199999997</v>
      </c>
      <c r="N36" s="4">
        <v>0.78696041905193503</v>
      </c>
      <c r="O36" s="4">
        <v>-0.36499016185638145</v>
      </c>
      <c r="P36" s="1" t="str">
        <f>HYPERLINK(".\sm_car_250602_1237\sm_car_250602_1237_035_Ca166TrN_MaMPC_DrSt_ode23t_1.png","figure")</f>
        <v>figure</v>
      </c>
      <c r="Q36" t="s">
        <v>15</v>
      </c>
      <c r="S36">
        <f>L36-L37</f>
        <v>-480</v>
      </c>
      <c r="T36">
        <f>M36-M37</f>
        <v>-3.7924715999999989</v>
      </c>
    </row>
    <row r="37" spans="1:20" x14ac:dyDescent="0.25">
      <c r="A37">
        <v>36</v>
      </c>
      <c r="B37">
        <v>166</v>
      </c>
      <c r="C37" t="s">
        <v>45</v>
      </c>
      <c r="D37" t="s">
        <v>57</v>
      </c>
      <c r="E37" t="s">
        <v>18</v>
      </c>
      <c r="F37" t="s">
        <v>19</v>
      </c>
      <c r="G37" t="s">
        <v>26</v>
      </c>
      <c r="H37" t="s">
        <v>21</v>
      </c>
      <c r="I37" t="s">
        <v>56</v>
      </c>
      <c r="J37" t="s">
        <v>149</v>
      </c>
      <c r="K37" t="s">
        <v>23</v>
      </c>
      <c r="L37">
        <v>3916</v>
      </c>
      <c r="M37" s="4">
        <v>68.674599799999996</v>
      </c>
      <c r="N37" s="4">
        <v>0.78647401052314159</v>
      </c>
      <c r="O37" s="4">
        <v>3.5669206342893974E-3</v>
      </c>
      <c r="P37" s="1" t="str">
        <f>HYPERLINK(".\sm_car_250602_1237\sm_car_250602_1237_036_Ca166TrN_MaMPC_DrSt_ode23t_1.png","figure")</f>
        <v>figure</v>
      </c>
      <c r="Q37" t="s">
        <v>15</v>
      </c>
    </row>
    <row r="38" spans="1:20" x14ac:dyDescent="0.25">
      <c r="A38">
        <v>37</v>
      </c>
      <c r="B38">
        <v>169</v>
      </c>
      <c r="C38" t="s">
        <v>45</v>
      </c>
      <c r="D38" t="s">
        <v>58</v>
      </c>
      <c r="E38" t="s">
        <v>49</v>
      </c>
      <c r="F38" t="s">
        <v>19</v>
      </c>
      <c r="G38" t="s">
        <v>26</v>
      </c>
      <c r="H38" t="s">
        <v>21</v>
      </c>
      <c r="I38" t="s">
        <v>55</v>
      </c>
      <c r="J38" t="s">
        <v>148</v>
      </c>
      <c r="K38" t="s">
        <v>23</v>
      </c>
      <c r="L38">
        <v>2978</v>
      </c>
      <c r="M38" s="4">
        <v>46.690087699999999</v>
      </c>
      <c r="N38" s="4">
        <v>-1.9685659689175655E-2</v>
      </c>
      <c r="O38" s="4">
        <v>-0.57335238779478237</v>
      </c>
      <c r="P38" s="1" t="str">
        <f>HYPERLINK(".\sm_car_250602_1237\sm_car_250602_1237_037_Ca169TrN_MaMPK_DrSt_ode23t_1.png","figure")</f>
        <v>figure</v>
      </c>
      <c r="Q38" t="s">
        <v>15</v>
      </c>
      <c r="S38">
        <f>L38-L39</f>
        <v>-771</v>
      </c>
      <c r="T38">
        <f>M38-M39</f>
        <v>-9.3110116000000005</v>
      </c>
    </row>
    <row r="39" spans="1:20" x14ac:dyDescent="0.25">
      <c r="A39">
        <v>38</v>
      </c>
      <c r="B39">
        <v>169</v>
      </c>
      <c r="C39" t="s">
        <v>45</v>
      </c>
      <c r="D39" t="s">
        <v>58</v>
      </c>
      <c r="E39" t="s">
        <v>49</v>
      </c>
      <c r="F39" t="s">
        <v>19</v>
      </c>
      <c r="G39" t="s">
        <v>26</v>
      </c>
      <c r="H39" t="s">
        <v>21</v>
      </c>
      <c r="I39" t="s">
        <v>55</v>
      </c>
      <c r="J39" t="s">
        <v>149</v>
      </c>
      <c r="K39" t="s">
        <v>23</v>
      </c>
      <c r="L39">
        <v>3749</v>
      </c>
      <c r="M39" s="4">
        <v>56.0010993</v>
      </c>
      <c r="N39" s="4">
        <v>-1.157730351309004E-2</v>
      </c>
      <c r="O39" s="4">
        <v>-8.0580331852988268E-2</v>
      </c>
      <c r="P39" s="1" t="str">
        <f>HYPERLINK(".\sm_car_250602_1237\sm_car_250602_1237_038_Ca169TrN_MaMPK_DrSt_ode23t_1.png","figure")</f>
        <v>figure</v>
      </c>
      <c r="Q39" t="s">
        <v>15</v>
      </c>
    </row>
    <row r="40" spans="1:20" x14ac:dyDescent="0.25">
      <c r="A40">
        <v>39</v>
      </c>
      <c r="B40">
        <v>169</v>
      </c>
      <c r="C40" t="s">
        <v>45</v>
      </c>
      <c r="D40" t="s">
        <v>58</v>
      </c>
      <c r="E40" t="s">
        <v>49</v>
      </c>
      <c r="F40" t="s">
        <v>19</v>
      </c>
      <c r="G40" t="s">
        <v>26</v>
      </c>
      <c r="H40" t="s">
        <v>21</v>
      </c>
      <c r="I40" t="s">
        <v>56</v>
      </c>
      <c r="J40" t="s">
        <v>148</v>
      </c>
      <c r="K40" t="s">
        <v>23</v>
      </c>
      <c r="L40">
        <v>3217</v>
      </c>
      <c r="M40" s="4">
        <v>55.072969200000003</v>
      </c>
      <c r="N40" s="4">
        <v>0.78738985578590359</v>
      </c>
      <c r="O40" s="4">
        <v>-0.36432428421948448</v>
      </c>
      <c r="P40" s="1" t="str">
        <f>HYPERLINK(".\sm_car_250602_1237\sm_car_250602_1237_039_Ca169TrN_MaMPC_DrSt_ode23t_1.png","figure")</f>
        <v>figure</v>
      </c>
      <c r="Q40" t="s">
        <v>15</v>
      </c>
      <c r="S40">
        <f>L40-L41</f>
        <v>-488</v>
      </c>
      <c r="T40">
        <f>M40-M41</f>
        <v>-2.5572082999999992</v>
      </c>
    </row>
    <row r="41" spans="1:20" x14ac:dyDescent="0.25">
      <c r="A41">
        <v>40</v>
      </c>
      <c r="B41">
        <v>169</v>
      </c>
      <c r="C41" t="s">
        <v>45</v>
      </c>
      <c r="D41" t="s">
        <v>58</v>
      </c>
      <c r="E41" t="s">
        <v>49</v>
      </c>
      <c r="F41" t="s">
        <v>19</v>
      </c>
      <c r="G41" t="s">
        <v>26</v>
      </c>
      <c r="H41" t="s">
        <v>21</v>
      </c>
      <c r="I41" t="s">
        <v>56</v>
      </c>
      <c r="J41" t="s">
        <v>149</v>
      </c>
      <c r="K41" t="s">
        <v>23</v>
      </c>
      <c r="L41">
        <v>3705</v>
      </c>
      <c r="M41" s="4">
        <v>57.630177500000002</v>
      </c>
      <c r="N41" s="4">
        <v>0.78936685550547558</v>
      </c>
      <c r="O41" s="4">
        <v>5.6005557377507677E-3</v>
      </c>
      <c r="P41" s="1" t="str">
        <f>HYPERLINK(".\sm_car_250602_1237\sm_car_250602_1237_040_Ca169TrN_MaMPC_DrSt_ode23t_1.png","figure")</f>
        <v>figure</v>
      </c>
      <c r="Q41" t="s">
        <v>15</v>
      </c>
    </row>
    <row r="42" spans="1:20" x14ac:dyDescent="0.25">
      <c r="A42">
        <v>41</v>
      </c>
      <c r="B42">
        <v>184</v>
      </c>
      <c r="C42" t="s">
        <v>105</v>
      </c>
      <c r="D42" t="s">
        <v>120</v>
      </c>
      <c r="E42" t="s">
        <v>49</v>
      </c>
      <c r="F42" t="s">
        <v>19</v>
      </c>
      <c r="G42" t="s">
        <v>20</v>
      </c>
      <c r="H42" t="s">
        <v>21</v>
      </c>
      <c r="I42" t="s">
        <v>55</v>
      </c>
      <c r="J42" t="s">
        <v>148</v>
      </c>
      <c r="K42" t="s">
        <v>23</v>
      </c>
      <c r="L42">
        <v>2087</v>
      </c>
      <c r="M42" s="4">
        <v>59.1408743</v>
      </c>
      <c r="N42" s="4">
        <v>-2.1375910771320256E-2</v>
      </c>
      <c r="O42" s="4">
        <v>-0.71902952717767443</v>
      </c>
      <c r="P42" s="1" t="str">
        <f>HYPERLINK(".\sm_car_250602_1237\sm_car_250602_1237_041_Ca184TrN_MaMPK_DrSt_ode23t_1.png","figure")</f>
        <v>figure</v>
      </c>
      <c r="Q42" t="s">
        <v>15</v>
      </c>
      <c r="S42">
        <f>L42-L43</f>
        <v>-34</v>
      </c>
      <c r="T42">
        <f>M42-M43</f>
        <v>-3.0078043999999977</v>
      </c>
    </row>
    <row r="43" spans="1:20" x14ac:dyDescent="0.25">
      <c r="A43">
        <v>42</v>
      </c>
      <c r="B43">
        <v>184</v>
      </c>
      <c r="C43" t="s">
        <v>105</v>
      </c>
      <c r="D43" t="s">
        <v>120</v>
      </c>
      <c r="E43" t="s">
        <v>49</v>
      </c>
      <c r="F43" t="s">
        <v>19</v>
      </c>
      <c r="G43" t="s">
        <v>20</v>
      </c>
      <c r="H43" t="s">
        <v>21</v>
      </c>
      <c r="I43" t="s">
        <v>55</v>
      </c>
      <c r="J43" t="s">
        <v>149</v>
      </c>
      <c r="K43" t="s">
        <v>23</v>
      </c>
      <c r="L43">
        <v>2121</v>
      </c>
      <c r="M43" s="4">
        <v>62.148678699999998</v>
      </c>
      <c r="N43" s="4">
        <v>2.5849306569111358E-3</v>
      </c>
      <c r="O43" s="4">
        <v>-1.8495999116924729E-2</v>
      </c>
      <c r="P43" s="1" t="str">
        <f>HYPERLINK(".\sm_car_250602_1237\sm_car_250602_1237_042_Ca184TrN_MaMPK_DrSt_ode23t_1.png","figure")</f>
        <v>figure</v>
      </c>
      <c r="Q43" t="s">
        <v>15</v>
      </c>
    </row>
    <row r="44" spans="1:20" x14ac:dyDescent="0.25">
      <c r="A44">
        <v>43</v>
      </c>
      <c r="B44">
        <v>184</v>
      </c>
      <c r="C44" t="s">
        <v>105</v>
      </c>
      <c r="D44" t="s">
        <v>120</v>
      </c>
      <c r="E44" t="s">
        <v>49</v>
      </c>
      <c r="F44" t="s">
        <v>19</v>
      </c>
      <c r="G44" t="s">
        <v>20</v>
      </c>
      <c r="H44" t="s">
        <v>21</v>
      </c>
      <c r="I44" t="s">
        <v>56</v>
      </c>
      <c r="J44" t="s">
        <v>148</v>
      </c>
      <c r="K44" t="s">
        <v>23</v>
      </c>
      <c r="L44">
        <v>2126</v>
      </c>
      <c r="M44" s="4">
        <v>57.945290300000003</v>
      </c>
      <c r="N44" s="4">
        <v>0.7858223303292462</v>
      </c>
      <c r="O44" s="4">
        <v>-0.33738313130093667</v>
      </c>
      <c r="P44" s="1" t="str">
        <f>HYPERLINK(".\sm_car_250602_1237\sm_car_250602_1237_043_Ca184TrN_MaMPC_DrSt_ode23t_1.png","figure")</f>
        <v>figure</v>
      </c>
      <c r="Q44" t="s">
        <v>15</v>
      </c>
      <c r="S44">
        <f>L44-L45</f>
        <v>18</v>
      </c>
      <c r="T44">
        <f>M44-M45</f>
        <v>-6.0740484999999964</v>
      </c>
    </row>
    <row r="45" spans="1:20" x14ac:dyDescent="0.25">
      <c r="A45">
        <v>44</v>
      </c>
      <c r="B45">
        <v>184</v>
      </c>
      <c r="C45" t="s">
        <v>105</v>
      </c>
      <c r="D45" t="s">
        <v>120</v>
      </c>
      <c r="E45" t="s">
        <v>49</v>
      </c>
      <c r="F45" t="s">
        <v>19</v>
      </c>
      <c r="G45" t="s">
        <v>20</v>
      </c>
      <c r="H45" t="s">
        <v>21</v>
      </c>
      <c r="I45" t="s">
        <v>56</v>
      </c>
      <c r="J45" t="s">
        <v>149</v>
      </c>
      <c r="K45" t="s">
        <v>23</v>
      </c>
      <c r="L45">
        <v>2108</v>
      </c>
      <c r="M45" s="4">
        <v>64.0193388</v>
      </c>
      <c r="N45" s="4">
        <v>0.78902950717355935</v>
      </c>
      <c r="O45" s="4">
        <v>-6.7016898819236517E-2</v>
      </c>
      <c r="P45" s="1" t="str">
        <f>HYPERLINK(".\sm_car_250602_1237\sm_car_250602_1237_044_Ca184TrN_MaMPC_DrSt_ode23t_1.png","figure")</f>
        <v>figure</v>
      </c>
      <c r="Q45" t="s">
        <v>15</v>
      </c>
    </row>
    <row r="46" spans="1:20" x14ac:dyDescent="0.25">
      <c r="A46">
        <v>45</v>
      </c>
      <c r="B46">
        <v>195</v>
      </c>
      <c r="C46" t="s">
        <v>45</v>
      </c>
      <c r="D46" t="s">
        <v>58</v>
      </c>
      <c r="E46" t="s">
        <v>107</v>
      </c>
      <c r="F46" t="s">
        <v>19</v>
      </c>
      <c r="G46" t="s">
        <v>26</v>
      </c>
      <c r="H46" t="s">
        <v>21</v>
      </c>
      <c r="I46" t="s">
        <v>55</v>
      </c>
      <c r="J46" t="s">
        <v>148</v>
      </c>
      <c r="K46" t="s">
        <v>23</v>
      </c>
      <c r="L46">
        <v>2926</v>
      </c>
      <c r="M46" s="4">
        <v>48.958939399999998</v>
      </c>
      <c r="N46" s="4">
        <v>-1.9182924511117097E-2</v>
      </c>
      <c r="O46" s="4">
        <v>-0.57338645335097127</v>
      </c>
      <c r="P46" s="1" t="str">
        <f>HYPERLINK(".\sm_car_250602_1237\sm_car_250602_1237_045_Ca195TrN_MaMPK_DrSt_ode23t_1.png","figure")</f>
        <v>figure</v>
      </c>
      <c r="Q46" t="s">
        <v>15</v>
      </c>
      <c r="S46">
        <f>L46-L47</f>
        <v>-857</v>
      </c>
      <c r="T46">
        <f>M46-M47</f>
        <v>-5.5744358000000034</v>
      </c>
    </row>
    <row r="47" spans="1:20" x14ac:dyDescent="0.25">
      <c r="A47">
        <v>46</v>
      </c>
      <c r="B47">
        <v>195</v>
      </c>
      <c r="C47" t="s">
        <v>45</v>
      </c>
      <c r="D47" t="s">
        <v>58</v>
      </c>
      <c r="E47" t="s">
        <v>107</v>
      </c>
      <c r="F47" t="s">
        <v>19</v>
      </c>
      <c r="G47" t="s">
        <v>26</v>
      </c>
      <c r="H47" t="s">
        <v>21</v>
      </c>
      <c r="I47" t="s">
        <v>55</v>
      </c>
      <c r="J47" t="s">
        <v>149</v>
      </c>
      <c r="K47" t="s">
        <v>23</v>
      </c>
      <c r="L47">
        <v>3783</v>
      </c>
      <c r="M47" s="4">
        <v>54.533375200000002</v>
      </c>
      <c r="N47" s="4">
        <v>-1.0853675939989094E-2</v>
      </c>
      <c r="O47" s="4">
        <v>-8.0768046531598817E-2</v>
      </c>
      <c r="P47" s="1" t="str">
        <f>HYPERLINK(".\sm_car_250602_1237\sm_car_250602_1237_046_Ca195TrN_MaMPK_DrSt_ode23t_1.png","figure")</f>
        <v>figure</v>
      </c>
      <c r="Q47" t="s">
        <v>15</v>
      </c>
    </row>
    <row r="48" spans="1:20" x14ac:dyDescent="0.25">
      <c r="A48">
        <v>47</v>
      </c>
      <c r="B48">
        <v>195</v>
      </c>
      <c r="C48" t="s">
        <v>45</v>
      </c>
      <c r="D48" t="s">
        <v>58</v>
      </c>
      <c r="E48" t="s">
        <v>107</v>
      </c>
      <c r="F48" t="s">
        <v>19</v>
      </c>
      <c r="G48" t="s">
        <v>26</v>
      </c>
      <c r="H48" t="s">
        <v>21</v>
      </c>
      <c r="I48" t="s">
        <v>56</v>
      </c>
      <c r="J48" t="s">
        <v>148</v>
      </c>
      <c r="K48" t="s">
        <v>23</v>
      </c>
      <c r="L48">
        <v>3223</v>
      </c>
      <c r="M48" s="4">
        <v>52.306404399999998</v>
      </c>
      <c r="N48" s="4">
        <v>0.78806091590815974</v>
      </c>
      <c r="O48" s="4">
        <v>-0.36436391303082472</v>
      </c>
      <c r="P48" s="1" t="str">
        <f>HYPERLINK(".\sm_car_250602_1237\sm_car_250602_1237_047_Ca195TrN_MaMPC_DrSt_ode23t_1.png","figure")</f>
        <v>figure</v>
      </c>
      <c r="Q48" t="s">
        <v>15</v>
      </c>
      <c r="S48">
        <f>L48-L49</f>
        <v>-500</v>
      </c>
      <c r="T48">
        <f>M48-M49</f>
        <v>-1.5793728000000016</v>
      </c>
    </row>
    <row r="49" spans="1:20" x14ac:dyDescent="0.25">
      <c r="A49">
        <v>48</v>
      </c>
      <c r="B49">
        <v>195</v>
      </c>
      <c r="C49" t="s">
        <v>45</v>
      </c>
      <c r="D49" t="s">
        <v>58</v>
      </c>
      <c r="E49" t="s">
        <v>107</v>
      </c>
      <c r="F49" t="s">
        <v>19</v>
      </c>
      <c r="G49" t="s">
        <v>26</v>
      </c>
      <c r="H49" t="s">
        <v>21</v>
      </c>
      <c r="I49" t="s">
        <v>56</v>
      </c>
      <c r="J49" t="s">
        <v>149</v>
      </c>
      <c r="K49" t="s">
        <v>23</v>
      </c>
      <c r="L49">
        <v>3723</v>
      </c>
      <c r="M49" s="4">
        <v>53.8857772</v>
      </c>
      <c r="N49" s="4">
        <v>0.78881022246711119</v>
      </c>
      <c r="O49" s="4">
        <v>5.6175013737223946E-3</v>
      </c>
      <c r="P49" s="1" t="str">
        <f>HYPERLINK(".\sm_car_250602_1237\sm_car_250602_1237_048_Ca195TrN_MaMPC_DrSt_ode23t_1.png","figure")</f>
        <v>figure</v>
      </c>
      <c r="Q49" t="s">
        <v>15</v>
      </c>
    </row>
    <row r="50" spans="1:20" x14ac:dyDescent="0.25">
      <c r="A50">
        <v>49</v>
      </c>
      <c r="B50">
        <v>198</v>
      </c>
      <c r="C50" t="s">
        <v>105</v>
      </c>
      <c r="D50" t="s">
        <v>120</v>
      </c>
      <c r="E50" t="s">
        <v>107</v>
      </c>
      <c r="F50" t="s">
        <v>19</v>
      </c>
      <c r="G50" t="s">
        <v>20</v>
      </c>
      <c r="H50" t="s">
        <v>21</v>
      </c>
      <c r="I50" t="s">
        <v>55</v>
      </c>
      <c r="J50" t="s">
        <v>148</v>
      </c>
      <c r="K50" t="s">
        <v>23</v>
      </c>
      <c r="L50">
        <v>2137</v>
      </c>
      <c r="M50" s="4">
        <v>34.198577</v>
      </c>
      <c r="N50" s="4">
        <v>-2.2229589565011476E-2</v>
      </c>
      <c r="O50" s="4">
        <v>-0.71911907553921184</v>
      </c>
      <c r="P50" s="1" t="str">
        <f>HYPERLINK(".\sm_car_250602_1237\sm_car_250602_1237_049_Ca198TrN_MaMPK_DrSt_ode23t_1.png","figure")</f>
        <v>figure</v>
      </c>
      <c r="Q50" t="s">
        <v>15</v>
      </c>
      <c r="S50">
        <f>L50-L51</f>
        <v>-270</v>
      </c>
      <c r="T50">
        <f>M50-M51</f>
        <v>-4.3668088000000012</v>
      </c>
    </row>
    <row r="51" spans="1:20" x14ac:dyDescent="0.25">
      <c r="A51">
        <v>50</v>
      </c>
      <c r="B51">
        <v>198</v>
      </c>
      <c r="C51" t="s">
        <v>105</v>
      </c>
      <c r="D51" t="s">
        <v>120</v>
      </c>
      <c r="E51" t="s">
        <v>107</v>
      </c>
      <c r="F51" t="s">
        <v>19</v>
      </c>
      <c r="G51" t="s">
        <v>20</v>
      </c>
      <c r="H51" t="s">
        <v>21</v>
      </c>
      <c r="I51" t="s">
        <v>55</v>
      </c>
      <c r="J51" t="s">
        <v>149</v>
      </c>
      <c r="K51" t="s">
        <v>23</v>
      </c>
      <c r="L51">
        <v>2407</v>
      </c>
      <c r="M51" s="4">
        <v>38.565385800000001</v>
      </c>
      <c r="N51" s="4">
        <v>-8.50699653001738E-3</v>
      </c>
      <c r="O51" s="4">
        <v>-1.8229692894639306E-2</v>
      </c>
      <c r="P51" s="1" t="str">
        <f>HYPERLINK(".\sm_car_250602_1237\sm_car_250602_1237_050_Ca198TrN_MaMPK_DrSt_ode23t_1.png","figure")</f>
        <v>figure</v>
      </c>
      <c r="Q51" t="s">
        <v>15</v>
      </c>
    </row>
    <row r="52" spans="1:20" x14ac:dyDescent="0.25">
      <c r="A52">
        <v>51</v>
      </c>
      <c r="B52">
        <v>198</v>
      </c>
      <c r="C52" t="s">
        <v>105</v>
      </c>
      <c r="D52" t="s">
        <v>120</v>
      </c>
      <c r="E52" t="s">
        <v>107</v>
      </c>
      <c r="F52" t="s">
        <v>19</v>
      </c>
      <c r="G52" t="s">
        <v>20</v>
      </c>
      <c r="H52" t="s">
        <v>21</v>
      </c>
      <c r="I52" t="s">
        <v>56</v>
      </c>
      <c r="J52" t="s">
        <v>148</v>
      </c>
      <c r="K52" t="s">
        <v>23</v>
      </c>
      <c r="L52">
        <v>2161</v>
      </c>
      <c r="M52" s="4">
        <v>37.601711999999999</v>
      </c>
      <c r="N52" s="4">
        <v>0.78880512674993852</v>
      </c>
      <c r="O52" s="4">
        <v>-0.33735115407975708</v>
      </c>
      <c r="P52" s="1" t="str">
        <f>HYPERLINK(".\sm_car_250602_1237\sm_car_250602_1237_051_Ca198TrN_MaMPC_DrSt_ode23t_1.png","figure")</f>
        <v>figure</v>
      </c>
      <c r="Q52" t="s">
        <v>15</v>
      </c>
      <c r="S52">
        <f>L52-L53</f>
        <v>-216</v>
      </c>
      <c r="T52">
        <f>M52-M53</f>
        <v>-3.2638160999999997</v>
      </c>
    </row>
    <row r="53" spans="1:20" x14ac:dyDescent="0.25">
      <c r="A53">
        <v>52</v>
      </c>
      <c r="B53">
        <v>198</v>
      </c>
      <c r="C53" t="s">
        <v>105</v>
      </c>
      <c r="D53" t="s">
        <v>120</v>
      </c>
      <c r="E53" t="s">
        <v>107</v>
      </c>
      <c r="F53" t="s">
        <v>19</v>
      </c>
      <c r="G53" t="s">
        <v>20</v>
      </c>
      <c r="H53" t="s">
        <v>21</v>
      </c>
      <c r="I53" t="s">
        <v>56</v>
      </c>
      <c r="J53" t="s">
        <v>149</v>
      </c>
      <c r="K53" t="s">
        <v>23</v>
      </c>
      <c r="L53">
        <v>2377</v>
      </c>
      <c r="M53" s="4">
        <v>40.865528099999999</v>
      </c>
      <c r="N53" s="4">
        <v>0.78861384016498626</v>
      </c>
      <c r="O53" s="4">
        <v>-6.7865981917712134E-2</v>
      </c>
      <c r="P53" s="1" t="str">
        <f>HYPERLINK(".\sm_car_250602_1237\sm_car_250602_1237_052_Ca198TrN_MaMPC_DrSt_ode23t_1.png","figure")</f>
        <v>figure</v>
      </c>
      <c r="Q53" t="s">
        <v>15</v>
      </c>
    </row>
  </sheetData>
  <conditionalFormatting sqref="S18:S5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{36BF7AAC-0689-43FD-B2ED-CF78B631C23C}</x14:id>
        </ext>
      </extLst>
    </cfRule>
  </conditionalFormatting>
  <conditionalFormatting sqref="T18:T5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{0679B4D3-3D4A-43F3-9394-C7E0C20E080C}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BF7AAC-0689-43FD-B2ED-CF78B631C2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S18:S52</xm:sqref>
        </x14:conditionalFormatting>
        <x14:conditionalFormatting xmlns:xm="http://schemas.microsoft.com/office/excel/2006/main">
          <x14:cfRule type="dataBar" id="{0679B4D3-3D4A-43F3-9394-C7E0C20E08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T18:T52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07E4-B0BB-4DA6-BB3D-3A0B8DA05011}">
  <dimension ref="A1:S271"/>
  <sheetViews>
    <sheetView workbookViewId="0">
      <selection activeCell="S17" sqref="S17"/>
    </sheetView>
  </sheetViews>
  <sheetFormatPr defaultRowHeight="15" x14ac:dyDescent="0.25"/>
  <cols>
    <col min="1" max="1" width="4.42578125" bestFit="1" customWidth="1"/>
    <col min="2" max="2" width="10" bestFit="1" customWidth="1"/>
    <col min="3" max="3" width="14" bestFit="1" customWidth="1"/>
    <col min="4" max="4" width="12.42578125" bestFit="1" customWidth="1"/>
    <col min="5" max="5" width="11.85546875" bestFit="1" customWidth="1"/>
    <col min="6" max="6" width="11.42578125" bestFit="1" customWidth="1"/>
    <col min="7" max="7" width="16.85546875" bestFit="1" customWidth="1"/>
    <col min="8" max="8" width="8.5703125" bestFit="1" customWidth="1"/>
    <col min="9" max="9" width="27.140625" bestFit="1" customWidth="1"/>
    <col min="10" max="10" width="12.42578125" bestFit="1" customWidth="1"/>
    <col min="11" max="11" width="7.140625" bestFit="1" customWidth="1"/>
    <col min="12" max="12" width="7.28515625" bestFit="1" customWidth="1"/>
    <col min="13" max="13" width="7.5703125" bestFit="1" customWidth="1"/>
    <col min="14" max="14" width="8.5703125" bestFit="1" customWidth="1"/>
    <col min="15" max="15" width="9.28515625" bestFit="1" customWidth="1"/>
    <col min="16" max="16" width="6.5703125" bestFit="1" customWidth="1"/>
    <col min="17" max="17" width="4.85546875" bestFit="1" customWidth="1"/>
    <col min="19" max="19" width="30.7109375" bestFit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6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S1" s="2" t="s">
        <v>152</v>
      </c>
    </row>
    <row r="2" spans="1:19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148</v>
      </c>
      <c r="K2" t="s">
        <v>23</v>
      </c>
      <c r="L2">
        <v>242</v>
      </c>
      <c r="M2" s="4">
        <v>4.4545070000000004</v>
      </c>
      <c r="N2" s="4">
        <v>7.1607369634011704</v>
      </c>
      <c r="O2" s="4">
        <v>-3.2073982358936051E-4</v>
      </c>
      <c r="P2" s="1" t="str">
        <f>HYPERLINK(".\sm_car_250620_2310\sm_car_250620_2310_001_Ca000TrN_MaWOT_DrSt_ode23t.png","figure")</f>
        <v>figure</v>
      </c>
      <c r="Q2" t="s">
        <v>15</v>
      </c>
      <c r="S2" s="2" t="s">
        <v>116</v>
      </c>
    </row>
    <row r="3" spans="1:19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24</v>
      </c>
      <c r="J3" t="s">
        <v>148</v>
      </c>
      <c r="K3" t="s">
        <v>23</v>
      </c>
      <c r="L3">
        <v>347</v>
      </c>
      <c r="M3" s="4">
        <v>5.4443276999999997</v>
      </c>
      <c r="N3" s="4">
        <v>7.1603682144701981</v>
      </c>
      <c r="O3" s="4">
        <v>2.4788383099338684E-2</v>
      </c>
      <c r="P3" s="1" t="str">
        <f>HYPERLINK(".\sm_car_250620_2310\sm_car_250620_2310_002_Ca000TrN_MaLSS_DrSt_ode23t.png","figure")</f>
        <v>figure</v>
      </c>
      <c r="Q3" t="s">
        <v>15</v>
      </c>
      <c r="S3" s="2" t="s">
        <v>117</v>
      </c>
    </row>
    <row r="4" spans="1:19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21</v>
      </c>
      <c r="I4" t="s">
        <v>22</v>
      </c>
      <c r="J4" t="s">
        <v>148</v>
      </c>
      <c r="K4" t="s">
        <v>23</v>
      </c>
      <c r="L4">
        <v>238</v>
      </c>
      <c r="M4" s="4">
        <v>4.6366440999999998</v>
      </c>
      <c r="N4" s="4">
        <v>7.1625826631531364</v>
      </c>
      <c r="O4" s="4">
        <v>-3.3924143595971782E-4</v>
      </c>
      <c r="P4" s="1" t="str">
        <f>HYPERLINK(".\sm_car_250620_2310\sm_car_250620_2310_003_Ca001TrN_MaWOT_DrSt_ode23t.png","figure")</f>
        <v>figure</v>
      </c>
      <c r="Q4" t="s">
        <v>15</v>
      </c>
      <c r="S4" s="2" t="s">
        <v>118</v>
      </c>
    </row>
    <row r="5" spans="1:19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25</v>
      </c>
      <c r="H5" t="s">
        <v>21</v>
      </c>
      <c r="I5" t="s">
        <v>24</v>
      </c>
      <c r="J5" t="s">
        <v>148</v>
      </c>
      <c r="K5" t="s">
        <v>23</v>
      </c>
      <c r="L5">
        <v>350</v>
      </c>
      <c r="M5" s="4">
        <v>6.5361801000000002</v>
      </c>
      <c r="N5" s="4">
        <v>7.1612690182084773</v>
      </c>
      <c r="O5" s="4">
        <v>2.4775995808604456E-2</v>
      </c>
      <c r="P5" s="1" t="str">
        <f>HYPERLINK(".\sm_car_250620_2310\sm_car_250620_2310_004_Ca001TrN_MaLSS_DrSt_ode23t.png","figure")</f>
        <v>figure</v>
      </c>
      <c r="Q5" t="s">
        <v>15</v>
      </c>
      <c r="S5" t="s">
        <v>153</v>
      </c>
    </row>
    <row r="6" spans="1:19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26</v>
      </c>
      <c r="H6" t="s">
        <v>21</v>
      </c>
      <c r="I6" t="s">
        <v>22</v>
      </c>
      <c r="J6" t="s">
        <v>148</v>
      </c>
      <c r="K6" t="s">
        <v>23</v>
      </c>
      <c r="L6">
        <v>236</v>
      </c>
      <c r="M6" s="4">
        <v>6.7029592999999998</v>
      </c>
      <c r="N6" s="4">
        <v>7.1616710388734131</v>
      </c>
      <c r="O6" s="4">
        <v>-3.5718842197838489E-4</v>
      </c>
      <c r="P6" s="1" t="str">
        <f>HYPERLINK(".\sm_car_250620_2310\sm_car_250620_2310_005_Ca002TrN_MaWOT_DrSt_ode23t.png","figure")</f>
        <v>figure</v>
      </c>
      <c r="Q6" t="s">
        <v>15</v>
      </c>
    </row>
    <row r="7" spans="1:19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26</v>
      </c>
      <c r="H7" t="s">
        <v>21</v>
      </c>
      <c r="I7" t="s">
        <v>24</v>
      </c>
      <c r="J7" t="s">
        <v>148</v>
      </c>
      <c r="K7" t="s">
        <v>23</v>
      </c>
      <c r="L7">
        <v>361</v>
      </c>
      <c r="M7" s="4">
        <v>10.1250068</v>
      </c>
      <c r="N7" s="4">
        <v>7.159108946791136</v>
      </c>
      <c r="O7" s="4">
        <v>2.4778738937123335E-2</v>
      </c>
      <c r="P7" s="1" t="str">
        <f>HYPERLINK(".\sm_car_250620_2310\sm_car_250620_2310_006_Ca002TrN_MaLSS_DrSt_ode23t.png","figure")</f>
        <v>figure</v>
      </c>
      <c r="Q7" t="s">
        <v>15</v>
      </c>
    </row>
    <row r="8" spans="1:19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27</v>
      </c>
      <c r="H8" t="s">
        <v>21</v>
      </c>
      <c r="I8" t="s">
        <v>22</v>
      </c>
      <c r="J8" t="s">
        <v>148</v>
      </c>
      <c r="K8" t="s">
        <v>23</v>
      </c>
      <c r="L8">
        <v>268</v>
      </c>
      <c r="M8" s="4">
        <v>7.2741705999999997</v>
      </c>
      <c r="N8" s="4">
        <v>7.1608192940915334</v>
      </c>
      <c r="O8" s="4">
        <v>-3.4121420500495236E-4</v>
      </c>
      <c r="P8" s="1" t="str">
        <f>HYPERLINK(".\sm_car_250620_2310\sm_car_250620_2310_007_Ca003TrN_MaWOT_DrSt_ode23t.png","figure")</f>
        <v>figure</v>
      </c>
      <c r="Q8" t="s">
        <v>15</v>
      </c>
    </row>
    <row r="9" spans="1:19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27</v>
      </c>
      <c r="H9" t="s">
        <v>21</v>
      </c>
      <c r="I9" t="s">
        <v>24</v>
      </c>
      <c r="J9" t="s">
        <v>148</v>
      </c>
      <c r="K9" t="s">
        <v>23</v>
      </c>
      <c r="L9">
        <v>351</v>
      </c>
      <c r="M9" s="4">
        <v>10.7782827</v>
      </c>
      <c r="N9" s="4">
        <v>7.1594057436434202</v>
      </c>
      <c r="O9" s="4">
        <v>2.477704568495135E-2</v>
      </c>
      <c r="P9" s="1" t="str">
        <f>HYPERLINK(".\sm_car_250620_2310\sm_car_250620_2310_008_Ca003TrN_MaLSS_DrSt_ode23t.png","figure")</f>
        <v>figure</v>
      </c>
      <c r="Q9" t="s">
        <v>15</v>
      </c>
    </row>
    <row r="10" spans="1:19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20</v>
      </c>
      <c r="H10" t="s">
        <v>21</v>
      </c>
      <c r="I10" t="s">
        <v>22</v>
      </c>
      <c r="J10" t="s">
        <v>148</v>
      </c>
      <c r="K10" t="s">
        <v>23</v>
      </c>
      <c r="L10">
        <v>1883</v>
      </c>
      <c r="M10" s="4">
        <v>19.412048500000001</v>
      </c>
      <c r="N10" s="4">
        <v>7.1730589992781315</v>
      </c>
      <c r="O10" s="4">
        <v>-3.4491503363100808E-4</v>
      </c>
      <c r="P10" s="1" t="str">
        <f>HYPERLINK(".\sm_car_250620_2310\sm_car_250620_2310_009_Ca004TrN_MaWOT_DrSt_ode23t.png","figure")</f>
        <v>figure</v>
      </c>
      <c r="Q10" t="s">
        <v>15</v>
      </c>
    </row>
    <row r="11" spans="1:19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20</v>
      </c>
      <c r="H11" t="s">
        <v>21</v>
      </c>
      <c r="I11" t="s">
        <v>24</v>
      </c>
      <c r="J11" t="s">
        <v>148</v>
      </c>
      <c r="K11" t="s">
        <v>23</v>
      </c>
      <c r="L11">
        <v>1941</v>
      </c>
      <c r="M11" s="4">
        <v>20.206955099999998</v>
      </c>
      <c r="N11" s="4">
        <v>7.1718029405426638</v>
      </c>
      <c r="O11" s="4">
        <v>2.4796807130566104E-2</v>
      </c>
      <c r="P11" s="1" t="str">
        <f>HYPERLINK(".\sm_car_250620_2310\sm_car_250620_2310_010_Ca004TrN_MaLSS_DrSt_ode23t.png","figure")</f>
        <v>figure</v>
      </c>
      <c r="Q11" t="s">
        <v>15</v>
      </c>
    </row>
    <row r="12" spans="1:19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25</v>
      </c>
      <c r="H12" t="s">
        <v>21</v>
      </c>
      <c r="I12" t="s">
        <v>22</v>
      </c>
      <c r="J12" t="s">
        <v>148</v>
      </c>
      <c r="K12" t="s">
        <v>23</v>
      </c>
      <c r="L12">
        <v>2219</v>
      </c>
      <c r="M12" s="4">
        <v>23.390902499999999</v>
      </c>
      <c r="N12" s="4">
        <v>7.1731801438572784</v>
      </c>
      <c r="O12" s="4">
        <v>-3.5738098748661366E-4</v>
      </c>
      <c r="P12" s="1" t="str">
        <f>HYPERLINK(".\sm_car_250620_2310\sm_car_250620_2310_011_Ca005TrN_MaWOT_DrSt_ode23t.png","figure")</f>
        <v>figure</v>
      </c>
      <c r="Q12" t="s">
        <v>15</v>
      </c>
    </row>
    <row r="13" spans="1:19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25</v>
      </c>
      <c r="H13" t="s">
        <v>21</v>
      </c>
      <c r="I13" t="s">
        <v>24</v>
      </c>
      <c r="J13" t="s">
        <v>148</v>
      </c>
      <c r="K13" t="s">
        <v>23</v>
      </c>
      <c r="L13">
        <v>2214</v>
      </c>
      <c r="M13" s="4">
        <v>22.704628400000001</v>
      </c>
      <c r="N13" s="4">
        <v>7.1718588293699188</v>
      </c>
      <c r="O13" s="4">
        <v>2.4798733100243973E-2</v>
      </c>
      <c r="P13" s="1" t="str">
        <f>HYPERLINK(".\sm_car_250620_2310\sm_car_250620_2310_012_Ca005TrN_MaLSS_DrSt_ode23t.png","figure")</f>
        <v>figure</v>
      </c>
      <c r="Q13" t="s">
        <v>15</v>
      </c>
    </row>
    <row r="14" spans="1:19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26</v>
      </c>
      <c r="H14" t="s">
        <v>21</v>
      </c>
      <c r="I14" t="s">
        <v>22</v>
      </c>
      <c r="J14" t="s">
        <v>148</v>
      </c>
      <c r="K14" t="s">
        <v>23</v>
      </c>
      <c r="L14">
        <v>2266</v>
      </c>
      <c r="M14" s="4">
        <v>23.3041099</v>
      </c>
      <c r="N14" s="4">
        <v>7.1670641600485219</v>
      </c>
      <c r="O14" s="4">
        <v>-3.6602182027046067E-4</v>
      </c>
      <c r="P14" s="1" t="str">
        <f>HYPERLINK(".\sm_car_250620_2310\sm_car_250620_2310_013_Ca006TrN_MaWOT_DrSt_ode23t.png","figure")</f>
        <v>figure</v>
      </c>
      <c r="Q14" t="s">
        <v>15</v>
      </c>
    </row>
    <row r="15" spans="1:19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26</v>
      </c>
      <c r="H15" t="s">
        <v>21</v>
      </c>
      <c r="I15" t="s">
        <v>24</v>
      </c>
      <c r="J15" t="s">
        <v>148</v>
      </c>
      <c r="K15" t="s">
        <v>23</v>
      </c>
      <c r="L15">
        <v>2293</v>
      </c>
      <c r="M15" s="4">
        <v>23.502593600000001</v>
      </c>
      <c r="N15" s="4">
        <v>7.1656949398561078</v>
      </c>
      <c r="O15" s="4">
        <v>2.4754643719322612E-2</v>
      </c>
      <c r="P15" s="1" t="str">
        <f>HYPERLINK(".\sm_car_250620_2310\sm_car_250620_2310_014_Ca006TrN_MaLSS_DrSt_ode23t.png","figure")</f>
        <v>figure</v>
      </c>
      <c r="Q15" t="s">
        <v>15</v>
      </c>
    </row>
    <row r="16" spans="1:19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27</v>
      </c>
      <c r="H16" t="s">
        <v>21</v>
      </c>
      <c r="I16" t="s">
        <v>22</v>
      </c>
      <c r="J16" t="s">
        <v>148</v>
      </c>
      <c r="K16" t="s">
        <v>23</v>
      </c>
      <c r="L16">
        <v>2227</v>
      </c>
      <c r="M16" s="4">
        <v>23.6321166</v>
      </c>
      <c r="N16" s="4">
        <v>7.1699523493049213</v>
      </c>
      <c r="O16" s="4">
        <v>-3.6888960250796844E-4</v>
      </c>
      <c r="P16" s="1" t="str">
        <f>HYPERLINK(".\sm_car_250620_2310\sm_car_250620_2310_015_Ca007TrN_MaWOT_DrSt_ode23t.png","figure")</f>
        <v>figure</v>
      </c>
      <c r="Q16" t="s">
        <v>15</v>
      </c>
    </row>
    <row r="17" spans="1:17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27</v>
      </c>
      <c r="H17" t="s">
        <v>21</v>
      </c>
      <c r="I17" t="s">
        <v>24</v>
      </c>
      <c r="J17" t="s">
        <v>148</v>
      </c>
      <c r="K17" t="s">
        <v>23</v>
      </c>
      <c r="L17">
        <v>2254</v>
      </c>
      <c r="M17" s="4">
        <v>23.037822999999999</v>
      </c>
      <c r="N17" s="4">
        <v>7.1685948652581271</v>
      </c>
      <c r="O17" s="4">
        <v>2.4772572249330028E-2</v>
      </c>
      <c r="P17" s="1" t="str">
        <f>HYPERLINK(".\sm_car_250620_2310\sm_car_250620_2310_016_Ca007TrN_MaLSS_DrSt_ode23t.png","figure")</f>
        <v>figure</v>
      </c>
      <c r="Q17" t="s">
        <v>15</v>
      </c>
    </row>
    <row r="18" spans="1:17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148</v>
      </c>
      <c r="K18" t="s">
        <v>23</v>
      </c>
      <c r="L18">
        <v>245</v>
      </c>
      <c r="M18" s="4">
        <v>3.1052365000000002</v>
      </c>
      <c r="N18" s="4">
        <v>7.1564619470391548</v>
      </c>
      <c r="O18" s="4">
        <v>-4.2455413915186402E-4</v>
      </c>
      <c r="P18" s="1" t="str">
        <f>HYPERLINK(".\sm_car_250620_2310\sm_car_250620_2310_017_Ca016TrN_MaWOT_DrSt_ode23t.png","figure")</f>
        <v>figure</v>
      </c>
      <c r="Q18" t="s">
        <v>15</v>
      </c>
    </row>
    <row r="19" spans="1:17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20</v>
      </c>
      <c r="H19" t="s">
        <v>21</v>
      </c>
      <c r="I19" t="s">
        <v>24</v>
      </c>
      <c r="J19" t="s">
        <v>148</v>
      </c>
      <c r="K19" t="s">
        <v>23</v>
      </c>
      <c r="L19">
        <v>355</v>
      </c>
      <c r="M19" s="4">
        <v>4.6874098999999996</v>
      </c>
      <c r="N19" s="4">
        <v>7.157446532746448</v>
      </c>
      <c r="O19" s="4">
        <v>-4.2528261567964759E-4</v>
      </c>
      <c r="P19" s="1" t="str">
        <f>HYPERLINK(".\sm_car_250620_2310\sm_car_250620_2310_018_Ca016TrN_MaLSS_DrSt_ode23t.png","figure")</f>
        <v>figure</v>
      </c>
      <c r="Q19" t="s">
        <v>15</v>
      </c>
    </row>
    <row r="20" spans="1:17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148</v>
      </c>
      <c r="K20" t="s">
        <v>23</v>
      </c>
      <c r="L20">
        <v>223</v>
      </c>
      <c r="M20" s="4">
        <v>4.7020596000000001</v>
      </c>
      <c r="N20" s="4">
        <v>7.1634901965564488</v>
      </c>
      <c r="O20" s="4">
        <v>-2.9005087470396754E-4</v>
      </c>
      <c r="P20" s="1" t="str">
        <f>HYPERLINK(".\sm_car_250620_2310\sm_car_250620_2310_019_Ca032TrN_MaWOT_DrSt_ode23t.png","figure")</f>
        <v>figure</v>
      </c>
      <c r="Q20" t="s">
        <v>15</v>
      </c>
    </row>
    <row r="21" spans="1:17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20</v>
      </c>
      <c r="H21" t="s">
        <v>21</v>
      </c>
      <c r="I21" t="s">
        <v>24</v>
      </c>
      <c r="J21" t="s">
        <v>148</v>
      </c>
      <c r="K21" t="s">
        <v>23</v>
      </c>
      <c r="L21">
        <v>338</v>
      </c>
      <c r="M21" s="4">
        <v>6.0707313000000003</v>
      </c>
      <c r="N21" s="4">
        <v>7.1615234346627492</v>
      </c>
      <c r="O21" s="4">
        <v>2.4147087690697549E-2</v>
      </c>
      <c r="P21" s="1" t="str">
        <f>HYPERLINK(".\sm_car_250620_2310\sm_car_250620_2310_020_Ca032TrN_MaLSS_DrSt_ode23t.png","figure")</f>
        <v>figure</v>
      </c>
      <c r="Q21" t="s">
        <v>15</v>
      </c>
    </row>
    <row r="22" spans="1:17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148</v>
      </c>
      <c r="K22" t="s">
        <v>23</v>
      </c>
      <c r="L22">
        <v>240</v>
      </c>
      <c r="M22" s="4">
        <v>4.5706141000000002</v>
      </c>
      <c r="N22" s="4">
        <v>7.1603338001418813</v>
      </c>
      <c r="O22" s="4">
        <v>-3.4740252090934649E-4</v>
      </c>
      <c r="P22" s="1" t="str">
        <f>HYPERLINK(".\sm_car_250620_2310\sm_car_250620_2310_021_Ca048TrN_MaWOT_DrSt_ode23t.png","figure")</f>
        <v>figure</v>
      </c>
      <c r="Q22" t="s">
        <v>15</v>
      </c>
    </row>
    <row r="23" spans="1:17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20</v>
      </c>
      <c r="H23" t="s">
        <v>21</v>
      </c>
      <c r="I23" t="s">
        <v>24</v>
      </c>
      <c r="J23" t="s">
        <v>148</v>
      </c>
      <c r="K23" t="s">
        <v>23</v>
      </c>
      <c r="L23">
        <v>347</v>
      </c>
      <c r="M23" s="4">
        <v>6.5379601999999997</v>
      </c>
      <c r="N23" s="4">
        <v>7.1597655729411702</v>
      </c>
      <c r="O23" s="4">
        <v>2.4120940848481157E-2</v>
      </c>
      <c r="P23" s="1" t="str">
        <f>HYPERLINK(".\sm_car_250620_2310\sm_car_250620_2310_022_Ca048TrN_MaLSS_DrSt_ode23t.png","figure")</f>
        <v>figure</v>
      </c>
      <c r="Q23" t="s">
        <v>15</v>
      </c>
    </row>
    <row r="24" spans="1:17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 t="s">
        <v>148</v>
      </c>
      <c r="K24" t="s">
        <v>23</v>
      </c>
      <c r="L24">
        <v>238</v>
      </c>
      <c r="M24" s="4">
        <v>4.5812435000000002</v>
      </c>
      <c r="N24" s="4">
        <v>7.1611727499040594</v>
      </c>
      <c r="O24" s="4">
        <v>-2.8889696254559658E-4</v>
      </c>
      <c r="P24" s="1" t="str">
        <f>HYPERLINK(".\sm_car_250620_2310\sm_car_250620_2310_023_Ca064TrN_MaWOT_DrSt_ode23t.png","figure")</f>
        <v>figure</v>
      </c>
      <c r="Q24" t="s">
        <v>15</v>
      </c>
    </row>
    <row r="25" spans="1:17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20</v>
      </c>
      <c r="H25" t="s">
        <v>21</v>
      </c>
      <c r="I25" t="s">
        <v>24</v>
      </c>
      <c r="J25" t="s">
        <v>148</v>
      </c>
      <c r="K25" t="s">
        <v>23</v>
      </c>
      <c r="L25">
        <v>353</v>
      </c>
      <c r="M25" s="4">
        <v>6.0441361000000002</v>
      </c>
      <c r="N25" s="4">
        <v>7.1606507304038587</v>
      </c>
      <c r="O25" s="4">
        <v>2.3942921955962451E-2</v>
      </c>
      <c r="P25" s="1" t="str">
        <f>HYPERLINK(".\sm_car_250620_2310\sm_car_250620_2310_024_Ca064TrN_MaLSS_DrSt_ode23t.png","figure")</f>
        <v>figure</v>
      </c>
      <c r="Q25" t="s">
        <v>15</v>
      </c>
    </row>
    <row r="26" spans="1:17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148</v>
      </c>
      <c r="K26" t="s">
        <v>23</v>
      </c>
      <c r="L26">
        <v>234</v>
      </c>
      <c r="M26" s="4">
        <v>4.0936010999999999</v>
      </c>
      <c r="N26" s="4">
        <v>7.1602755718040392</v>
      </c>
      <c r="O26" s="4">
        <v>-3.4750686272706538E-4</v>
      </c>
      <c r="P26" s="1" t="str">
        <f>HYPERLINK(".\sm_car_250620_2310\sm_car_250620_2310_025_Ca080TrN_MaWOT_DrSt_ode23t.png","figure")</f>
        <v>figure</v>
      </c>
      <c r="Q26" t="s">
        <v>15</v>
      </c>
    </row>
    <row r="27" spans="1:17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20</v>
      </c>
      <c r="H27" t="s">
        <v>21</v>
      </c>
      <c r="I27" t="s">
        <v>24</v>
      </c>
      <c r="J27" t="s">
        <v>148</v>
      </c>
      <c r="K27" t="s">
        <v>23</v>
      </c>
      <c r="L27">
        <v>354</v>
      </c>
      <c r="M27" s="4">
        <v>6.0802157000000001</v>
      </c>
      <c r="N27" s="4">
        <v>7.159125666376287</v>
      </c>
      <c r="O27" s="4">
        <v>2.391670187410519E-2</v>
      </c>
      <c r="P27" s="1" t="str">
        <f>HYPERLINK(".\sm_car_250620_2310\sm_car_250620_2310_026_Ca080TrN_MaLSS_DrSt_ode23t.png","figure")</f>
        <v>figure</v>
      </c>
      <c r="Q27" t="s">
        <v>15</v>
      </c>
    </row>
    <row r="28" spans="1:17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148</v>
      </c>
      <c r="K28" t="s">
        <v>23</v>
      </c>
      <c r="L28">
        <v>242</v>
      </c>
      <c r="M28" s="4">
        <v>4.0533840999999997</v>
      </c>
      <c r="N28" s="4">
        <v>7.1617574001754445</v>
      </c>
      <c r="O28" s="4">
        <v>-2.7484853894215328E-4</v>
      </c>
      <c r="P28" s="1" t="str">
        <f>HYPERLINK(".\sm_car_250620_2310\sm_car_250620_2310_027_Ca096TrN_MaWOT_DrSt_ode23t.png","figure")</f>
        <v>figure</v>
      </c>
      <c r="Q28" t="s">
        <v>15</v>
      </c>
    </row>
    <row r="29" spans="1:17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20</v>
      </c>
      <c r="H29" t="s">
        <v>21</v>
      </c>
      <c r="I29" t="s">
        <v>24</v>
      </c>
      <c r="J29" t="s">
        <v>148</v>
      </c>
      <c r="K29" t="s">
        <v>23</v>
      </c>
      <c r="L29">
        <v>348</v>
      </c>
      <c r="M29" s="4">
        <v>4.8048833000000002</v>
      </c>
      <c r="N29" s="4">
        <v>7.160750431792124</v>
      </c>
      <c r="O29" s="4">
        <v>2.3941174694340886E-2</v>
      </c>
      <c r="P29" s="1" t="str">
        <f>HYPERLINK(".\sm_car_250620_2310\sm_car_250620_2310_028_Ca096TrN_MaLSS_DrSt_ode23t.png","figure")</f>
        <v>figure</v>
      </c>
      <c r="Q29" t="s">
        <v>15</v>
      </c>
    </row>
    <row r="30" spans="1:17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 t="s">
        <v>148</v>
      </c>
      <c r="K30" t="s">
        <v>23</v>
      </c>
      <c r="L30">
        <v>183</v>
      </c>
      <c r="M30" s="4">
        <v>1.567437</v>
      </c>
      <c r="N30" s="4">
        <v>7.1581946765850901</v>
      </c>
      <c r="O30" s="4">
        <v>-9.6249677875470484E-5</v>
      </c>
      <c r="P30" s="1" t="str">
        <f>HYPERLINK(".\sm_car_250620_2310\sm_car_250620_2310_029_Ca112TrN_MaWOT_DrSt_ode23t.png","figure")</f>
        <v>figure</v>
      </c>
      <c r="Q30" t="s">
        <v>15</v>
      </c>
    </row>
    <row r="31" spans="1:17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20</v>
      </c>
      <c r="H31" t="s">
        <v>21</v>
      </c>
      <c r="I31" t="s">
        <v>24</v>
      </c>
      <c r="J31" t="s">
        <v>148</v>
      </c>
      <c r="K31" t="s">
        <v>23</v>
      </c>
      <c r="L31">
        <v>328</v>
      </c>
      <c r="M31" s="4">
        <v>2.4649473</v>
      </c>
      <c r="N31" s="4">
        <v>7.1594613695152223</v>
      </c>
      <c r="O31" s="4">
        <v>1.5592805156669661E-2</v>
      </c>
      <c r="P31" s="1" t="str">
        <f>HYPERLINK(".\sm_car_250620_2310\sm_car_250620_2310_030_Ca112TrN_MaLSS_DrSt_ode23t.png","figure")</f>
        <v>figure</v>
      </c>
      <c r="Q31" t="s">
        <v>15</v>
      </c>
    </row>
    <row r="32" spans="1:17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25</v>
      </c>
      <c r="H32" t="s">
        <v>21</v>
      </c>
      <c r="I32" t="s">
        <v>22</v>
      </c>
      <c r="J32" t="s">
        <v>148</v>
      </c>
      <c r="K32" t="s">
        <v>23</v>
      </c>
      <c r="L32">
        <v>181</v>
      </c>
      <c r="M32" s="4">
        <v>1.5612760999999999</v>
      </c>
      <c r="N32" s="4">
        <v>7.1584960133157605</v>
      </c>
      <c r="O32" s="4">
        <v>-9.7962754434945148E-5</v>
      </c>
      <c r="P32" s="1" t="str">
        <f>HYPERLINK(".\sm_car_250620_2310\sm_car_250620_2310_031_Ca113TrN_MaWOT_DrSt_ode23t.png","figure")</f>
        <v>figure</v>
      </c>
      <c r="Q32" t="s">
        <v>15</v>
      </c>
    </row>
    <row r="33" spans="1:17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25</v>
      </c>
      <c r="H33" t="s">
        <v>21</v>
      </c>
      <c r="I33" t="s">
        <v>24</v>
      </c>
      <c r="J33" t="s">
        <v>148</v>
      </c>
      <c r="K33" t="s">
        <v>23</v>
      </c>
      <c r="L33">
        <v>337</v>
      </c>
      <c r="M33" s="4">
        <v>2.7481319000000002</v>
      </c>
      <c r="N33" s="4">
        <v>7.1595025981061244</v>
      </c>
      <c r="O33" s="4">
        <v>1.5596843500468936E-2</v>
      </c>
      <c r="P33" s="1" t="str">
        <f>HYPERLINK(".\sm_car_250620_2310\sm_car_250620_2310_032_Ca113TrN_MaLSS_DrSt_ode23t.png","figure")</f>
        <v>figure</v>
      </c>
      <c r="Q33" t="s">
        <v>15</v>
      </c>
    </row>
    <row r="34" spans="1:17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26</v>
      </c>
      <c r="H34" t="s">
        <v>21</v>
      </c>
      <c r="I34" t="s">
        <v>22</v>
      </c>
      <c r="J34" t="s">
        <v>148</v>
      </c>
      <c r="K34" t="s">
        <v>23</v>
      </c>
      <c r="L34">
        <v>190</v>
      </c>
      <c r="M34" s="4">
        <v>2.2552978000000001</v>
      </c>
      <c r="N34" s="4">
        <v>7.1583465025708382</v>
      </c>
      <c r="O34" s="4">
        <v>-9.8656082132130658E-5</v>
      </c>
      <c r="P34" s="1" t="str">
        <f>HYPERLINK(".\sm_car_250620_2310\sm_car_250620_2310_033_Ca114TrN_MaWOT_DrSt_ode23t.png","figure")</f>
        <v>figure</v>
      </c>
      <c r="Q34" t="s">
        <v>15</v>
      </c>
    </row>
    <row r="35" spans="1:17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26</v>
      </c>
      <c r="H35" t="s">
        <v>21</v>
      </c>
      <c r="I35" t="s">
        <v>24</v>
      </c>
      <c r="J35" t="s">
        <v>148</v>
      </c>
      <c r="K35" t="s">
        <v>23</v>
      </c>
      <c r="L35">
        <v>318</v>
      </c>
      <c r="M35" s="4">
        <v>2.8046179000000002</v>
      </c>
      <c r="N35" s="4">
        <v>7.1595373115165781</v>
      </c>
      <c r="O35" s="4">
        <v>1.5591440561874909E-2</v>
      </c>
      <c r="P35" s="1" t="str">
        <f>HYPERLINK(".\sm_car_250620_2310\sm_car_250620_2310_034_Ca114TrN_MaLSS_DrSt_ode23t.png","figure")</f>
        <v>figure</v>
      </c>
      <c r="Q35" t="s">
        <v>15</v>
      </c>
    </row>
    <row r="36" spans="1:17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27</v>
      </c>
      <c r="H36" t="s">
        <v>21</v>
      </c>
      <c r="I36" t="s">
        <v>22</v>
      </c>
      <c r="J36" t="s">
        <v>148</v>
      </c>
      <c r="K36" t="s">
        <v>23</v>
      </c>
      <c r="L36">
        <v>206</v>
      </c>
      <c r="M36" s="4">
        <v>2.0816086</v>
      </c>
      <c r="N36" s="4">
        <v>7.1585315594988224</v>
      </c>
      <c r="O36" s="4">
        <v>-9.846399384664182E-5</v>
      </c>
      <c r="P36" s="1" t="str">
        <f>HYPERLINK(".\sm_car_250620_2310\sm_car_250620_2310_035_Ca115TrN_MaWOT_DrSt_ode23t.png","figure")</f>
        <v>figure</v>
      </c>
      <c r="Q36" t="s">
        <v>15</v>
      </c>
    </row>
    <row r="37" spans="1:17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27</v>
      </c>
      <c r="H37" t="s">
        <v>21</v>
      </c>
      <c r="I37" t="s">
        <v>24</v>
      </c>
      <c r="J37" t="s">
        <v>148</v>
      </c>
      <c r="K37" t="s">
        <v>23</v>
      </c>
      <c r="L37">
        <v>351</v>
      </c>
      <c r="M37" s="4">
        <v>3.4915897999999999</v>
      </c>
      <c r="N37" s="4">
        <v>7.1595929266025653</v>
      </c>
      <c r="O37" s="4">
        <v>1.5577506692949399E-2</v>
      </c>
      <c r="P37" s="1" t="str">
        <f>HYPERLINK(".\sm_car_250620_2310\sm_car_250620_2310_036_Ca115TrN_MaLSS_DrSt_ode23t.png","figure")</f>
        <v>figure</v>
      </c>
      <c r="Q37" t="s">
        <v>15</v>
      </c>
    </row>
    <row r="38" spans="1:17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20</v>
      </c>
      <c r="H38" t="s">
        <v>21</v>
      </c>
      <c r="I38" t="s">
        <v>22</v>
      </c>
      <c r="J38" t="s">
        <v>148</v>
      </c>
      <c r="K38" t="s">
        <v>23</v>
      </c>
      <c r="L38">
        <v>2262</v>
      </c>
      <c r="M38" s="4">
        <v>11.8385313</v>
      </c>
      <c r="N38" s="4">
        <v>7.1609418005200673</v>
      </c>
      <c r="O38" s="4">
        <v>-1.0130494694954179E-4</v>
      </c>
      <c r="P38" s="1" t="str">
        <f>HYPERLINK(".\sm_car_250620_2310\sm_car_250620_2310_037_Ca116TrN_MaWOT_DrSt_ode23t.png","figure")</f>
        <v>figure</v>
      </c>
      <c r="Q38" t="s">
        <v>15</v>
      </c>
    </row>
    <row r="39" spans="1:17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20</v>
      </c>
      <c r="H39" t="s">
        <v>21</v>
      </c>
      <c r="I39" t="s">
        <v>24</v>
      </c>
      <c r="J39" t="s">
        <v>148</v>
      </c>
      <c r="K39" t="s">
        <v>23</v>
      </c>
      <c r="L39">
        <v>2275</v>
      </c>
      <c r="M39" s="4">
        <v>12.032887199999999</v>
      </c>
      <c r="N39" s="4">
        <v>7.1602748174682311</v>
      </c>
      <c r="O39" s="4">
        <v>1.5527766605995781E-2</v>
      </c>
      <c r="P39" s="1" t="str">
        <f>HYPERLINK(".\sm_car_250620_2310\sm_car_250620_2310_038_Ca116TrN_MaLSS_DrSt_ode23t.png","figure")</f>
        <v>figure</v>
      </c>
      <c r="Q39" t="s">
        <v>15</v>
      </c>
    </row>
    <row r="40" spans="1:17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25</v>
      </c>
      <c r="H40" t="s">
        <v>21</v>
      </c>
      <c r="I40" t="s">
        <v>22</v>
      </c>
      <c r="J40" t="s">
        <v>148</v>
      </c>
      <c r="K40" t="s">
        <v>23</v>
      </c>
      <c r="L40">
        <v>2053</v>
      </c>
      <c r="M40" s="4">
        <v>11.1202383</v>
      </c>
      <c r="N40" s="4">
        <v>7.1612249873373983</v>
      </c>
      <c r="O40" s="4">
        <v>-1.0311828379500738E-4</v>
      </c>
      <c r="P40" s="1" t="str">
        <f>HYPERLINK(".\sm_car_250620_2310\sm_car_250620_2310_039_Ca117TrN_MaWOT_DrSt_ode23t.png","figure")</f>
        <v>figure</v>
      </c>
      <c r="Q40" t="s">
        <v>15</v>
      </c>
    </row>
    <row r="41" spans="1:17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25</v>
      </c>
      <c r="H41" t="s">
        <v>21</v>
      </c>
      <c r="I41" t="s">
        <v>24</v>
      </c>
      <c r="J41" t="s">
        <v>148</v>
      </c>
      <c r="K41" t="s">
        <v>23</v>
      </c>
      <c r="L41">
        <v>2411</v>
      </c>
      <c r="M41" s="4">
        <v>13.380312699999999</v>
      </c>
      <c r="N41" s="4">
        <v>7.1604539948204913</v>
      </c>
      <c r="O41" s="4">
        <v>1.552711499972346E-2</v>
      </c>
      <c r="P41" s="1" t="str">
        <f>HYPERLINK(".\sm_car_250620_2310\sm_car_250620_2310_040_Ca117TrN_MaLSS_DrSt_ode23t.png","figure")</f>
        <v>figure</v>
      </c>
      <c r="Q41" t="s">
        <v>15</v>
      </c>
    </row>
    <row r="42" spans="1:17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26</v>
      </c>
      <c r="H42" t="s">
        <v>21</v>
      </c>
      <c r="I42" t="s">
        <v>22</v>
      </c>
      <c r="J42" t="s">
        <v>148</v>
      </c>
      <c r="K42" t="s">
        <v>23</v>
      </c>
      <c r="L42">
        <v>2410</v>
      </c>
      <c r="M42" s="4">
        <v>13.3912361</v>
      </c>
      <c r="N42" s="4">
        <v>7.1609438148405609</v>
      </c>
      <c r="O42" s="4">
        <v>-1.0135576788816478E-4</v>
      </c>
      <c r="P42" s="1" t="str">
        <f>HYPERLINK(".\sm_car_250620_2310\sm_car_250620_2310_041_Ca118TrN_MaWOT_DrSt_ode23t.png","figure")</f>
        <v>figure</v>
      </c>
      <c r="Q42" t="s">
        <v>15</v>
      </c>
    </row>
    <row r="43" spans="1:17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26</v>
      </c>
      <c r="H43" t="s">
        <v>21</v>
      </c>
      <c r="I43" t="s">
        <v>24</v>
      </c>
      <c r="J43" t="s">
        <v>148</v>
      </c>
      <c r="K43" t="s">
        <v>23</v>
      </c>
      <c r="L43">
        <v>2414</v>
      </c>
      <c r="M43" s="4">
        <v>12.9496679</v>
      </c>
      <c r="N43" s="4">
        <v>7.1603083128405043</v>
      </c>
      <c r="O43" s="4">
        <v>1.5524877869321633E-2</v>
      </c>
      <c r="P43" s="1" t="str">
        <f>HYPERLINK(".\sm_car_250620_2310\sm_car_250620_2310_042_Ca118TrN_MaLSS_DrSt_ode23t.png","figure")</f>
        <v>figure</v>
      </c>
      <c r="Q43" t="s">
        <v>15</v>
      </c>
    </row>
    <row r="44" spans="1:17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27</v>
      </c>
      <c r="H44" t="s">
        <v>21</v>
      </c>
      <c r="I44" t="s">
        <v>22</v>
      </c>
      <c r="J44" t="s">
        <v>148</v>
      </c>
      <c r="K44" t="s">
        <v>23</v>
      </c>
      <c r="L44">
        <v>2398</v>
      </c>
      <c r="M44" s="4">
        <v>13.196389099999999</v>
      </c>
      <c r="N44" s="4">
        <v>7.1612252846097562</v>
      </c>
      <c r="O44" s="4">
        <v>-1.0527146051816343E-4</v>
      </c>
      <c r="P44" s="1" t="str">
        <f>HYPERLINK(".\sm_car_250620_2310\sm_car_250620_2310_043_Ca119TrN_MaWOT_DrSt_ode23t.png","figure")</f>
        <v>figure</v>
      </c>
      <c r="Q44" t="s">
        <v>15</v>
      </c>
    </row>
    <row r="45" spans="1:17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27</v>
      </c>
      <c r="H45" t="s">
        <v>21</v>
      </c>
      <c r="I45" t="s">
        <v>24</v>
      </c>
      <c r="J45" t="s">
        <v>148</v>
      </c>
      <c r="K45" t="s">
        <v>23</v>
      </c>
      <c r="L45">
        <v>2413</v>
      </c>
      <c r="M45" s="4">
        <v>12.964526299999999</v>
      </c>
      <c r="N45" s="4">
        <v>7.1605444341783002</v>
      </c>
      <c r="O45" s="4">
        <v>1.5521460945901277E-2</v>
      </c>
      <c r="P45" s="1" t="str">
        <f>HYPERLINK(".\sm_car_250620_2310\sm_car_250620_2310_044_Ca119TrN_MaLSS_DrSt_ode23t.png","figure")</f>
        <v>figure</v>
      </c>
      <c r="Q45" t="s">
        <v>15</v>
      </c>
    </row>
    <row r="46" spans="1:17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148</v>
      </c>
      <c r="K46" t="s">
        <v>23</v>
      </c>
      <c r="L46">
        <v>191</v>
      </c>
      <c r="M46" s="4">
        <v>3.6343825000000001</v>
      </c>
      <c r="N46" s="4">
        <v>7.239023478442645</v>
      </c>
      <c r="O46" s="4">
        <v>-2.9382416804809197E-4</v>
      </c>
      <c r="P46" s="1" t="str">
        <f>HYPERLINK(".\sm_car_250620_2310\sm_car_250620_2310_045_Ca128TrN_MaWOT_DrSt_ode23t.png","figure")</f>
        <v>figure</v>
      </c>
      <c r="Q46" t="s">
        <v>15</v>
      </c>
    </row>
    <row r="47" spans="1:17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148</v>
      </c>
      <c r="K47" t="s">
        <v>23</v>
      </c>
      <c r="L47">
        <v>337</v>
      </c>
      <c r="M47" s="4">
        <v>6.0725946000000004</v>
      </c>
      <c r="N47" s="4">
        <v>7.242102481009697</v>
      </c>
      <c r="O47" s="4">
        <v>2.5604143819656325E-2</v>
      </c>
      <c r="P47" s="1" t="str">
        <f>HYPERLINK(".\sm_car_250620_2310\sm_car_250620_2310_046_Ca128TrN_MaLSS_DrSt_ode23t.png","figure")</f>
        <v>figure</v>
      </c>
      <c r="Q47" t="s">
        <v>15</v>
      </c>
    </row>
    <row r="48" spans="1:17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148</v>
      </c>
      <c r="K48" t="s">
        <v>23</v>
      </c>
      <c r="L48">
        <v>171</v>
      </c>
      <c r="M48" s="4">
        <v>3.1754600000000002</v>
      </c>
      <c r="N48" s="4">
        <v>7.2359885821396919</v>
      </c>
      <c r="O48" s="4">
        <v>-3.0173731300688457E-4</v>
      </c>
      <c r="P48" s="1" t="str">
        <f>HYPERLINK(".\sm_car_250620_2310\sm_car_250620_2310_047_Ca129TrN_MaWOT_DrSt_ode23t.png","figure")</f>
        <v>figure</v>
      </c>
      <c r="Q48" t="s">
        <v>15</v>
      </c>
    </row>
    <row r="49" spans="1:17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148</v>
      </c>
      <c r="K49" t="s">
        <v>23</v>
      </c>
      <c r="L49">
        <v>327</v>
      </c>
      <c r="M49" s="4">
        <v>6.3605245999999998</v>
      </c>
      <c r="N49" s="4">
        <v>7.2383459408424962</v>
      </c>
      <c r="O49" s="4">
        <v>2.5588865294487662E-2</v>
      </c>
      <c r="P49" s="1" t="str">
        <f>HYPERLINK(".\sm_car_250620_2310\sm_car_250620_2310_048_Ca129TrN_MaLSS_DrSt_ode23t.png","figure")</f>
        <v>figure</v>
      </c>
      <c r="Q49" t="s">
        <v>15</v>
      </c>
    </row>
    <row r="50" spans="1:17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148</v>
      </c>
      <c r="K50" t="s">
        <v>23</v>
      </c>
      <c r="L50">
        <v>373</v>
      </c>
      <c r="M50" s="4">
        <v>11.570063299999999</v>
      </c>
      <c r="N50" s="4">
        <v>7.1514752293356256</v>
      </c>
      <c r="O50" s="4">
        <v>-3.3521107294275424E-4</v>
      </c>
      <c r="P50" s="1" t="str">
        <f>HYPERLINK(".\sm_car_250620_2310\sm_car_250620_2310_049_Ca130TrN_MaWOT_DrSt_ode23t.png","figure")</f>
        <v>figure</v>
      </c>
      <c r="Q50" t="s">
        <v>15</v>
      </c>
    </row>
    <row r="51" spans="1:17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148</v>
      </c>
      <c r="K51" t="s">
        <v>23</v>
      </c>
      <c r="L51">
        <v>478</v>
      </c>
      <c r="M51" s="4">
        <v>12.3648194</v>
      </c>
      <c r="N51" s="4">
        <v>7.1487246222587544</v>
      </c>
      <c r="O51" s="4">
        <v>2.4717286192950823E-2</v>
      </c>
      <c r="P51" s="1" t="str">
        <f>HYPERLINK(".\sm_car_250620_2310\sm_car_250620_2310_050_Ca130TrN_MaLSS_DrSt_ode23t.png","figure")</f>
        <v>figure</v>
      </c>
      <c r="Q51" t="s">
        <v>15</v>
      </c>
    </row>
    <row r="52" spans="1:17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148</v>
      </c>
      <c r="K52" t="s">
        <v>23</v>
      </c>
      <c r="L52">
        <v>186</v>
      </c>
      <c r="M52" s="4">
        <v>2.2006207</v>
      </c>
      <c r="N52" s="4">
        <v>7.2324032755859591</v>
      </c>
      <c r="O52" s="4">
        <v>-3.5075856215472593E-4</v>
      </c>
      <c r="P52" s="1" t="str">
        <f>HYPERLINK(".\sm_car_250620_2310\sm_car_250620_2310_051_Ca131TrN_MaWOT_DrSt_ode23t.png","figure")</f>
        <v>figure</v>
      </c>
      <c r="Q52" t="s">
        <v>15</v>
      </c>
    </row>
    <row r="53" spans="1:17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148</v>
      </c>
      <c r="K53" t="s">
        <v>23</v>
      </c>
      <c r="L53">
        <v>331</v>
      </c>
      <c r="M53" s="4">
        <v>3.6888662999999999</v>
      </c>
      <c r="N53" s="4">
        <v>7.2373754211582586</v>
      </c>
      <c r="O53" s="4">
        <v>2.5526582961570215E-2</v>
      </c>
      <c r="P53" s="1" t="str">
        <f>HYPERLINK(".\sm_car_250620_2310\sm_car_250620_2310_052_Ca131TrN_MaLSS_DrSt_ode23t.png","figure")</f>
        <v>figure</v>
      </c>
      <c r="Q53" t="s">
        <v>15</v>
      </c>
    </row>
    <row r="54" spans="1:17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148</v>
      </c>
      <c r="K54" t="s">
        <v>23</v>
      </c>
      <c r="L54">
        <v>185</v>
      </c>
      <c r="M54" s="4">
        <v>2.2760473999999999</v>
      </c>
      <c r="N54" s="4">
        <v>7.2299596143969183</v>
      </c>
      <c r="O54" s="4">
        <v>-2.9143462066049666E-4</v>
      </c>
      <c r="P54" s="1" t="str">
        <f>HYPERLINK(".\sm_car_250620_2310\sm_car_250620_2310_053_Ca132TrN_MaWOT_DrSt_ode23t.png","figure")</f>
        <v>figure</v>
      </c>
      <c r="Q54" t="s">
        <v>15</v>
      </c>
    </row>
    <row r="55" spans="1:17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148</v>
      </c>
      <c r="K55" t="s">
        <v>23</v>
      </c>
      <c r="L55">
        <v>326</v>
      </c>
      <c r="M55" s="4">
        <v>3.4898189999999998</v>
      </c>
      <c r="N55" s="4">
        <v>7.2346446106582132</v>
      </c>
      <c r="O55" s="4">
        <v>2.5561272283932762E-2</v>
      </c>
      <c r="P55" s="1" t="str">
        <f>HYPERLINK(".\sm_car_250620_2310\sm_car_250620_2310_054_Ca132TrN_MaLSS_DrSt_ode23t.png","figure")</f>
        <v>figure</v>
      </c>
      <c r="Q55" t="s">
        <v>15</v>
      </c>
    </row>
    <row r="56" spans="1:17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148</v>
      </c>
      <c r="K56" t="s">
        <v>23</v>
      </c>
      <c r="L56">
        <v>187</v>
      </c>
      <c r="M56" s="4">
        <v>2.1454909999999998</v>
      </c>
      <c r="N56" s="4">
        <v>7.2347492032322869</v>
      </c>
      <c r="O56" s="4">
        <v>-2.8905219258339637E-4</v>
      </c>
      <c r="P56" s="1" t="str">
        <f>HYPERLINK(".\sm_car_250620_2310\sm_car_250620_2310_055_Ca133TrN_MaWOT_DrSt_ode23t.png","figure")</f>
        <v>figure</v>
      </c>
      <c r="Q56" t="s">
        <v>15</v>
      </c>
    </row>
    <row r="57" spans="1:17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148</v>
      </c>
      <c r="K57" t="s">
        <v>23</v>
      </c>
      <c r="L57">
        <v>332</v>
      </c>
      <c r="M57" s="4">
        <v>3.7264534</v>
      </c>
      <c r="N57" s="4">
        <v>7.2399165764059639</v>
      </c>
      <c r="O57" s="4">
        <v>2.5617238077272404E-2</v>
      </c>
      <c r="P57" s="1" t="str">
        <f>HYPERLINK(".\sm_car_250620_2310\sm_car_250620_2310_056_Ca133TrN_MaLSS_DrSt_ode23t.png","figure")</f>
        <v>figure</v>
      </c>
      <c r="Q57" t="s">
        <v>15</v>
      </c>
    </row>
    <row r="58" spans="1:17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148</v>
      </c>
      <c r="K58" t="s">
        <v>23</v>
      </c>
      <c r="L58">
        <v>185</v>
      </c>
      <c r="M58" s="4">
        <v>2.2841643999999999</v>
      </c>
      <c r="N58" s="4">
        <v>7.2378580311077005</v>
      </c>
      <c r="O58" s="4">
        <v>-2.7976245064348636E-4</v>
      </c>
      <c r="P58" s="1" t="str">
        <f>HYPERLINK(".\sm_car_250620_2310\sm_car_250620_2310_057_Ca134TrN_MaWOT_DrSt_ode23t.png","figure")</f>
        <v>figure</v>
      </c>
      <c r="Q58" t="s">
        <v>15</v>
      </c>
    </row>
    <row r="59" spans="1:17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148</v>
      </c>
      <c r="K59" t="s">
        <v>23</v>
      </c>
      <c r="L59">
        <v>335</v>
      </c>
      <c r="M59" s="4">
        <v>3.5665409000000001</v>
      </c>
      <c r="N59" s="4">
        <v>7.2429521027939145</v>
      </c>
      <c r="O59" s="4">
        <v>2.564760078858393E-2</v>
      </c>
      <c r="P59" s="1" t="str">
        <f>HYPERLINK(".\sm_car_250620_2310\sm_car_250620_2310_058_Ca134TrN_MaLSS_DrSt_ode23t.png","figure")</f>
        <v>figure</v>
      </c>
      <c r="Q59" t="s">
        <v>15</v>
      </c>
    </row>
    <row r="60" spans="1:17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148</v>
      </c>
      <c r="K60" t="s">
        <v>23</v>
      </c>
      <c r="L60">
        <v>184</v>
      </c>
      <c r="M60" s="4">
        <v>2.0006843000000001</v>
      </c>
      <c r="N60" s="4">
        <v>7.2364046715616119</v>
      </c>
      <c r="O60" s="4">
        <v>-2.7788375584194668E-4</v>
      </c>
      <c r="P60" s="1" t="str">
        <f>HYPERLINK(".\sm_car_250620_2310\sm_car_250620_2310_059_Ca135TrN_MaWOT_DrSt_ode23t.png","figure")</f>
        <v>figure</v>
      </c>
      <c r="Q60" t="s">
        <v>15</v>
      </c>
    </row>
    <row r="61" spans="1:17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148</v>
      </c>
      <c r="K61" t="s">
        <v>23</v>
      </c>
      <c r="L61">
        <v>332</v>
      </c>
      <c r="M61" s="4">
        <v>3.3684112000000002</v>
      </c>
      <c r="N61" s="4">
        <v>7.2406478629226729</v>
      </c>
      <c r="O61" s="4">
        <v>2.5668125170154057E-2</v>
      </c>
      <c r="P61" s="1" t="str">
        <f>HYPERLINK(".\sm_car_250620_2310\sm_car_250620_2310_060_Ca135TrN_MaLSS_DrSt_ode23t.png","figure")</f>
        <v>figure</v>
      </c>
      <c r="Q61" t="s">
        <v>15</v>
      </c>
    </row>
    <row r="62" spans="1:17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148</v>
      </c>
      <c r="K62" t="s">
        <v>23</v>
      </c>
      <c r="L62">
        <v>175</v>
      </c>
      <c r="M62" s="4">
        <v>2.7287960999999998</v>
      </c>
      <c r="N62" s="4">
        <v>7.2388551982302562</v>
      </c>
      <c r="O62" s="4">
        <v>-2.7383031197083526E-4</v>
      </c>
      <c r="P62" s="1" t="str">
        <f>HYPERLINK(".\sm_car_250620_2310\sm_car_250620_2310_061_Ca136TrN_MaWOT_DrSt_ode23t.png","figure")</f>
        <v>figure</v>
      </c>
      <c r="Q62" t="s">
        <v>15</v>
      </c>
    </row>
    <row r="63" spans="1:17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148</v>
      </c>
      <c r="K63" t="s">
        <v>23</v>
      </c>
      <c r="L63">
        <v>341</v>
      </c>
      <c r="M63" s="4">
        <v>5.3559739999999998</v>
      </c>
      <c r="N63" s="4">
        <v>7.241291186190935</v>
      </c>
      <c r="O63" s="4">
        <v>2.5620991421705219E-2</v>
      </c>
      <c r="P63" s="1" t="str">
        <f>HYPERLINK(".\sm_car_250620_2310\sm_car_250620_2310_062_Ca136TrN_MaLSS_DrSt_ode23t.png","figure")</f>
        <v>figure</v>
      </c>
      <c r="Q63" t="s">
        <v>15</v>
      </c>
    </row>
    <row r="64" spans="1:17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148</v>
      </c>
      <c r="K64" t="s">
        <v>23</v>
      </c>
      <c r="L64">
        <v>172</v>
      </c>
      <c r="M64" s="4">
        <v>1.9305759</v>
      </c>
      <c r="N64" s="4">
        <v>7.2323594103831077</v>
      </c>
      <c r="O64" s="4">
        <v>3.3545424517396989E-5</v>
      </c>
      <c r="P64" s="1" t="str">
        <f>HYPERLINK(".\sm_car_250620_2310\sm_car_250620_2310_063_Ca137TrN_MaWOT_DrSt_ode23t.png","figure")</f>
        <v>figure</v>
      </c>
      <c r="Q64" t="s">
        <v>15</v>
      </c>
    </row>
    <row r="65" spans="1:17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148</v>
      </c>
      <c r="K65" t="s">
        <v>23</v>
      </c>
      <c r="L65">
        <v>315</v>
      </c>
      <c r="M65" s="4">
        <v>2.9566656999999998</v>
      </c>
      <c r="N65" s="4">
        <v>7.2367551572127518</v>
      </c>
      <c r="O65" s="4">
        <v>2.6094784616634819E-2</v>
      </c>
      <c r="P65" s="1" t="str">
        <f>HYPERLINK(".\sm_car_250620_2310\sm_car_250620_2310_064_Ca137TrN_MaLSS_DrSt_ode23t.png","figure")</f>
        <v>figure</v>
      </c>
      <c r="Q65" t="s">
        <v>15</v>
      </c>
    </row>
    <row r="66" spans="1:17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148</v>
      </c>
      <c r="K66" t="s">
        <v>23</v>
      </c>
      <c r="L66">
        <v>167</v>
      </c>
      <c r="M66" s="4">
        <v>2.6510522000000001</v>
      </c>
      <c r="N66" s="4">
        <v>7.2317563275582106</v>
      </c>
      <c r="O66" s="4">
        <v>2.3877433878253968E-5</v>
      </c>
      <c r="P66" s="1" t="str">
        <f>HYPERLINK(".\sm_car_250620_2310\sm_car_250620_2310_065_Ca138TrN_MaWOT_DrSt_ode23t.png","figure")</f>
        <v>figure</v>
      </c>
      <c r="Q66" t="s">
        <v>15</v>
      </c>
    </row>
    <row r="67" spans="1:17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148</v>
      </c>
      <c r="K67" t="s">
        <v>23</v>
      </c>
      <c r="L67">
        <v>326</v>
      </c>
      <c r="M67" s="4">
        <v>4.2883898</v>
      </c>
      <c r="N67" s="4">
        <v>7.243066320276192</v>
      </c>
      <c r="O67" s="4">
        <v>3.8516844159116007E-2</v>
      </c>
      <c r="P67" s="1" t="str">
        <f>HYPERLINK(".\sm_car_250620_2310\sm_car_250620_2310_066_Ca138TrN_MaLSS_DrSt_ode23t.png","figure")</f>
        <v>figure</v>
      </c>
      <c r="Q67" t="s">
        <v>15</v>
      </c>
    </row>
    <row r="68" spans="1:17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148</v>
      </c>
      <c r="K68" t="s">
        <v>23</v>
      </c>
      <c r="L68">
        <v>237</v>
      </c>
      <c r="M68" s="4">
        <v>10.9115485</v>
      </c>
      <c r="N68" s="4">
        <v>6.5756566707242925</v>
      </c>
      <c r="O68" s="4">
        <v>5.448331055923698E-4</v>
      </c>
      <c r="P68" s="1" t="str">
        <f>HYPERLINK(".\sm_car_250620_2310\sm_car_250620_2310_067_Ca139TrN_MaWOT_DrSt_ode23t.png","figure")</f>
        <v>figure</v>
      </c>
      <c r="Q68" t="s">
        <v>15</v>
      </c>
    </row>
    <row r="69" spans="1:17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148</v>
      </c>
      <c r="K69" t="s">
        <v>23</v>
      </c>
      <c r="L69">
        <v>358</v>
      </c>
      <c r="M69" s="4">
        <v>11.1245251</v>
      </c>
      <c r="N69" s="4">
        <v>6.582502847893128</v>
      </c>
      <c r="O69" s="4">
        <v>2.4558638316673941E-2</v>
      </c>
      <c r="P69" s="1" t="str">
        <f>HYPERLINK(".\sm_car_250620_2310\sm_car_250620_2310_068_Ca139TrN_MaLSS_DrSt_ode23t.png","figure")</f>
        <v>figure</v>
      </c>
      <c r="Q69" t="s">
        <v>15</v>
      </c>
    </row>
    <row r="70" spans="1:17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148</v>
      </c>
      <c r="K70" t="s">
        <v>23</v>
      </c>
      <c r="L70">
        <v>3902</v>
      </c>
      <c r="M70" s="4">
        <v>36.725045899999998</v>
      </c>
      <c r="N70" s="4">
        <v>6.4486502903877998</v>
      </c>
      <c r="O70" s="4">
        <v>4.055214489478606E-4</v>
      </c>
      <c r="P70" s="1" t="str">
        <f>HYPERLINK(".\sm_car_250620_2310\sm_car_250620_2310_069_Ca141TrN_MaWOT_DrSt_ode23t.png","figure")</f>
        <v>figure</v>
      </c>
      <c r="Q70" t="s">
        <v>15</v>
      </c>
    </row>
    <row r="71" spans="1:17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148</v>
      </c>
      <c r="K71" t="s">
        <v>23</v>
      </c>
      <c r="L71">
        <v>3876</v>
      </c>
      <c r="M71" s="4">
        <v>38.319749899999998</v>
      </c>
      <c r="N71" s="4">
        <v>6.4561503060751999</v>
      </c>
      <c r="O71" s="4">
        <v>2.4683943050096982E-2</v>
      </c>
      <c r="P71" s="1" t="str">
        <f>HYPERLINK(".\sm_car_250620_2310\sm_car_250620_2310_070_Ca141TrN_MaLSS_DrSt_ode23t.png","figure")</f>
        <v>figure</v>
      </c>
      <c r="Q71" t="s">
        <v>15</v>
      </c>
    </row>
    <row r="72" spans="1:17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148</v>
      </c>
      <c r="K72" t="s">
        <v>23</v>
      </c>
      <c r="L72">
        <v>135</v>
      </c>
      <c r="M72" s="4">
        <v>4.3205175999999996</v>
      </c>
      <c r="N72" s="4">
        <v>1.5501796474188385</v>
      </c>
      <c r="O72" s="4">
        <v>2.6008367420296948E-4</v>
      </c>
      <c r="P72" s="1" t="str">
        <f>HYPERLINK(".\sm_car_250620_2310\sm_car_250620_2310_071_Ca143TrN_MaWOT_DrSt_ode23t.png","figure")</f>
        <v>figure</v>
      </c>
      <c r="Q72" t="s">
        <v>15</v>
      </c>
    </row>
    <row r="73" spans="1:17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148</v>
      </c>
      <c r="K73" t="s">
        <v>23</v>
      </c>
      <c r="L73">
        <v>199</v>
      </c>
      <c r="M73" s="4">
        <v>7.2895677000000001</v>
      </c>
      <c r="N73" s="4">
        <v>1.5517545608139907</v>
      </c>
      <c r="O73" s="4">
        <v>8.8710716216708861E-3</v>
      </c>
      <c r="P73" s="1" t="str">
        <f>HYPERLINK(".\sm_car_250620_2310\sm_car_250620_2310_072_Ca143TrN_MaLSS_DrSt_ode23t.png","figure")</f>
        <v>figure</v>
      </c>
      <c r="Q73" t="s">
        <v>15</v>
      </c>
    </row>
    <row r="74" spans="1:17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148</v>
      </c>
      <c r="K74" t="s">
        <v>23</v>
      </c>
      <c r="L74">
        <v>123</v>
      </c>
      <c r="M74" s="4">
        <v>3.0776788000000002</v>
      </c>
      <c r="N74" s="4">
        <v>2.0981795292677967</v>
      </c>
      <c r="O74" s="4">
        <v>3.314188142819227E-4</v>
      </c>
      <c r="P74" s="1" t="str">
        <f>HYPERLINK(".\sm_car_250620_2310\sm_car_250620_2310_073_Ca144TrN_MaWOT_DrSt_ode23t.png","figure")</f>
        <v>figure</v>
      </c>
      <c r="Q74" t="s">
        <v>15</v>
      </c>
    </row>
    <row r="75" spans="1:17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148</v>
      </c>
      <c r="K75" t="s">
        <v>23</v>
      </c>
      <c r="L75">
        <v>187</v>
      </c>
      <c r="M75" s="4">
        <v>5.0846631000000002</v>
      </c>
      <c r="N75" s="4">
        <v>2.0975391113622273</v>
      </c>
      <c r="O75" s="4">
        <v>1.0814844834972451E-2</v>
      </c>
      <c r="P75" s="1" t="str">
        <f>HYPERLINK(".\sm_car_250620_2310\sm_car_250620_2310_074_Ca144TrN_MaLSS_DrSt_ode23t.png","figure")</f>
        <v>figure</v>
      </c>
      <c r="Q75" t="s">
        <v>15</v>
      </c>
    </row>
    <row r="76" spans="1:17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148</v>
      </c>
      <c r="K76" t="s">
        <v>23</v>
      </c>
      <c r="L76">
        <v>260</v>
      </c>
      <c r="M76" s="4">
        <v>7.6038198000000001</v>
      </c>
      <c r="N76" s="4">
        <v>7.0144260044125257</v>
      </c>
      <c r="O76" s="4">
        <v>1.7167262156050278E-3</v>
      </c>
      <c r="P76" s="1" t="str">
        <f>HYPERLINK(".\sm_car_250620_2310\sm_car_250620_2310_075_Ca147TrN_MaWOT_DrSt_ode23t.png","figure")</f>
        <v>figure</v>
      </c>
      <c r="Q76" t="s">
        <v>15</v>
      </c>
    </row>
    <row r="77" spans="1:17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148</v>
      </c>
      <c r="K77" t="s">
        <v>23</v>
      </c>
      <c r="L77">
        <v>421</v>
      </c>
      <c r="M77" s="4">
        <v>8.7984869999999997</v>
      </c>
      <c r="N77" s="4">
        <v>7.0365995590136379</v>
      </c>
      <c r="O77" s="4">
        <v>2.7430969622637823E-2</v>
      </c>
      <c r="P77" s="1" t="str">
        <f>HYPERLINK(".\sm_car_250620_2310\sm_car_250620_2310_076_Ca147TrN_MaLSS_DrSt_ode23t.png","figure")</f>
        <v>figure</v>
      </c>
      <c r="Q77" t="s">
        <v>15</v>
      </c>
    </row>
    <row r="78" spans="1:17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148</v>
      </c>
      <c r="K78" t="s">
        <v>23</v>
      </c>
      <c r="L78">
        <v>163</v>
      </c>
      <c r="M78" s="4">
        <v>2.873793</v>
      </c>
      <c r="N78" s="4">
        <v>7.3629686005222581</v>
      </c>
      <c r="O78" s="4">
        <v>3.1657602582446013E-7</v>
      </c>
      <c r="P78" s="1" t="str">
        <f>HYPERLINK(".\sm_car_250620_2310\sm_car_250620_2310_077_Ca215TrN_MaWOT_DrSt_ode23t.png","figure")</f>
        <v>figure</v>
      </c>
      <c r="Q78" t="s">
        <v>15</v>
      </c>
    </row>
    <row r="79" spans="1:17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148</v>
      </c>
      <c r="K79" t="s">
        <v>23</v>
      </c>
      <c r="L79">
        <v>297</v>
      </c>
      <c r="M79" s="4">
        <v>4.2137817000000002</v>
      </c>
      <c r="N79" s="4">
        <v>7.3687471275994199</v>
      </c>
      <c r="O79" s="4">
        <v>3.1778832989770273E-2</v>
      </c>
      <c r="P79" s="1" t="str">
        <f>HYPERLINK(".\sm_car_250620_2310\sm_car_250620_2310_078_Ca215TrN_MaLSS_DrSt_ode23t.png","figure")</f>
        <v>figure</v>
      </c>
      <c r="Q79" t="s">
        <v>15</v>
      </c>
    </row>
    <row r="80" spans="1:17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26</v>
      </c>
      <c r="H80" t="s">
        <v>21</v>
      </c>
      <c r="I80" t="s">
        <v>22</v>
      </c>
      <c r="J80" t="s">
        <v>148</v>
      </c>
      <c r="K80" t="s">
        <v>23</v>
      </c>
      <c r="L80">
        <v>193</v>
      </c>
      <c r="M80" s="4">
        <v>2.0770564999999999</v>
      </c>
      <c r="N80" s="4">
        <v>7.2347740014943955</v>
      </c>
      <c r="O80" s="4">
        <v>7.427947201384397E-5</v>
      </c>
      <c r="P80" s="1" t="str">
        <f>HYPERLINK(".\sm_car_250620_2310\sm_car_250620_2310_079_Ca218TrN_MaWOT_DrSt_ode23t.png","figure")</f>
        <v>figure</v>
      </c>
      <c r="Q80" t="s">
        <v>15</v>
      </c>
    </row>
    <row r="81" spans="1:17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26</v>
      </c>
      <c r="H81" t="s">
        <v>21</v>
      </c>
      <c r="I81" t="s">
        <v>24</v>
      </c>
      <c r="J81" t="s">
        <v>148</v>
      </c>
      <c r="K81" t="s">
        <v>23</v>
      </c>
      <c r="L81">
        <v>334</v>
      </c>
      <c r="M81" s="4">
        <v>4.2036426999999996</v>
      </c>
      <c r="N81" s="4">
        <v>7.2392914562305535</v>
      </c>
      <c r="O81" s="4">
        <v>2.745066470603566E-2</v>
      </c>
      <c r="P81" s="1" t="str">
        <f>HYPERLINK(".\sm_car_250620_2310\sm_car_250620_2310_080_Ca218TrN_MaLSS_DrSt_ode23t.png","figure")</f>
        <v>figure</v>
      </c>
      <c r="Q81" t="s">
        <v>15</v>
      </c>
    </row>
    <row r="82" spans="1:17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26</v>
      </c>
      <c r="H82" t="s">
        <v>21</v>
      </c>
      <c r="I82" t="s">
        <v>22</v>
      </c>
      <c r="J82" t="s">
        <v>148</v>
      </c>
      <c r="K82" t="s">
        <v>23</v>
      </c>
      <c r="L82">
        <v>215</v>
      </c>
      <c r="M82" s="4">
        <v>3.9760564999999999</v>
      </c>
      <c r="N82" s="4">
        <v>7.2400668601959079</v>
      </c>
      <c r="O82" s="4">
        <v>-5.4630300209659246E-5</v>
      </c>
      <c r="P82" s="1" t="str">
        <f>HYPERLINK(".\sm_car_250620_2310\sm_car_250620_2310_081_Ca219TrN_MaWOT_DrSt_ode23t.png","figure")</f>
        <v>figure</v>
      </c>
      <c r="Q82" t="s">
        <v>15</v>
      </c>
    </row>
    <row r="83" spans="1:17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26</v>
      </c>
      <c r="H83" t="s">
        <v>21</v>
      </c>
      <c r="I83" t="s">
        <v>24</v>
      </c>
      <c r="J83" t="s">
        <v>148</v>
      </c>
      <c r="K83" t="s">
        <v>23</v>
      </c>
      <c r="L83">
        <v>359</v>
      </c>
      <c r="M83" s="4">
        <v>6.5008157000000004</v>
      </c>
      <c r="N83" s="4">
        <v>7.2453789994133047</v>
      </c>
      <c r="O83" s="4">
        <v>2.8298030816888392E-2</v>
      </c>
      <c r="P83" s="1" t="str">
        <f>HYPERLINK(".\sm_car_250620_2310\sm_car_250620_2310_082_Ca219TrN_MaLSS_DrSt_ode23t.png","figure")</f>
        <v>figure</v>
      </c>
      <c r="Q83" t="s">
        <v>15</v>
      </c>
    </row>
    <row r="84" spans="1:17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26</v>
      </c>
      <c r="H84" t="s">
        <v>21</v>
      </c>
      <c r="I84" t="s">
        <v>22</v>
      </c>
      <c r="J84" t="s">
        <v>148</v>
      </c>
      <c r="K84" t="s">
        <v>23</v>
      </c>
      <c r="L84">
        <v>367</v>
      </c>
      <c r="M84" s="4">
        <v>10.751732499999999</v>
      </c>
      <c r="N84" s="4">
        <v>6.4660561153211518</v>
      </c>
      <c r="O84" s="4">
        <v>-4.2169826372256866E-4</v>
      </c>
      <c r="P84" s="1" t="str">
        <f>HYPERLINK(".\sm_car_250620_2310\sm_car_250620_2310_083_Ca220TrN_MaWOT_DrSt_ode23t.png","figure")</f>
        <v>figure</v>
      </c>
      <c r="Q84" t="s">
        <v>15</v>
      </c>
    </row>
    <row r="85" spans="1:17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26</v>
      </c>
      <c r="H85" t="s">
        <v>21</v>
      </c>
      <c r="I85" t="s">
        <v>24</v>
      </c>
      <c r="J85" t="s">
        <v>148</v>
      </c>
      <c r="K85" t="s">
        <v>23</v>
      </c>
      <c r="L85">
        <v>658</v>
      </c>
      <c r="M85" s="4">
        <v>29.393683200000002</v>
      </c>
      <c r="N85" s="4">
        <v>6.4644893671875465</v>
      </c>
      <c r="O85" s="4">
        <v>2.6158181052525552E-2</v>
      </c>
      <c r="P85" s="1" t="str">
        <f>HYPERLINK(".\sm_car_250620_2310\sm_car_250620_2310_084_Ca220TrN_MaLSS_DrSt_ode23t.png","figure")</f>
        <v>figure</v>
      </c>
      <c r="Q85" t="s">
        <v>15</v>
      </c>
    </row>
    <row r="86" spans="1:17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148</v>
      </c>
      <c r="K86" t="s">
        <v>23</v>
      </c>
      <c r="L86">
        <v>338</v>
      </c>
      <c r="M86" s="4">
        <v>3.9770308000000001</v>
      </c>
      <c r="N86" s="4">
        <v>7.3630504122402147</v>
      </c>
      <c r="O86" s="4">
        <v>-3.6908251989847453E-7</v>
      </c>
      <c r="P86" s="1" t="str">
        <f>HYPERLINK(".\sm_car_250620_2310\sm_car_250620_2310_085_Ca223TrN_MaWOT_DrSt_ode23t.png","figure")</f>
        <v>figure</v>
      </c>
      <c r="Q86" t="s">
        <v>15</v>
      </c>
    </row>
    <row r="87" spans="1:17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148</v>
      </c>
      <c r="K87" t="s">
        <v>23</v>
      </c>
      <c r="L87">
        <v>440</v>
      </c>
      <c r="M87" s="4">
        <v>4.7130137000000003</v>
      </c>
      <c r="N87" s="4">
        <v>7.370971329411196</v>
      </c>
      <c r="O87" s="4">
        <v>3.3190454702535357E-2</v>
      </c>
      <c r="P87" s="1" t="str">
        <f>HYPERLINK(".\sm_car_250620_2310\sm_car_250620_2310_086_Ca223TrN_MaLSS_DrSt_ode23t.png","figure")</f>
        <v>figure</v>
      </c>
      <c r="Q87" t="s">
        <v>15</v>
      </c>
    </row>
    <row r="88" spans="1:17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148</v>
      </c>
      <c r="K88" t="s">
        <v>23</v>
      </c>
      <c r="L88">
        <v>339</v>
      </c>
      <c r="M88" s="4">
        <v>7.3637468999999998</v>
      </c>
      <c r="N88" s="4">
        <v>6.2781352995992954</v>
      </c>
      <c r="O88" s="4">
        <v>-3.5699408122348637E-3</v>
      </c>
      <c r="P88" s="1" t="str">
        <f>HYPERLINK(".\sm_car_250620_2310\sm_car_250620_2310_087_Ca227TrN_MaWOT_DrSt_ode23t.png","figure")</f>
        <v>figure</v>
      </c>
      <c r="Q88" t="s">
        <v>15</v>
      </c>
    </row>
    <row r="89" spans="1:17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148</v>
      </c>
      <c r="K89" t="s">
        <v>23</v>
      </c>
      <c r="L89">
        <v>450</v>
      </c>
      <c r="M89" s="4">
        <v>7.1517568999999996</v>
      </c>
      <c r="N89" s="4">
        <v>6.2860283856011918</v>
      </c>
      <c r="O89" s="4">
        <v>2.0414765489860022E-2</v>
      </c>
      <c r="P89" s="1" t="str">
        <f>HYPERLINK(".\sm_car_250620_2310\sm_car_250620_2310_088_Ca227TrN_MaLSS_DrSt_ode23t.png","figure")</f>
        <v>figure</v>
      </c>
      <c r="Q89" t="s">
        <v>15</v>
      </c>
    </row>
    <row r="90" spans="1:17" x14ac:dyDescent="0.25">
      <c r="A90">
        <v>89</v>
      </c>
      <c r="B90">
        <v>8</v>
      </c>
      <c r="C90" t="s">
        <v>16</v>
      </c>
      <c r="D90" t="s">
        <v>17</v>
      </c>
      <c r="E90" t="s">
        <v>49</v>
      </c>
      <c r="F90" t="s">
        <v>19</v>
      </c>
      <c r="G90" t="s">
        <v>20</v>
      </c>
      <c r="H90" t="s">
        <v>21</v>
      </c>
      <c r="I90" t="s">
        <v>22</v>
      </c>
      <c r="J90" t="s">
        <v>148</v>
      </c>
      <c r="K90" t="s">
        <v>23</v>
      </c>
      <c r="L90">
        <v>204</v>
      </c>
      <c r="M90" s="4">
        <v>6.1222995999999998</v>
      </c>
      <c r="N90" s="4">
        <v>7.1609367614670756</v>
      </c>
      <c r="O90" s="4">
        <v>-2.6357666363818148E-4</v>
      </c>
      <c r="P90" s="1" t="str">
        <f>HYPERLINK(".\sm_car_250620_2310\sm_car_250620_2310_089_Ca008TrN_MaWOT_DrSt_ode23t_1.png","figure")</f>
        <v>figure</v>
      </c>
      <c r="Q90" t="s">
        <v>15</v>
      </c>
    </row>
    <row r="91" spans="1:17" x14ac:dyDescent="0.25">
      <c r="A91">
        <v>90</v>
      </c>
      <c r="B91">
        <v>8</v>
      </c>
      <c r="C91" t="s">
        <v>16</v>
      </c>
      <c r="D91" t="s">
        <v>17</v>
      </c>
      <c r="E91" t="s">
        <v>49</v>
      </c>
      <c r="F91" t="s">
        <v>19</v>
      </c>
      <c r="G91" t="s">
        <v>20</v>
      </c>
      <c r="H91" t="s">
        <v>21</v>
      </c>
      <c r="I91" t="s">
        <v>24</v>
      </c>
      <c r="J91" t="s">
        <v>148</v>
      </c>
      <c r="K91" t="s">
        <v>23</v>
      </c>
      <c r="L91">
        <v>346</v>
      </c>
      <c r="M91" s="4">
        <v>8.6489460999999999</v>
      </c>
      <c r="N91" s="4">
        <v>7.1674667249373911</v>
      </c>
      <c r="O91" s="4">
        <v>2.5529968812281263E-2</v>
      </c>
      <c r="P91" s="1" t="str">
        <f>HYPERLINK(".\sm_car_250620_2310\sm_car_250620_2310_090_Ca008TrN_MaLSS_DrSt_ode23t_1.png","figure")</f>
        <v>figure</v>
      </c>
      <c r="Q91" t="s">
        <v>15</v>
      </c>
    </row>
    <row r="92" spans="1:17" x14ac:dyDescent="0.25">
      <c r="A92">
        <v>91</v>
      </c>
      <c r="B92">
        <v>13</v>
      </c>
      <c r="C92" t="s">
        <v>16</v>
      </c>
      <c r="D92" t="s">
        <v>17</v>
      </c>
      <c r="E92" t="s">
        <v>49</v>
      </c>
      <c r="F92" t="s">
        <v>28</v>
      </c>
      <c r="G92" t="s">
        <v>25</v>
      </c>
      <c r="H92" t="s">
        <v>21</v>
      </c>
      <c r="I92" t="s">
        <v>22</v>
      </c>
      <c r="J92" t="s">
        <v>148</v>
      </c>
      <c r="K92" t="s">
        <v>23</v>
      </c>
      <c r="L92">
        <v>757</v>
      </c>
      <c r="M92" s="4">
        <v>12.046273299999999</v>
      </c>
      <c r="N92" s="4">
        <v>7.1627312528895093</v>
      </c>
      <c r="O92" s="4">
        <v>-3.2207431867042164E-4</v>
      </c>
      <c r="P92" s="1" t="str">
        <f>HYPERLINK(".\sm_car_250620_2310\sm_car_250620_2310_091_Ca013TrN_MaWOT_DrSt_ode23t_1.png","figure")</f>
        <v>figure</v>
      </c>
      <c r="Q92" t="s">
        <v>15</v>
      </c>
    </row>
    <row r="93" spans="1:17" x14ac:dyDescent="0.25">
      <c r="A93">
        <v>92</v>
      </c>
      <c r="B93">
        <v>13</v>
      </c>
      <c r="C93" t="s">
        <v>16</v>
      </c>
      <c r="D93" t="s">
        <v>17</v>
      </c>
      <c r="E93" t="s">
        <v>49</v>
      </c>
      <c r="F93" t="s">
        <v>28</v>
      </c>
      <c r="G93" t="s">
        <v>25</v>
      </c>
      <c r="H93" t="s">
        <v>21</v>
      </c>
      <c r="I93" t="s">
        <v>24</v>
      </c>
      <c r="J93" t="s">
        <v>148</v>
      </c>
      <c r="K93" t="s">
        <v>23</v>
      </c>
      <c r="L93">
        <v>892</v>
      </c>
      <c r="M93" s="4">
        <v>13.5613236</v>
      </c>
      <c r="N93" s="4">
        <v>7.1702611833176029</v>
      </c>
      <c r="O93" s="4">
        <v>2.5072005983114105E-2</v>
      </c>
      <c r="P93" s="1" t="str">
        <f>HYPERLINK(".\sm_car_250620_2310\sm_car_250620_2310_092_Ca013TrN_MaLSS_DrSt_ode23t_1.png","figure")</f>
        <v>figure</v>
      </c>
      <c r="Q93" t="s">
        <v>15</v>
      </c>
    </row>
    <row r="94" spans="1:17" x14ac:dyDescent="0.25">
      <c r="A94">
        <v>93</v>
      </c>
      <c r="B94">
        <v>120</v>
      </c>
      <c r="C94" t="s">
        <v>16</v>
      </c>
      <c r="D94" t="s">
        <v>35</v>
      </c>
      <c r="E94" t="s">
        <v>49</v>
      </c>
      <c r="F94" t="s">
        <v>19</v>
      </c>
      <c r="G94" t="s">
        <v>20</v>
      </c>
      <c r="H94" t="s">
        <v>21</v>
      </c>
      <c r="I94" t="s">
        <v>22</v>
      </c>
      <c r="J94" t="s">
        <v>148</v>
      </c>
      <c r="K94" t="s">
        <v>23</v>
      </c>
      <c r="L94">
        <v>202</v>
      </c>
      <c r="M94" s="4">
        <v>2.3922230999999998</v>
      </c>
      <c r="N94" s="4">
        <v>7.162839905942942</v>
      </c>
      <c r="O94" s="4">
        <v>-7.9966299371723551E-5</v>
      </c>
      <c r="P94" s="1" t="str">
        <f>HYPERLINK(".\sm_car_250620_2310\sm_car_250620_2310_093_Ca120TrN_MaWOT_DrSt_ode23t_1.png","figure")</f>
        <v>figure</v>
      </c>
      <c r="Q94" t="s">
        <v>15</v>
      </c>
    </row>
    <row r="95" spans="1:17" x14ac:dyDescent="0.25">
      <c r="A95">
        <v>94</v>
      </c>
      <c r="B95">
        <v>120</v>
      </c>
      <c r="C95" t="s">
        <v>16</v>
      </c>
      <c r="D95" t="s">
        <v>35</v>
      </c>
      <c r="E95" t="s">
        <v>49</v>
      </c>
      <c r="F95" t="s">
        <v>19</v>
      </c>
      <c r="G95" t="s">
        <v>20</v>
      </c>
      <c r="H95" t="s">
        <v>21</v>
      </c>
      <c r="I95" t="s">
        <v>24</v>
      </c>
      <c r="J95" t="s">
        <v>148</v>
      </c>
      <c r="K95" t="s">
        <v>23</v>
      </c>
      <c r="L95">
        <v>356</v>
      </c>
      <c r="M95" s="4">
        <v>3.1755306999999999</v>
      </c>
      <c r="N95" s="4">
        <v>7.1640503425228896</v>
      </c>
      <c r="O95" s="4">
        <v>1.5590487366999275E-2</v>
      </c>
      <c r="P95" s="1" t="str">
        <f>HYPERLINK(".\sm_car_250620_2310\sm_car_250620_2310_094_Ca120TrN_MaLSS_DrSt_ode23t_1.png","figure")</f>
        <v>figure</v>
      </c>
      <c r="Q95" t="s">
        <v>15</v>
      </c>
    </row>
    <row r="96" spans="1:17" x14ac:dyDescent="0.25">
      <c r="A96">
        <v>95</v>
      </c>
      <c r="B96">
        <v>126</v>
      </c>
      <c r="C96" t="s">
        <v>16</v>
      </c>
      <c r="D96" t="s">
        <v>35</v>
      </c>
      <c r="E96" t="s">
        <v>49</v>
      </c>
      <c r="F96" t="s">
        <v>28</v>
      </c>
      <c r="G96" t="s">
        <v>26</v>
      </c>
      <c r="H96" t="s">
        <v>21</v>
      </c>
      <c r="I96" t="s">
        <v>22</v>
      </c>
      <c r="J96" t="s">
        <v>148</v>
      </c>
      <c r="K96" t="s">
        <v>23</v>
      </c>
      <c r="L96">
        <v>896</v>
      </c>
      <c r="M96" s="4">
        <v>5.2150013</v>
      </c>
      <c r="N96" s="4">
        <v>7.1610285228315469</v>
      </c>
      <c r="O96" s="4">
        <v>-9.4610525959248421E-5</v>
      </c>
      <c r="P96" s="1" t="str">
        <f>HYPERLINK(".\sm_car_250620_2310\sm_car_250620_2310_095_Ca126TrN_MaWOT_DrSt_ode23t_1.png","figure")</f>
        <v>figure</v>
      </c>
      <c r="Q96" t="s">
        <v>15</v>
      </c>
    </row>
    <row r="97" spans="1:17" x14ac:dyDescent="0.25">
      <c r="A97">
        <v>96</v>
      </c>
      <c r="B97">
        <v>126</v>
      </c>
      <c r="C97" t="s">
        <v>16</v>
      </c>
      <c r="D97" t="s">
        <v>35</v>
      </c>
      <c r="E97" t="s">
        <v>49</v>
      </c>
      <c r="F97" t="s">
        <v>28</v>
      </c>
      <c r="G97" t="s">
        <v>26</v>
      </c>
      <c r="H97" t="s">
        <v>21</v>
      </c>
      <c r="I97" t="s">
        <v>24</v>
      </c>
      <c r="J97" t="s">
        <v>148</v>
      </c>
      <c r="K97" t="s">
        <v>23</v>
      </c>
      <c r="L97">
        <v>1008</v>
      </c>
      <c r="M97" s="4">
        <v>5.9590173000000002</v>
      </c>
      <c r="N97" s="4">
        <v>7.1617798648272419</v>
      </c>
      <c r="O97" s="4">
        <v>1.5519126416381274E-2</v>
      </c>
      <c r="P97" s="1" t="str">
        <f>HYPERLINK(".\sm_car_250620_2310\sm_car_250620_2310_096_Ca126TrN_MaLSS_DrSt_ode23t_1.png","figure")</f>
        <v>figure</v>
      </c>
      <c r="Q97" t="s">
        <v>15</v>
      </c>
    </row>
    <row r="98" spans="1:17" x14ac:dyDescent="0.25">
      <c r="A98">
        <v>97</v>
      </c>
      <c r="B98">
        <v>127</v>
      </c>
      <c r="C98" t="s">
        <v>16</v>
      </c>
      <c r="D98" t="s">
        <v>35</v>
      </c>
      <c r="E98" t="s">
        <v>49</v>
      </c>
      <c r="F98" t="s">
        <v>28</v>
      </c>
      <c r="G98" t="s">
        <v>27</v>
      </c>
      <c r="H98" t="s">
        <v>21</v>
      </c>
      <c r="I98" t="s">
        <v>22</v>
      </c>
      <c r="J98" t="s">
        <v>148</v>
      </c>
      <c r="K98" t="s">
        <v>23</v>
      </c>
      <c r="L98">
        <v>919</v>
      </c>
      <c r="M98" s="4">
        <v>5.7464386999999997</v>
      </c>
      <c r="N98" s="4">
        <v>7.161427188495983</v>
      </c>
      <c r="O98" s="4">
        <v>-9.515612800956731E-5</v>
      </c>
      <c r="P98" s="1" t="str">
        <f>HYPERLINK(".\sm_car_250620_2310\sm_car_250620_2310_097_Ca127TrN_MaWOT_DrSt_ode23t_1.png","figure")</f>
        <v>figure</v>
      </c>
      <c r="Q98" t="s">
        <v>15</v>
      </c>
    </row>
    <row r="99" spans="1:17" x14ac:dyDescent="0.25">
      <c r="A99">
        <v>98</v>
      </c>
      <c r="B99">
        <v>127</v>
      </c>
      <c r="C99" t="s">
        <v>16</v>
      </c>
      <c r="D99" t="s">
        <v>35</v>
      </c>
      <c r="E99" t="s">
        <v>49</v>
      </c>
      <c r="F99" t="s">
        <v>28</v>
      </c>
      <c r="G99" t="s">
        <v>27</v>
      </c>
      <c r="H99" t="s">
        <v>21</v>
      </c>
      <c r="I99" t="s">
        <v>24</v>
      </c>
      <c r="J99" t="s">
        <v>148</v>
      </c>
      <c r="K99" t="s">
        <v>23</v>
      </c>
      <c r="L99">
        <v>1016</v>
      </c>
      <c r="M99" s="4">
        <v>5.7945858000000001</v>
      </c>
      <c r="N99" s="4">
        <v>7.1618854637713945</v>
      </c>
      <c r="O99" s="4">
        <v>1.5528192037221913E-2</v>
      </c>
      <c r="P99" s="1" t="str">
        <f>HYPERLINK(".\sm_car_250620_2310\sm_car_250620_2310_098_Ca127TrN_MaLSS_DrSt_ode23t_1.png","figure")</f>
        <v>figure</v>
      </c>
      <c r="Q99" t="s">
        <v>15</v>
      </c>
    </row>
    <row r="100" spans="1:17" x14ac:dyDescent="0.25">
      <c r="A100">
        <v>99</v>
      </c>
      <c r="B100">
        <v>145</v>
      </c>
      <c r="C100" t="s">
        <v>46</v>
      </c>
      <c r="D100" t="s">
        <v>17</v>
      </c>
      <c r="E100" t="s">
        <v>50</v>
      </c>
      <c r="F100" t="s">
        <v>19</v>
      </c>
      <c r="G100" t="s">
        <v>26</v>
      </c>
      <c r="H100" t="s">
        <v>21</v>
      </c>
      <c r="I100" t="s">
        <v>22</v>
      </c>
      <c r="J100" t="s">
        <v>148</v>
      </c>
      <c r="K100" t="s">
        <v>23</v>
      </c>
      <c r="L100">
        <v>137</v>
      </c>
      <c r="M100" s="4">
        <v>5.4940407000000002</v>
      </c>
      <c r="N100" s="4">
        <v>1.5554588388070387</v>
      </c>
      <c r="O100" s="4">
        <v>5.7373523637952004E-4</v>
      </c>
      <c r="P100" s="1" t="str">
        <f>HYPERLINK(".\sm_car_250620_2310\sm_car_250620_2310_099_Ca145TrN_MaWOT_DrSt_ode23t_1.png","figure")</f>
        <v>figure</v>
      </c>
      <c r="Q100" t="s">
        <v>15</v>
      </c>
    </row>
    <row r="101" spans="1:17" x14ac:dyDescent="0.25">
      <c r="A101">
        <v>100</v>
      </c>
      <c r="B101">
        <v>145</v>
      </c>
      <c r="C101" t="s">
        <v>46</v>
      </c>
      <c r="D101" t="s">
        <v>17</v>
      </c>
      <c r="E101" t="s">
        <v>50</v>
      </c>
      <c r="F101" t="s">
        <v>19</v>
      </c>
      <c r="G101" t="s">
        <v>26</v>
      </c>
      <c r="H101" t="s">
        <v>21</v>
      </c>
      <c r="I101" t="s">
        <v>24</v>
      </c>
      <c r="J101" t="s">
        <v>148</v>
      </c>
      <c r="K101" t="s">
        <v>23</v>
      </c>
      <c r="L101">
        <v>208</v>
      </c>
      <c r="M101" s="4">
        <v>7.6419750999999998</v>
      </c>
      <c r="N101" s="4">
        <v>1.5558834648413145</v>
      </c>
      <c r="O101" s="4">
        <v>9.249494952066329E-3</v>
      </c>
      <c r="P101" s="1" t="str">
        <f>HYPERLINK(".\sm_car_250620_2310\sm_car_250620_2310_100_Ca145TrN_MaLSS_DrSt_ode23t_1.png","figure")</f>
        <v>figure</v>
      </c>
      <c r="Q101" t="s">
        <v>15</v>
      </c>
    </row>
    <row r="102" spans="1:17" x14ac:dyDescent="0.25">
      <c r="A102">
        <v>101</v>
      </c>
      <c r="B102">
        <v>184</v>
      </c>
      <c r="C102" t="s">
        <v>105</v>
      </c>
      <c r="D102" t="s">
        <v>120</v>
      </c>
      <c r="E102" t="s">
        <v>49</v>
      </c>
      <c r="F102" t="s">
        <v>19</v>
      </c>
      <c r="G102" t="s">
        <v>20</v>
      </c>
      <c r="H102" t="s">
        <v>21</v>
      </c>
      <c r="I102" t="s">
        <v>22</v>
      </c>
      <c r="J102" t="s">
        <v>148</v>
      </c>
      <c r="K102" t="s">
        <v>23</v>
      </c>
      <c r="L102">
        <v>158</v>
      </c>
      <c r="M102" s="4">
        <v>5.4374887999999997</v>
      </c>
      <c r="N102" s="4">
        <v>7.648863045844692</v>
      </c>
      <c r="O102" s="4">
        <v>6.0922892719763282E-9</v>
      </c>
      <c r="P102" s="1" t="str">
        <f>HYPERLINK(".\sm_car_250620_2310\sm_car_250620_2310_101_Ca184TrN_MaWOT_DrSt_ode23t_1.png","figure")</f>
        <v>figure</v>
      </c>
      <c r="Q102" t="s">
        <v>15</v>
      </c>
    </row>
    <row r="103" spans="1:17" x14ac:dyDescent="0.25">
      <c r="A103">
        <v>102</v>
      </c>
      <c r="B103">
        <v>184</v>
      </c>
      <c r="C103" t="s">
        <v>105</v>
      </c>
      <c r="D103" t="s">
        <v>120</v>
      </c>
      <c r="E103" t="s">
        <v>49</v>
      </c>
      <c r="F103" t="s">
        <v>19</v>
      </c>
      <c r="G103" t="s">
        <v>20</v>
      </c>
      <c r="H103" t="s">
        <v>21</v>
      </c>
      <c r="I103" t="s">
        <v>24</v>
      </c>
      <c r="J103" t="s">
        <v>148</v>
      </c>
      <c r="K103" t="s">
        <v>23</v>
      </c>
      <c r="L103">
        <v>309</v>
      </c>
      <c r="M103" s="4">
        <v>7.1418625000000002</v>
      </c>
      <c r="N103" s="4">
        <v>7.6599545240656024</v>
      </c>
      <c r="O103" s="4">
        <v>3.3576226776149083E-2</v>
      </c>
      <c r="P103" s="1" t="str">
        <f>HYPERLINK(".\sm_car_250620_2310\sm_car_250620_2310_102_Ca184TrN_MaLSS_DrSt_ode23t_1.png","figure")</f>
        <v>figure</v>
      </c>
      <c r="Q103" t="s">
        <v>15</v>
      </c>
    </row>
    <row r="104" spans="1:17" x14ac:dyDescent="0.25">
      <c r="A104">
        <v>103</v>
      </c>
      <c r="B104">
        <v>217</v>
      </c>
      <c r="C104" t="s">
        <v>45</v>
      </c>
      <c r="D104" t="s">
        <v>17</v>
      </c>
      <c r="E104" t="s">
        <v>107</v>
      </c>
      <c r="F104" t="s">
        <v>119</v>
      </c>
      <c r="G104" t="s">
        <v>26</v>
      </c>
      <c r="H104" t="s">
        <v>21</v>
      </c>
      <c r="I104" t="s">
        <v>22</v>
      </c>
      <c r="J104" t="s">
        <v>148</v>
      </c>
      <c r="K104" t="s">
        <v>23</v>
      </c>
      <c r="L104">
        <v>455</v>
      </c>
      <c r="M104" s="4">
        <v>20.514860899999999</v>
      </c>
      <c r="N104" s="4">
        <v>6.7124018904675982</v>
      </c>
      <c r="O104" s="4">
        <v>6.9471203551926884E-4</v>
      </c>
      <c r="P104" s="1" t="str">
        <f>HYPERLINK(".\sm_car_250620_2310\sm_car_250620_2310_103_Ca217TrN_MaWOT_DrSt_ode23t_1.png","figure")</f>
        <v>figure</v>
      </c>
      <c r="Q104" t="s">
        <v>15</v>
      </c>
    </row>
    <row r="105" spans="1:17" x14ac:dyDescent="0.25">
      <c r="A105">
        <v>104</v>
      </c>
      <c r="B105">
        <v>217</v>
      </c>
      <c r="C105" t="s">
        <v>45</v>
      </c>
      <c r="D105" t="s">
        <v>17</v>
      </c>
      <c r="E105" t="s">
        <v>107</v>
      </c>
      <c r="F105" t="s">
        <v>119</v>
      </c>
      <c r="G105" t="s">
        <v>26</v>
      </c>
      <c r="H105" t="s">
        <v>21</v>
      </c>
      <c r="I105" t="s">
        <v>24</v>
      </c>
      <c r="J105" t="s">
        <v>148</v>
      </c>
      <c r="K105" t="s">
        <v>23</v>
      </c>
      <c r="L105">
        <v>631</v>
      </c>
      <c r="M105" s="4">
        <v>31.124693300000001</v>
      </c>
      <c r="N105" s="4">
        <v>6.7214632721219143</v>
      </c>
      <c r="O105" s="4">
        <v>2.4417722364984538E-2</v>
      </c>
      <c r="P105" s="1" t="str">
        <f>HYPERLINK(".\sm_car_250620_2310\sm_car_250620_2310_104_Ca217TrN_MaLSS_DrSt_ode23t_1.png","figure")</f>
        <v>figure</v>
      </c>
      <c r="Q105" t="s">
        <v>15</v>
      </c>
    </row>
    <row r="106" spans="1:17" x14ac:dyDescent="0.25">
      <c r="A106">
        <v>105</v>
      </c>
      <c r="B106">
        <v>12</v>
      </c>
      <c r="C106" t="s">
        <v>16</v>
      </c>
      <c r="D106" t="s">
        <v>17</v>
      </c>
      <c r="E106" t="s">
        <v>49</v>
      </c>
      <c r="F106" t="s">
        <v>28</v>
      </c>
      <c r="G106" t="s">
        <v>20</v>
      </c>
      <c r="H106" t="s">
        <v>21</v>
      </c>
      <c r="I106" t="s">
        <v>53</v>
      </c>
      <c r="J106" t="s">
        <v>148</v>
      </c>
      <c r="K106" t="s">
        <v>23</v>
      </c>
      <c r="L106">
        <v>691</v>
      </c>
      <c r="M106" s="4">
        <v>10.6708432</v>
      </c>
      <c r="N106" s="4">
        <v>254.99317348098521</v>
      </c>
      <c r="O106" s="4">
        <v>4.1606427282375513E-2</v>
      </c>
      <c r="P106" s="1" t="str">
        <f>HYPERLINK(".\sm_car_250620_2310\sm_car_250620_2310_105_Ca012TrN_MaDLC_DrSt_ode23t_1.png","figure")</f>
        <v>figure</v>
      </c>
      <c r="Q106" t="s">
        <v>15</v>
      </c>
    </row>
    <row r="107" spans="1:17" x14ac:dyDescent="0.25">
      <c r="A107">
        <v>106</v>
      </c>
      <c r="B107">
        <v>12</v>
      </c>
      <c r="C107" t="s">
        <v>16</v>
      </c>
      <c r="D107" t="s">
        <v>17</v>
      </c>
      <c r="E107" t="s">
        <v>49</v>
      </c>
      <c r="F107" t="s">
        <v>28</v>
      </c>
      <c r="G107" t="s">
        <v>20</v>
      </c>
      <c r="H107" t="s">
        <v>21</v>
      </c>
      <c r="I107" t="s">
        <v>54</v>
      </c>
      <c r="J107" t="s">
        <v>148</v>
      </c>
      <c r="K107" t="s">
        <v>23</v>
      </c>
      <c r="L107">
        <v>733</v>
      </c>
      <c r="M107" s="4">
        <v>10.3792969</v>
      </c>
      <c r="N107" s="4">
        <v>7.1644451309793435</v>
      </c>
      <c r="O107" s="4">
        <v>-3.0755029256668721E-4</v>
      </c>
      <c r="P107" s="1" t="str">
        <f>HYPERLINK(".\sm_car_250620_2310\sm_car_250620_2310_106_Ca012TrN_MaIPA_DrSt_ode23t_1.png","figure")</f>
        <v>figure</v>
      </c>
      <c r="Q107" t="s">
        <v>15</v>
      </c>
    </row>
    <row r="108" spans="1:17" x14ac:dyDescent="0.25">
      <c r="A108">
        <v>107</v>
      </c>
      <c r="B108">
        <v>142</v>
      </c>
      <c r="C108" t="s">
        <v>45</v>
      </c>
      <c r="D108" t="s">
        <v>17</v>
      </c>
      <c r="E108" t="s">
        <v>49</v>
      </c>
      <c r="F108" t="s">
        <v>28</v>
      </c>
      <c r="G108" t="s">
        <v>26</v>
      </c>
      <c r="H108" t="s">
        <v>21</v>
      </c>
      <c r="I108" t="s">
        <v>53</v>
      </c>
      <c r="J108" t="s">
        <v>148</v>
      </c>
      <c r="K108" t="s">
        <v>23</v>
      </c>
      <c r="L108">
        <v>738</v>
      </c>
      <c r="M108" s="4">
        <v>15.126906399999999</v>
      </c>
      <c r="N108" s="4">
        <v>253.31569804642567</v>
      </c>
      <c r="O108" s="4">
        <v>-6.5977977863767023E-3</v>
      </c>
      <c r="P108" s="1" t="str">
        <f>HYPERLINK(".\sm_car_250620_2310\sm_car_250620_2310_107_Ca142TrN_MaDLC_DrSt_ode23t_1.png","figure")</f>
        <v>figure</v>
      </c>
      <c r="Q108" t="s">
        <v>15</v>
      </c>
    </row>
    <row r="109" spans="1:17" x14ac:dyDescent="0.25">
      <c r="A109">
        <v>108</v>
      </c>
      <c r="B109">
        <v>142</v>
      </c>
      <c r="C109" t="s">
        <v>45</v>
      </c>
      <c r="D109" t="s">
        <v>17</v>
      </c>
      <c r="E109" t="s">
        <v>49</v>
      </c>
      <c r="F109" t="s">
        <v>28</v>
      </c>
      <c r="G109" t="s">
        <v>26</v>
      </c>
      <c r="H109" t="s">
        <v>21</v>
      </c>
      <c r="I109" t="s">
        <v>54</v>
      </c>
      <c r="J109" t="s">
        <v>148</v>
      </c>
      <c r="K109" t="s">
        <v>23</v>
      </c>
      <c r="L109">
        <v>856</v>
      </c>
      <c r="M109" s="4">
        <v>13.104274999999999</v>
      </c>
      <c r="N109" s="4">
        <v>6.4843548419162058</v>
      </c>
      <c r="O109" s="4">
        <v>5.7366055248918855E-4</v>
      </c>
      <c r="P109" s="1" t="str">
        <f>HYPERLINK(".\sm_car_250620_2310\sm_car_250620_2310_108_Ca142TrN_MaIPA_DrSt_ode23t_1.png","figure")</f>
        <v>figure</v>
      </c>
      <c r="Q109" t="s">
        <v>15</v>
      </c>
    </row>
    <row r="110" spans="1:17" x14ac:dyDescent="0.25">
      <c r="A110">
        <v>109</v>
      </c>
      <c r="B110">
        <v>145</v>
      </c>
      <c r="C110" t="s">
        <v>46</v>
      </c>
      <c r="D110" t="s">
        <v>17</v>
      </c>
      <c r="E110" t="s">
        <v>50</v>
      </c>
      <c r="F110" t="s">
        <v>19</v>
      </c>
      <c r="G110" t="s">
        <v>26</v>
      </c>
      <c r="H110" t="s">
        <v>21</v>
      </c>
      <c r="I110" t="s">
        <v>53</v>
      </c>
      <c r="J110" t="s">
        <v>148</v>
      </c>
      <c r="K110" t="s">
        <v>23</v>
      </c>
      <c r="L110">
        <v>497</v>
      </c>
      <c r="M110" s="4">
        <v>16.867000399999998</v>
      </c>
      <c r="N110" s="4">
        <v>254.26789412411966</v>
      </c>
      <c r="O110" s="4">
        <v>7.3979018293693244E-2</v>
      </c>
      <c r="P110" s="1" t="str">
        <f>HYPERLINK(".\sm_car_250620_2310\sm_car_250620_2310_109_Ca145TrN_MaDLC_DrSt_ode23t_1.png","figure")</f>
        <v>figure</v>
      </c>
      <c r="Q110" t="s">
        <v>15</v>
      </c>
    </row>
    <row r="111" spans="1:17" x14ac:dyDescent="0.25">
      <c r="A111">
        <v>110</v>
      </c>
      <c r="B111">
        <v>145</v>
      </c>
      <c r="C111" t="s">
        <v>46</v>
      </c>
      <c r="D111" t="s">
        <v>17</v>
      </c>
      <c r="E111" t="s">
        <v>50</v>
      </c>
      <c r="F111" t="s">
        <v>19</v>
      </c>
      <c r="G111" t="s">
        <v>26</v>
      </c>
      <c r="H111" t="s">
        <v>21</v>
      </c>
      <c r="I111" t="s">
        <v>54</v>
      </c>
      <c r="J111" t="s">
        <v>148</v>
      </c>
      <c r="K111" t="s">
        <v>23</v>
      </c>
      <c r="L111">
        <v>137</v>
      </c>
      <c r="M111" s="4">
        <v>5.4266354999999997</v>
      </c>
      <c r="N111" s="4">
        <v>1.5554588388070387</v>
      </c>
      <c r="O111" s="4">
        <v>5.7373523637952004E-4</v>
      </c>
      <c r="P111" s="1" t="str">
        <f>HYPERLINK(".\sm_car_250620_2310\sm_car_250620_2310_110_Ca145TrN_MaIPA_DrSt_ode23t_1.png","figure")</f>
        <v>figure</v>
      </c>
      <c r="Q111" t="s">
        <v>15</v>
      </c>
    </row>
    <row r="112" spans="1:17" x14ac:dyDescent="0.25">
      <c r="A112">
        <v>111</v>
      </c>
      <c r="B112">
        <v>184</v>
      </c>
      <c r="C112" t="s">
        <v>105</v>
      </c>
      <c r="D112" t="s">
        <v>120</v>
      </c>
      <c r="E112" t="s">
        <v>49</v>
      </c>
      <c r="F112" t="s">
        <v>19</v>
      </c>
      <c r="G112" t="s">
        <v>20</v>
      </c>
      <c r="H112" t="s">
        <v>21</v>
      </c>
      <c r="I112" t="s">
        <v>53</v>
      </c>
      <c r="J112" t="s">
        <v>148</v>
      </c>
      <c r="K112" t="s">
        <v>23</v>
      </c>
      <c r="L112">
        <v>404</v>
      </c>
      <c r="M112" s="4">
        <v>11.708201300000001</v>
      </c>
      <c r="N112" s="4">
        <v>255.81156255588542</v>
      </c>
      <c r="O112" s="4">
        <v>8.1297825087642828E-3</v>
      </c>
      <c r="P112" s="1" t="str">
        <f>HYPERLINK(".\sm_car_250620_2310\sm_car_250620_2310_111_Ca184TrN_MaDLC_DrSt_ode23t_1.png","figure")</f>
        <v>figure</v>
      </c>
      <c r="Q112" t="s">
        <v>15</v>
      </c>
    </row>
    <row r="113" spans="1:17" x14ac:dyDescent="0.25">
      <c r="A113">
        <v>112</v>
      </c>
      <c r="B113">
        <v>184</v>
      </c>
      <c r="C113" t="s">
        <v>105</v>
      </c>
      <c r="D113" t="s">
        <v>120</v>
      </c>
      <c r="E113" t="s">
        <v>49</v>
      </c>
      <c r="F113" t="s">
        <v>19</v>
      </c>
      <c r="G113" t="s">
        <v>20</v>
      </c>
      <c r="H113" t="s">
        <v>21</v>
      </c>
      <c r="I113" t="s">
        <v>54</v>
      </c>
      <c r="J113" t="s">
        <v>148</v>
      </c>
      <c r="K113" t="s">
        <v>23</v>
      </c>
      <c r="L113">
        <v>161</v>
      </c>
      <c r="M113" s="4">
        <v>5.6984038000000004</v>
      </c>
      <c r="N113" s="4">
        <v>7.6393194942131206</v>
      </c>
      <c r="O113" s="4">
        <v>6.1029771180042745E-9</v>
      </c>
      <c r="P113" s="1" t="str">
        <f>HYPERLINK(".\sm_car_250620_2310\sm_car_250620_2310_112_Ca184TrN_MaIPA_DrSt_ode23t_1.png","figure")</f>
        <v>figure</v>
      </c>
      <c r="Q113" t="s">
        <v>15</v>
      </c>
    </row>
    <row r="114" spans="1:17" x14ac:dyDescent="0.25">
      <c r="A114">
        <v>113</v>
      </c>
      <c r="B114">
        <v>204</v>
      </c>
      <c r="C114" t="s">
        <v>105</v>
      </c>
      <c r="D114" t="s">
        <v>106</v>
      </c>
      <c r="E114" t="s">
        <v>18</v>
      </c>
      <c r="F114" t="s">
        <v>19</v>
      </c>
      <c r="G114" t="s">
        <v>20</v>
      </c>
      <c r="H114" t="s">
        <v>21</v>
      </c>
      <c r="I114" t="s">
        <v>53</v>
      </c>
      <c r="J114" t="s">
        <v>148</v>
      </c>
      <c r="K114" t="s">
        <v>23</v>
      </c>
      <c r="L114">
        <v>1963</v>
      </c>
      <c r="M114" s="4">
        <v>25.531338699999999</v>
      </c>
      <c r="N114" s="4">
        <v>254.91432730676513</v>
      </c>
      <c r="O114" s="4">
        <v>1.2727416006740544E-2</v>
      </c>
      <c r="P114" s="1" t="str">
        <f>HYPERLINK(".\sm_car_250620_2310\sm_car_250620_2310_113_Ca204TrN_MaDLC_DrSt_ode23t_1.png","figure")</f>
        <v>figure</v>
      </c>
      <c r="Q114" t="s">
        <v>15</v>
      </c>
    </row>
    <row r="115" spans="1:17" x14ac:dyDescent="0.25">
      <c r="A115">
        <v>114</v>
      </c>
      <c r="B115">
        <v>204</v>
      </c>
      <c r="C115" t="s">
        <v>105</v>
      </c>
      <c r="D115" t="s">
        <v>106</v>
      </c>
      <c r="E115" t="s">
        <v>18</v>
      </c>
      <c r="F115" t="s">
        <v>19</v>
      </c>
      <c r="G115" t="s">
        <v>20</v>
      </c>
      <c r="H115" t="s">
        <v>21</v>
      </c>
      <c r="I115" t="s">
        <v>54</v>
      </c>
      <c r="J115" t="s">
        <v>148</v>
      </c>
      <c r="K115" t="s">
        <v>23</v>
      </c>
      <c r="L115">
        <v>652</v>
      </c>
      <c r="M115" s="4">
        <v>12.963371</v>
      </c>
      <c r="N115" s="4">
        <v>10.146420390143243</v>
      </c>
      <c r="O115" s="4">
        <v>2.1345793343763107E-3</v>
      </c>
      <c r="P115" s="1" t="str">
        <f>HYPERLINK(".\sm_car_250620_2310\sm_car_250620_2310_114_Ca204TrN_MaIPA_DrSt_ode23t_1.png","figure")</f>
        <v>figure</v>
      </c>
      <c r="Q115" t="s">
        <v>15</v>
      </c>
    </row>
    <row r="116" spans="1:17" x14ac:dyDescent="0.25">
      <c r="A116">
        <v>115</v>
      </c>
      <c r="B116">
        <v>12</v>
      </c>
      <c r="C116" t="s">
        <v>16</v>
      </c>
      <c r="D116" t="s">
        <v>17</v>
      </c>
      <c r="E116" t="s">
        <v>49</v>
      </c>
      <c r="F116" t="s">
        <v>28</v>
      </c>
      <c r="G116" t="s">
        <v>20</v>
      </c>
      <c r="H116" t="s">
        <v>21</v>
      </c>
      <c r="I116" t="s">
        <v>55</v>
      </c>
      <c r="J116" t="s">
        <v>148</v>
      </c>
      <c r="K116" t="s">
        <v>23</v>
      </c>
      <c r="L116">
        <v>2573</v>
      </c>
      <c r="M116" s="4">
        <v>38.549440300000001</v>
      </c>
      <c r="N116" s="4">
        <v>-1.6839541320541759E-2</v>
      </c>
      <c r="O116" s="4">
        <v>-0.64076123004374719</v>
      </c>
      <c r="P116" s="1" t="str">
        <f>HYPERLINK(".\sm_car_250620_2310\sm_car_250620_2310_115_Ca012TrN_MaMPK_DrSt_ode23t_1.png","figure")</f>
        <v>figure</v>
      </c>
      <c r="Q116" t="s">
        <v>15</v>
      </c>
    </row>
    <row r="117" spans="1:17" x14ac:dyDescent="0.25">
      <c r="A117">
        <v>116</v>
      </c>
      <c r="B117">
        <v>12</v>
      </c>
      <c r="C117" t="s">
        <v>16</v>
      </c>
      <c r="D117" t="s">
        <v>17</v>
      </c>
      <c r="E117" t="s">
        <v>49</v>
      </c>
      <c r="F117" t="s">
        <v>28</v>
      </c>
      <c r="G117" t="s">
        <v>20</v>
      </c>
      <c r="H117" t="s">
        <v>21</v>
      </c>
      <c r="I117" t="s">
        <v>55</v>
      </c>
      <c r="J117" t="s">
        <v>149</v>
      </c>
      <c r="K117" t="s">
        <v>23</v>
      </c>
      <c r="L117">
        <v>2427</v>
      </c>
      <c r="M117" s="4">
        <v>35.096247400000003</v>
      </c>
      <c r="N117" s="4">
        <v>9.9679583333965538E-2</v>
      </c>
      <c r="O117" s="4">
        <v>-5.250932479508625E-2</v>
      </c>
      <c r="P117" s="1" t="str">
        <f>HYPERLINK(".\sm_car_250620_2310\sm_car_250620_2310_116_Ca012TrN_MaMPK_DrSt_ode23t_1.png","figure")</f>
        <v>figure</v>
      </c>
      <c r="Q117" t="s">
        <v>15</v>
      </c>
    </row>
    <row r="118" spans="1:17" x14ac:dyDescent="0.25">
      <c r="A118">
        <v>117</v>
      </c>
      <c r="B118">
        <v>12</v>
      </c>
      <c r="C118" t="s">
        <v>16</v>
      </c>
      <c r="D118" t="s">
        <v>17</v>
      </c>
      <c r="E118" t="s">
        <v>49</v>
      </c>
      <c r="F118" t="s">
        <v>28</v>
      </c>
      <c r="G118" t="s">
        <v>20</v>
      </c>
      <c r="H118" t="s">
        <v>21</v>
      </c>
      <c r="I118" t="s">
        <v>56</v>
      </c>
      <c r="J118" t="s">
        <v>148</v>
      </c>
      <c r="K118" t="s">
        <v>23</v>
      </c>
      <c r="L118">
        <v>3057</v>
      </c>
      <c r="M118" s="4">
        <v>39.4679486</v>
      </c>
      <c r="N118" s="4">
        <v>0.7888253923102102</v>
      </c>
      <c r="O118" s="4">
        <v>-0.33093553095721945</v>
      </c>
      <c r="P118" s="1" t="str">
        <f>HYPERLINK(".\sm_car_250620_2310\sm_car_250620_2310_117_Ca012TrN_MaMPC_DrSt_ode23t_1.png","figure")</f>
        <v>figure</v>
      </c>
      <c r="Q118" t="s">
        <v>15</v>
      </c>
    </row>
    <row r="119" spans="1:17" x14ac:dyDescent="0.25">
      <c r="A119">
        <v>118</v>
      </c>
      <c r="B119">
        <v>12</v>
      </c>
      <c r="C119" t="s">
        <v>16</v>
      </c>
      <c r="D119" t="s">
        <v>17</v>
      </c>
      <c r="E119" t="s">
        <v>49</v>
      </c>
      <c r="F119" t="s">
        <v>28</v>
      </c>
      <c r="G119" t="s">
        <v>20</v>
      </c>
      <c r="H119" t="s">
        <v>21</v>
      </c>
      <c r="I119" t="s">
        <v>56</v>
      </c>
      <c r="J119" t="s">
        <v>149</v>
      </c>
      <c r="K119" t="s">
        <v>23</v>
      </c>
      <c r="L119">
        <v>2979</v>
      </c>
      <c r="M119" s="4">
        <v>39.496347100000001</v>
      </c>
      <c r="N119" s="4">
        <v>0.7889087474032408</v>
      </c>
      <c r="O119" s="4">
        <v>9.4426897713948493E-2</v>
      </c>
      <c r="P119" s="1" t="str">
        <f>HYPERLINK(".\sm_car_250620_2310\sm_car_250620_2310_118_Ca012TrN_MaMPC_DrSt_ode23t_1.png","figure")</f>
        <v>figure</v>
      </c>
      <c r="Q119" t="s">
        <v>15</v>
      </c>
    </row>
    <row r="120" spans="1:17" x14ac:dyDescent="0.25">
      <c r="A120">
        <v>119</v>
      </c>
      <c r="B120">
        <v>142</v>
      </c>
      <c r="C120" t="s">
        <v>45</v>
      </c>
      <c r="D120" t="s">
        <v>17</v>
      </c>
      <c r="E120" t="s">
        <v>49</v>
      </c>
      <c r="F120" t="s">
        <v>28</v>
      </c>
      <c r="G120" t="s">
        <v>26</v>
      </c>
      <c r="H120" t="s">
        <v>21</v>
      </c>
      <c r="I120" t="s">
        <v>55</v>
      </c>
      <c r="J120" t="s">
        <v>148</v>
      </c>
      <c r="K120" t="s">
        <v>23</v>
      </c>
      <c r="L120">
        <v>2482</v>
      </c>
      <c r="M120" s="4">
        <v>70.413554700000006</v>
      </c>
      <c r="N120" s="4">
        <v>-1.8227899027486977E-2</v>
      </c>
      <c r="O120" s="4">
        <v>-0.56360729427511502</v>
      </c>
      <c r="P120" s="1" t="str">
        <f>HYPERLINK(".\sm_car_250620_2310\sm_car_250620_2310_119_Ca142TrN_MaMPK_DrSt_ode23t_1.png","figure")</f>
        <v>figure</v>
      </c>
      <c r="Q120" t="s">
        <v>15</v>
      </c>
    </row>
    <row r="121" spans="1:17" x14ac:dyDescent="0.25">
      <c r="A121">
        <v>120</v>
      </c>
      <c r="B121">
        <v>142</v>
      </c>
      <c r="C121" t="s">
        <v>45</v>
      </c>
      <c r="D121" t="s">
        <v>17</v>
      </c>
      <c r="E121" t="s">
        <v>49</v>
      </c>
      <c r="F121" t="s">
        <v>28</v>
      </c>
      <c r="G121" t="s">
        <v>26</v>
      </c>
      <c r="H121" t="s">
        <v>21</v>
      </c>
      <c r="I121" t="s">
        <v>55</v>
      </c>
      <c r="J121" t="s">
        <v>149</v>
      </c>
      <c r="K121" t="s">
        <v>23</v>
      </c>
      <c r="L121">
        <v>2825</v>
      </c>
      <c r="M121" s="4">
        <v>65.494444000000001</v>
      </c>
      <c r="N121" s="4">
        <v>-9.849631448539245E-3</v>
      </c>
      <c r="O121" s="4">
        <v>-7.9919573097793739E-2</v>
      </c>
      <c r="P121" s="1" t="str">
        <f>HYPERLINK(".\sm_car_250620_2310\sm_car_250620_2310_120_Ca142TrN_MaMPK_DrSt_ode23t_1.png","figure")</f>
        <v>figure</v>
      </c>
      <c r="Q121" t="s">
        <v>15</v>
      </c>
    </row>
    <row r="122" spans="1:17" x14ac:dyDescent="0.25">
      <c r="A122">
        <v>121</v>
      </c>
      <c r="B122">
        <v>142</v>
      </c>
      <c r="C122" t="s">
        <v>45</v>
      </c>
      <c r="D122" t="s">
        <v>17</v>
      </c>
      <c r="E122" t="s">
        <v>49</v>
      </c>
      <c r="F122" t="s">
        <v>28</v>
      </c>
      <c r="G122" t="s">
        <v>26</v>
      </c>
      <c r="H122" t="s">
        <v>21</v>
      </c>
      <c r="I122" t="s">
        <v>56</v>
      </c>
      <c r="J122" t="s">
        <v>148</v>
      </c>
      <c r="K122" t="s">
        <v>23</v>
      </c>
      <c r="L122">
        <v>3160</v>
      </c>
      <c r="M122" s="4">
        <v>94.047467999999995</v>
      </c>
      <c r="N122" s="4">
        <v>0.78746112233059051</v>
      </c>
      <c r="O122" s="4">
        <v>-0.37415524798431921</v>
      </c>
      <c r="P122" s="1" t="str">
        <f>HYPERLINK(".\sm_car_250620_2310\sm_car_250620_2310_121_Ca142TrN_MaMPC_DrSt_ode23t_1.png","figure")</f>
        <v>figure</v>
      </c>
      <c r="Q122" t="s">
        <v>15</v>
      </c>
    </row>
    <row r="123" spans="1:17" x14ac:dyDescent="0.25">
      <c r="A123">
        <v>122</v>
      </c>
      <c r="B123">
        <v>142</v>
      </c>
      <c r="C123" t="s">
        <v>45</v>
      </c>
      <c r="D123" t="s">
        <v>17</v>
      </c>
      <c r="E123" t="s">
        <v>49</v>
      </c>
      <c r="F123" t="s">
        <v>28</v>
      </c>
      <c r="G123" t="s">
        <v>26</v>
      </c>
      <c r="H123" t="s">
        <v>21</v>
      </c>
      <c r="I123" t="s">
        <v>56</v>
      </c>
      <c r="J123" t="s">
        <v>149</v>
      </c>
      <c r="K123" t="s">
        <v>23</v>
      </c>
      <c r="L123">
        <v>3531</v>
      </c>
      <c r="M123" s="4">
        <v>81.818385899999996</v>
      </c>
      <c r="N123" s="4">
        <v>0.78866804042700167</v>
      </c>
      <c r="O123" s="4">
        <v>-4.7683664308879664E-3</v>
      </c>
      <c r="P123" s="1" t="str">
        <f>HYPERLINK(".\sm_car_250620_2310\sm_car_250620_2310_122_Ca142TrN_MaMPC_DrSt_ode23t_1.png","figure")</f>
        <v>figure</v>
      </c>
      <c r="Q123" t="s">
        <v>15</v>
      </c>
    </row>
    <row r="124" spans="1:17" x14ac:dyDescent="0.25">
      <c r="A124">
        <v>123</v>
      </c>
      <c r="B124">
        <v>116</v>
      </c>
      <c r="C124" t="s">
        <v>16</v>
      </c>
      <c r="D124" t="s">
        <v>35</v>
      </c>
      <c r="E124" t="s">
        <v>18</v>
      </c>
      <c r="F124" t="s">
        <v>28</v>
      </c>
      <c r="G124" t="s">
        <v>20</v>
      </c>
      <c r="H124" t="s">
        <v>21</v>
      </c>
      <c r="I124" t="s">
        <v>55</v>
      </c>
      <c r="J124" t="s">
        <v>148</v>
      </c>
      <c r="K124" t="s">
        <v>23</v>
      </c>
      <c r="L124">
        <v>2723</v>
      </c>
      <c r="M124" s="4">
        <v>17.653761299999999</v>
      </c>
      <c r="N124" s="4">
        <v>-1.7515542221050701E-2</v>
      </c>
      <c r="O124" s="4">
        <v>-0.54063726939242129</v>
      </c>
      <c r="P124" s="1" t="str">
        <f>HYPERLINK(".\sm_car_250620_2310\sm_car_250620_2310_123_Ca116TrN_MaMPK_DrSt_ode23t_1.png","figure")</f>
        <v>figure</v>
      </c>
      <c r="Q124" t="s">
        <v>15</v>
      </c>
    </row>
    <row r="125" spans="1:17" x14ac:dyDescent="0.25">
      <c r="A125">
        <v>124</v>
      </c>
      <c r="B125">
        <v>116</v>
      </c>
      <c r="C125" t="s">
        <v>16</v>
      </c>
      <c r="D125" t="s">
        <v>35</v>
      </c>
      <c r="E125" t="s">
        <v>18</v>
      </c>
      <c r="F125" t="s">
        <v>28</v>
      </c>
      <c r="G125" t="s">
        <v>20</v>
      </c>
      <c r="H125" t="s">
        <v>21</v>
      </c>
      <c r="I125" t="s">
        <v>55</v>
      </c>
      <c r="J125" t="s">
        <v>149</v>
      </c>
      <c r="K125" t="s">
        <v>23</v>
      </c>
      <c r="L125">
        <v>2757</v>
      </c>
      <c r="M125" s="4">
        <v>18.732456800000001</v>
      </c>
      <c r="N125" s="4">
        <v>-1.5385123701617903E-2</v>
      </c>
      <c r="O125" s="4">
        <v>-0.47752235455373426</v>
      </c>
      <c r="P125" s="1" t="str">
        <f>HYPERLINK(".\sm_car_250620_2310\sm_car_250620_2310_124_Ca116TrN_MaMPK_DrSt_ode23t_1.png","figure")</f>
        <v>figure</v>
      </c>
      <c r="Q125" t="s">
        <v>15</v>
      </c>
    </row>
    <row r="126" spans="1:17" x14ac:dyDescent="0.25">
      <c r="A126">
        <v>125</v>
      </c>
      <c r="B126">
        <v>116</v>
      </c>
      <c r="C126" t="s">
        <v>16</v>
      </c>
      <c r="D126" t="s">
        <v>35</v>
      </c>
      <c r="E126" t="s">
        <v>18</v>
      </c>
      <c r="F126" t="s">
        <v>28</v>
      </c>
      <c r="G126" t="s">
        <v>20</v>
      </c>
      <c r="H126" t="s">
        <v>21</v>
      </c>
      <c r="I126" t="s">
        <v>56</v>
      </c>
      <c r="J126" t="s">
        <v>148</v>
      </c>
      <c r="K126" t="s">
        <v>23</v>
      </c>
      <c r="L126">
        <v>3266</v>
      </c>
      <c r="M126" s="4">
        <v>19.664077200000001</v>
      </c>
      <c r="N126" s="4">
        <v>0.78929308859771652</v>
      </c>
      <c r="O126" s="4">
        <v>-0.36388603487049859</v>
      </c>
      <c r="P126" s="1" t="str">
        <f>HYPERLINK(".\sm_car_250620_2310\sm_car_250620_2310_125_Ca116TrN_MaMPC_DrSt_ode23t_1.png","figure")</f>
        <v>figure</v>
      </c>
      <c r="Q126" t="s">
        <v>15</v>
      </c>
    </row>
    <row r="127" spans="1:17" x14ac:dyDescent="0.25">
      <c r="A127">
        <v>126</v>
      </c>
      <c r="B127">
        <v>116</v>
      </c>
      <c r="C127" t="s">
        <v>16</v>
      </c>
      <c r="D127" t="s">
        <v>35</v>
      </c>
      <c r="E127" t="s">
        <v>18</v>
      </c>
      <c r="F127" t="s">
        <v>28</v>
      </c>
      <c r="G127" t="s">
        <v>20</v>
      </c>
      <c r="H127" t="s">
        <v>21</v>
      </c>
      <c r="I127" t="s">
        <v>56</v>
      </c>
      <c r="J127" t="s">
        <v>149</v>
      </c>
      <c r="K127" t="s">
        <v>23</v>
      </c>
      <c r="L127">
        <v>3218</v>
      </c>
      <c r="M127" s="4">
        <v>19.8354149</v>
      </c>
      <c r="N127" s="4">
        <v>0.78822507416945697</v>
      </c>
      <c r="O127" s="4">
        <v>0.28028423068395136</v>
      </c>
      <c r="P127" s="1" t="str">
        <f>HYPERLINK(".\sm_car_250620_2310\sm_car_250620_2310_126_Ca116TrN_MaMPC_DrSt_ode23t_1.png","figure")</f>
        <v>figure</v>
      </c>
      <c r="Q127" t="s">
        <v>15</v>
      </c>
    </row>
    <row r="128" spans="1:17" x14ac:dyDescent="0.25">
      <c r="A128">
        <v>127</v>
      </c>
      <c r="B128">
        <v>143</v>
      </c>
      <c r="C128" t="s">
        <v>46</v>
      </c>
      <c r="D128" t="s">
        <v>17</v>
      </c>
      <c r="E128" t="s">
        <v>47</v>
      </c>
      <c r="F128" t="s">
        <v>19</v>
      </c>
      <c r="G128" t="s">
        <v>26</v>
      </c>
      <c r="H128" t="s">
        <v>21</v>
      </c>
      <c r="I128" t="s">
        <v>55</v>
      </c>
      <c r="J128" t="s">
        <v>148</v>
      </c>
      <c r="K128" t="s">
        <v>23</v>
      </c>
      <c r="L128">
        <v>2589</v>
      </c>
      <c r="M128" s="4">
        <v>53.114053699999999</v>
      </c>
      <c r="N128" s="4">
        <v>2.3995154030756555E-2</v>
      </c>
      <c r="O128" s="4">
        <v>-0.4019675570030683</v>
      </c>
      <c r="P128" s="1" t="str">
        <f>HYPERLINK(".\sm_car_250620_2310\sm_car_250620_2310_127_Ca143TrN_MaMPK_DrSt_ode23t_1.png","figure")</f>
        <v>figure</v>
      </c>
      <c r="Q128" t="s">
        <v>15</v>
      </c>
    </row>
    <row r="129" spans="1:17" x14ac:dyDescent="0.25">
      <c r="A129">
        <v>128</v>
      </c>
      <c r="B129">
        <v>143</v>
      </c>
      <c r="C129" t="s">
        <v>46</v>
      </c>
      <c r="D129" t="s">
        <v>17</v>
      </c>
      <c r="E129" t="s">
        <v>47</v>
      </c>
      <c r="F129" t="s">
        <v>19</v>
      </c>
      <c r="G129" t="s">
        <v>26</v>
      </c>
      <c r="H129" t="s">
        <v>21</v>
      </c>
      <c r="I129" t="s">
        <v>55</v>
      </c>
      <c r="J129" t="s">
        <v>149</v>
      </c>
      <c r="K129" t="s">
        <v>23</v>
      </c>
      <c r="L129">
        <v>2357</v>
      </c>
      <c r="M129" s="4">
        <v>57.295651399999997</v>
      </c>
      <c r="N129" s="4">
        <v>-8.5726611359344118E-3</v>
      </c>
      <c r="O129" s="4">
        <v>-9.3200928696609509E-2</v>
      </c>
      <c r="P129" s="1" t="str">
        <f>HYPERLINK(".\sm_car_250620_2310\sm_car_250620_2310_128_Ca143TrN_MaMPK_DrSt_ode23t_1.png","figure")</f>
        <v>figure</v>
      </c>
      <c r="Q129" t="s">
        <v>15</v>
      </c>
    </row>
    <row r="130" spans="1:17" x14ac:dyDescent="0.25">
      <c r="A130">
        <v>129</v>
      </c>
      <c r="B130">
        <v>143</v>
      </c>
      <c r="C130" t="s">
        <v>46</v>
      </c>
      <c r="D130" t="s">
        <v>17</v>
      </c>
      <c r="E130" t="s">
        <v>47</v>
      </c>
      <c r="F130" t="s">
        <v>19</v>
      </c>
      <c r="G130" t="s">
        <v>26</v>
      </c>
      <c r="H130" t="s">
        <v>21</v>
      </c>
      <c r="I130" t="s">
        <v>56</v>
      </c>
      <c r="J130" t="s">
        <v>148</v>
      </c>
      <c r="K130" t="s">
        <v>23</v>
      </c>
      <c r="L130">
        <v>2740</v>
      </c>
      <c r="M130" s="4">
        <v>72.139698499999994</v>
      </c>
      <c r="N130" s="4">
        <v>0.78766482473604782</v>
      </c>
      <c r="O130" s="4">
        <v>-0.26825697110118307</v>
      </c>
      <c r="P130" s="1" t="str">
        <f>HYPERLINK(".\sm_car_250620_2310\sm_car_250620_2310_129_Ca143TrN_MaMPC_DrSt_ode23t_1.png","figure")</f>
        <v>figure</v>
      </c>
      <c r="Q130" t="s">
        <v>15</v>
      </c>
    </row>
    <row r="131" spans="1:17" x14ac:dyDescent="0.25">
      <c r="A131">
        <v>130</v>
      </c>
      <c r="B131">
        <v>143</v>
      </c>
      <c r="C131" t="s">
        <v>46</v>
      </c>
      <c r="D131" t="s">
        <v>17</v>
      </c>
      <c r="E131" t="s">
        <v>47</v>
      </c>
      <c r="F131" t="s">
        <v>19</v>
      </c>
      <c r="G131" t="s">
        <v>26</v>
      </c>
      <c r="H131" t="s">
        <v>21</v>
      </c>
      <c r="I131" t="s">
        <v>56</v>
      </c>
      <c r="J131" t="s">
        <v>149</v>
      </c>
      <c r="K131" t="s">
        <v>23</v>
      </c>
      <c r="L131">
        <v>2489</v>
      </c>
      <c r="M131" s="4">
        <v>68.340740600000004</v>
      </c>
      <c r="N131" s="4">
        <v>0.78480074132774114</v>
      </c>
      <c r="O131" s="4">
        <v>-0.15666788923375263</v>
      </c>
      <c r="P131" s="1" t="str">
        <f>HYPERLINK(".\sm_car_250620_2310\sm_car_250620_2310_130_Ca143TrN_MaMPC_DrSt_ode23t_1.png","figure")</f>
        <v>figure</v>
      </c>
      <c r="Q131" t="s">
        <v>15</v>
      </c>
    </row>
    <row r="132" spans="1:17" x14ac:dyDescent="0.25">
      <c r="A132">
        <v>131</v>
      </c>
      <c r="B132">
        <v>166</v>
      </c>
      <c r="C132" t="s">
        <v>45</v>
      </c>
      <c r="D132" t="s">
        <v>57</v>
      </c>
      <c r="E132" t="s">
        <v>18</v>
      </c>
      <c r="F132" t="s">
        <v>19</v>
      </c>
      <c r="G132" t="s">
        <v>26</v>
      </c>
      <c r="H132" t="s">
        <v>21</v>
      </c>
      <c r="I132" t="s">
        <v>55</v>
      </c>
      <c r="J132" t="s">
        <v>148</v>
      </c>
      <c r="K132" t="s">
        <v>23</v>
      </c>
      <c r="L132">
        <v>3000</v>
      </c>
      <c r="M132" s="4">
        <v>57.139836899999999</v>
      </c>
      <c r="N132" s="4">
        <v>-1.9528263633726742E-2</v>
      </c>
      <c r="O132" s="4">
        <v>-0.57282940955636352</v>
      </c>
      <c r="P132" s="1" t="str">
        <f>HYPERLINK(".\sm_car_250620_2310\sm_car_250620_2310_131_Ca166TrN_MaMPK_DrSt_ode23t_1.png","figure")</f>
        <v>figure</v>
      </c>
      <c r="Q132" t="s">
        <v>15</v>
      </c>
    </row>
    <row r="133" spans="1:17" x14ac:dyDescent="0.25">
      <c r="A133">
        <v>132</v>
      </c>
      <c r="B133">
        <v>166</v>
      </c>
      <c r="C133" t="s">
        <v>45</v>
      </c>
      <c r="D133" t="s">
        <v>57</v>
      </c>
      <c r="E133" t="s">
        <v>18</v>
      </c>
      <c r="F133" t="s">
        <v>19</v>
      </c>
      <c r="G133" t="s">
        <v>26</v>
      </c>
      <c r="H133" t="s">
        <v>21</v>
      </c>
      <c r="I133" t="s">
        <v>55</v>
      </c>
      <c r="J133" t="s">
        <v>149</v>
      </c>
      <c r="K133" t="s">
        <v>23</v>
      </c>
      <c r="L133">
        <v>3755</v>
      </c>
      <c r="M133" s="4">
        <v>57.647246600000003</v>
      </c>
      <c r="N133" s="4">
        <v>-3.9298217524738194E-3</v>
      </c>
      <c r="O133" s="4">
        <v>-8.2443945897716281E-2</v>
      </c>
      <c r="P133" s="1" t="str">
        <f>HYPERLINK(".\sm_car_250620_2310\sm_car_250620_2310_132_Ca166TrN_MaMPK_DrSt_ode23t_1.png","figure")</f>
        <v>figure</v>
      </c>
      <c r="Q133" t="s">
        <v>15</v>
      </c>
    </row>
    <row r="134" spans="1:17" x14ac:dyDescent="0.25">
      <c r="A134">
        <v>133</v>
      </c>
      <c r="B134">
        <v>166</v>
      </c>
      <c r="C134" t="s">
        <v>45</v>
      </c>
      <c r="D134" t="s">
        <v>57</v>
      </c>
      <c r="E134" t="s">
        <v>18</v>
      </c>
      <c r="F134" t="s">
        <v>19</v>
      </c>
      <c r="G134" t="s">
        <v>26</v>
      </c>
      <c r="H134" t="s">
        <v>21</v>
      </c>
      <c r="I134" t="s">
        <v>56</v>
      </c>
      <c r="J134" t="s">
        <v>148</v>
      </c>
      <c r="K134" t="s">
        <v>23</v>
      </c>
      <c r="L134">
        <v>3473</v>
      </c>
      <c r="M134" s="4">
        <v>66.274670799999996</v>
      </c>
      <c r="N134" s="4">
        <v>0.78922346085260386</v>
      </c>
      <c r="O134" s="4">
        <v>-0.36503607268182114</v>
      </c>
      <c r="P134" s="1" t="str">
        <f>HYPERLINK(".\sm_car_250620_2310\sm_car_250620_2310_133_Ca166TrN_MaMPC_DrSt_ode23t_1.png","figure")</f>
        <v>figure</v>
      </c>
      <c r="Q134" t="s">
        <v>15</v>
      </c>
    </row>
    <row r="135" spans="1:17" x14ac:dyDescent="0.25">
      <c r="A135">
        <v>134</v>
      </c>
      <c r="B135">
        <v>166</v>
      </c>
      <c r="C135" t="s">
        <v>45</v>
      </c>
      <c r="D135" t="s">
        <v>57</v>
      </c>
      <c r="E135" t="s">
        <v>18</v>
      </c>
      <c r="F135" t="s">
        <v>19</v>
      </c>
      <c r="G135" t="s">
        <v>26</v>
      </c>
      <c r="H135" t="s">
        <v>21</v>
      </c>
      <c r="I135" t="s">
        <v>56</v>
      </c>
      <c r="J135" t="s">
        <v>149</v>
      </c>
      <c r="K135" t="s">
        <v>23</v>
      </c>
      <c r="L135">
        <v>3914</v>
      </c>
      <c r="M135" s="4">
        <v>67.281242599999999</v>
      </c>
      <c r="N135" s="4">
        <v>0.78021609593978525</v>
      </c>
      <c r="O135" s="4">
        <v>3.6372763809286771E-3</v>
      </c>
      <c r="P135" s="1" t="str">
        <f>HYPERLINK(".\sm_car_250620_2310\sm_car_250620_2310_134_Ca166TrN_MaMPC_DrSt_ode23t_1.png","figure")</f>
        <v>figure</v>
      </c>
      <c r="Q135" t="s">
        <v>15</v>
      </c>
    </row>
    <row r="136" spans="1:17" x14ac:dyDescent="0.25">
      <c r="A136">
        <v>135</v>
      </c>
      <c r="B136">
        <v>169</v>
      </c>
      <c r="C136" t="s">
        <v>45</v>
      </c>
      <c r="D136" t="s">
        <v>58</v>
      </c>
      <c r="E136" t="s">
        <v>49</v>
      </c>
      <c r="F136" t="s">
        <v>19</v>
      </c>
      <c r="G136" t="s">
        <v>26</v>
      </c>
      <c r="H136" t="s">
        <v>21</v>
      </c>
      <c r="I136" t="s">
        <v>55</v>
      </c>
      <c r="J136" t="s">
        <v>148</v>
      </c>
      <c r="K136" t="s">
        <v>23</v>
      </c>
      <c r="L136">
        <v>2960</v>
      </c>
      <c r="M136" s="4">
        <v>47.239432499999999</v>
      </c>
      <c r="N136" s="4">
        <v>-2.0322800341389266E-2</v>
      </c>
      <c r="O136" s="4">
        <v>-0.5733400086850412</v>
      </c>
      <c r="P136" s="1" t="str">
        <f>HYPERLINK(".\sm_car_250620_2310\sm_car_250620_2310_135_Ca169TrN_MaMPK_DrSt_ode23t_1.png","figure")</f>
        <v>figure</v>
      </c>
      <c r="Q136" t="s">
        <v>15</v>
      </c>
    </row>
    <row r="137" spans="1:17" x14ac:dyDescent="0.25">
      <c r="A137">
        <v>136</v>
      </c>
      <c r="B137">
        <v>169</v>
      </c>
      <c r="C137" t="s">
        <v>45</v>
      </c>
      <c r="D137" t="s">
        <v>58</v>
      </c>
      <c r="E137" t="s">
        <v>49</v>
      </c>
      <c r="F137" t="s">
        <v>19</v>
      </c>
      <c r="G137" t="s">
        <v>26</v>
      </c>
      <c r="H137" t="s">
        <v>21</v>
      </c>
      <c r="I137" t="s">
        <v>55</v>
      </c>
      <c r="J137" t="s">
        <v>149</v>
      </c>
      <c r="K137" t="s">
        <v>23</v>
      </c>
      <c r="L137">
        <v>3760</v>
      </c>
      <c r="M137" s="4">
        <v>54.064037900000002</v>
      </c>
      <c r="N137" s="4">
        <v>-1.0848848652677545E-2</v>
      </c>
      <c r="O137" s="4">
        <v>-8.0622870058413551E-2</v>
      </c>
      <c r="P137" s="1" t="str">
        <f>HYPERLINK(".\sm_car_250620_2310\sm_car_250620_2310_136_Ca169TrN_MaMPK_DrSt_ode23t_1.png","figure")</f>
        <v>figure</v>
      </c>
      <c r="Q137" t="s">
        <v>15</v>
      </c>
    </row>
    <row r="138" spans="1:17" x14ac:dyDescent="0.25">
      <c r="A138">
        <v>137</v>
      </c>
      <c r="B138">
        <v>169</v>
      </c>
      <c r="C138" t="s">
        <v>45</v>
      </c>
      <c r="D138" t="s">
        <v>58</v>
      </c>
      <c r="E138" t="s">
        <v>49</v>
      </c>
      <c r="F138" t="s">
        <v>19</v>
      </c>
      <c r="G138" t="s">
        <v>26</v>
      </c>
      <c r="H138" t="s">
        <v>21</v>
      </c>
      <c r="I138" t="s">
        <v>56</v>
      </c>
      <c r="J138" t="s">
        <v>148</v>
      </c>
      <c r="K138" t="s">
        <v>23</v>
      </c>
      <c r="L138">
        <v>3228</v>
      </c>
      <c r="M138" s="4">
        <v>51.9480407</v>
      </c>
      <c r="N138" s="4">
        <v>0.78633380502643213</v>
      </c>
      <c r="O138" s="4">
        <v>-0.36432474988258495</v>
      </c>
      <c r="P138" s="1" t="str">
        <f>HYPERLINK(".\sm_car_250620_2310\sm_car_250620_2310_137_Ca169TrN_MaMPC_DrSt_ode23t_1.png","figure")</f>
        <v>figure</v>
      </c>
      <c r="Q138" t="s">
        <v>15</v>
      </c>
    </row>
    <row r="139" spans="1:17" x14ac:dyDescent="0.25">
      <c r="A139">
        <v>138</v>
      </c>
      <c r="B139">
        <v>169</v>
      </c>
      <c r="C139" t="s">
        <v>45</v>
      </c>
      <c r="D139" t="s">
        <v>58</v>
      </c>
      <c r="E139" t="s">
        <v>49</v>
      </c>
      <c r="F139" t="s">
        <v>19</v>
      </c>
      <c r="G139" t="s">
        <v>26</v>
      </c>
      <c r="H139" t="s">
        <v>21</v>
      </c>
      <c r="I139" t="s">
        <v>56</v>
      </c>
      <c r="J139" t="s">
        <v>149</v>
      </c>
      <c r="K139" t="s">
        <v>23</v>
      </c>
      <c r="L139">
        <v>3703</v>
      </c>
      <c r="M139" s="4">
        <v>52.826321999999998</v>
      </c>
      <c r="N139" s="4">
        <v>0.78740309312838974</v>
      </c>
      <c r="O139" s="4">
        <v>5.6297245320265712E-3</v>
      </c>
      <c r="P139" s="1" t="str">
        <f>HYPERLINK(".\sm_car_250620_2310\sm_car_250620_2310_138_Ca169TrN_MaMPC_DrSt_ode23t_1.png","figure")</f>
        <v>figure</v>
      </c>
      <c r="Q139" t="s">
        <v>15</v>
      </c>
    </row>
    <row r="140" spans="1:17" x14ac:dyDescent="0.25">
      <c r="A140">
        <v>139</v>
      </c>
      <c r="B140">
        <v>184</v>
      </c>
      <c r="C140" t="s">
        <v>105</v>
      </c>
      <c r="D140" t="s">
        <v>120</v>
      </c>
      <c r="E140" t="s">
        <v>49</v>
      </c>
      <c r="F140" t="s">
        <v>19</v>
      </c>
      <c r="G140" t="s">
        <v>20</v>
      </c>
      <c r="H140" t="s">
        <v>21</v>
      </c>
      <c r="I140" t="s">
        <v>55</v>
      </c>
      <c r="J140" t="s">
        <v>148</v>
      </c>
      <c r="K140" t="s">
        <v>23</v>
      </c>
      <c r="L140">
        <v>2104</v>
      </c>
      <c r="M140" s="4">
        <v>56.434237600000003</v>
      </c>
      <c r="N140" s="4">
        <v>-2.1953997937015871E-2</v>
      </c>
      <c r="O140" s="4">
        <v>-0.71900696870372893</v>
      </c>
      <c r="P140" s="1" t="str">
        <f>HYPERLINK(".\sm_car_250620_2310\sm_car_250620_2310_139_Ca184TrN_MaMPK_DrSt_ode23t_1.png","figure")</f>
        <v>figure</v>
      </c>
      <c r="Q140" t="s">
        <v>15</v>
      </c>
    </row>
    <row r="141" spans="1:17" x14ac:dyDescent="0.25">
      <c r="A141">
        <v>140</v>
      </c>
      <c r="B141">
        <v>184</v>
      </c>
      <c r="C141" t="s">
        <v>105</v>
      </c>
      <c r="D141" t="s">
        <v>120</v>
      </c>
      <c r="E141" t="s">
        <v>49</v>
      </c>
      <c r="F141" t="s">
        <v>19</v>
      </c>
      <c r="G141" t="s">
        <v>20</v>
      </c>
      <c r="H141" t="s">
        <v>21</v>
      </c>
      <c r="I141" t="s">
        <v>55</v>
      </c>
      <c r="J141" t="s">
        <v>149</v>
      </c>
      <c r="K141" t="s">
        <v>23</v>
      </c>
      <c r="L141">
        <v>2122</v>
      </c>
      <c r="M141" s="4">
        <v>58.076149000000001</v>
      </c>
      <c r="N141" s="4">
        <v>-9.4430798174981456E-3</v>
      </c>
      <c r="O141" s="4">
        <v>-2.3808278265664447E-2</v>
      </c>
      <c r="P141" s="1" t="str">
        <f>HYPERLINK(".\sm_car_250620_2310\sm_car_250620_2310_140_Ca184TrN_MaMPK_DrSt_ode23t_1.png","figure")</f>
        <v>figure</v>
      </c>
      <c r="Q141" t="s">
        <v>15</v>
      </c>
    </row>
    <row r="142" spans="1:17" x14ac:dyDescent="0.25">
      <c r="A142">
        <v>141</v>
      </c>
      <c r="B142">
        <v>184</v>
      </c>
      <c r="C142" t="s">
        <v>105</v>
      </c>
      <c r="D142" t="s">
        <v>120</v>
      </c>
      <c r="E142" t="s">
        <v>49</v>
      </c>
      <c r="F142" t="s">
        <v>19</v>
      </c>
      <c r="G142" t="s">
        <v>20</v>
      </c>
      <c r="H142" t="s">
        <v>21</v>
      </c>
      <c r="I142" t="s">
        <v>56</v>
      </c>
      <c r="J142" t="s">
        <v>148</v>
      </c>
      <c r="K142" t="s">
        <v>23</v>
      </c>
      <c r="L142">
        <v>2146</v>
      </c>
      <c r="M142" s="4">
        <v>55.304704899999997</v>
      </c>
      <c r="N142" s="4">
        <v>0.78852552946053756</v>
      </c>
      <c r="O142" s="4">
        <v>-0.33718481237793363</v>
      </c>
      <c r="P142" s="1" t="str">
        <f>HYPERLINK(".\sm_car_250620_2310\sm_car_250620_2310_141_Ca184TrN_MaMPC_DrSt_ode23t_1.png","figure")</f>
        <v>figure</v>
      </c>
      <c r="Q142" t="s">
        <v>15</v>
      </c>
    </row>
    <row r="143" spans="1:17" x14ac:dyDescent="0.25">
      <c r="A143">
        <v>142</v>
      </c>
      <c r="B143">
        <v>184</v>
      </c>
      <c r="C143" t="s">
        <v>105</v>
      </c>
      <c r="D143" t="s">
        <v>120</v>
      </c>
      <c r="E143" t="s">
        <v>49</v>
      </c>
      <c r="F143" t="s">
        <v>19</v>
      </c>
      <c r="G143" t="s">
        <v>20</v>
      </c>
      <c r="H143" t="s">
        <v>21</v>
      </c>
      <c r="I143" t="s">
        <v>56</v>
      </c>
      <c r="J143" t="s">
        <v>149</v>
      </c>
      <c r="K143" t="s">
        <v>23</v>
      </c>
      <c r="L143">
        <v>2073</v>
      </c>
      <c r="M143" s="4">
        <v>57.2567053</v>
      </c>
      <c r="N143" s="4">
        <v>0.77151280956291401</v>
      </c>
      <c r="O143" s="4">
        <v>-0.10235663427024591</v>
      </c>
      <c r="P143" s="1" t="str">
        <f>HYPERLINK(".\sm_car_250620_2310\sm_car_250620_2310_142_Ca184TrN_MaMPC_DrSt_ode23t_1.png","figure")</f>
        <v>figure</v>
      </c>
      <c r="Q143" t="s">
        <v>15</v>
      </c>
    </row>
    <row r="144" spans="1:17" x14ac:dyDescent="0.25">
      <c r="A144">
        <v>143</v>
      </c>
      <c r="B144">
        <v>195</v>
      </c>
      <c r="C144" t="s">
        <v>45</v>
      </c>
      <c r="D144" t="s">
        <v>58</v>
      </c>
      <c r="E144" t="s">
        <v>107</v>
      </c>
      <c r="F144" t="s">
        <v>19</v>
      </c>
      <c r="G144" t="s">
        <v>26</v>
      </c>
      <c r="H144" t="s">
        <v>21</v>
      </c>
      <c r="I144" t="s">
        <v>55</v>
      </c>
      <c r="J144" t="s">
        <v>148</v>
      </c>
      <c r="K144" t="s">
        <v>23</v>
      </c>
      <c r="L144">
        <v>2926</v>
      </c>
      <c r="M144" s="4">
        <v>44.996408799999998</v>
      </c>
      <c r="N144" s="4">
        <v>-1.9182924511117097E-2</v>
      </c>
      <c r="O144" s="4">
        <v>-0.57338645335097127</v>
      </c>
      <c r="P144" s="1" t="str">
        <f>HYPERLINK(".\sm_car_250620_2310\sm_car_250620_2310_143_Ca195TrN_MaMPK_DrSt_ode23t_1.png","figure")</f>
        <v>figure</v>
      </c>
      <c r="Q144" t="s">
        <v>15</v>
      </c>
    </row>
    <row r="145" spans="1:17" x14ac:dyDescent="0.25">
      <c r="A145">
        <v>144</v>
      </c>
      <c r="B145">
        <v>195</v>
      </c>
      <c r="C145" t="s">
        <v>45</v>
      </c>
      <c r="D145" t="s">
        <v>58</v>
      </c>
      <c r="E145" t="s">
        <v>107</v>
      </c>
      <c r="F145" t="s">
        <v>19</v>
      </c>
      <c r="G145" t="s">
        <v>26</v>
      </c>
      <c r="H145" t="s">
        <v>21</v>
      </c>
      <c r="I145" t="s">
        <v>55</v>
      </c>
      <c r="J145" t="s">
        <v>149</v>
      </c>
      <c r="K145" t="s">
        <v>23</v>
      </c>
      <c r="L145">
        <v>3783</v>
      </c>
      <c r="M145" s="4">
        <v>51.780549299999997</v>
      </c>
      <c r="N145" s="4">
        <v>-1.0853675939989094E-2</v>
      </c>
      <c r="O145" s="4">
        <v>-8.0768046531598817E-2</v>
      </c>
      <c r="P145" s="1" t="str">
        <f>HYPERLINK(".\sm_car_250620_2310\sm_car_250620_2310_144_Ca195TrN_MaMPK_DrSt_ode23t_1.png","figure")</f>
        <v>figure</v>
      </c>
      <c r="Q145" t="s">
        <v>15</v>
      </c>
    </row>
    <row r="146" spans="1:17" x14ac:dyDescent="0.25">
      <c r="A146">
        <v>145</v>
      </c>
      <c r="B146">
        <v>195</v>
      </c>
      <c r="C146" t="s">
        <v>45</v>
      </c>
      <c r="D146" t="s">
        <v>58</v>
      </c>
      <c r="E146" t="s">
        <v>107</v>
      </c>
      <c r="F146" t="s">
        <v>19</v>
      </c>
      <c r="G146" t="s">
        <v>26</v>
      </c>
      <c r="H146" t="s">
        <v>21</v>
      </c>
      <c r="I146" t="s">
        <v>56</v>
      </c>
      <c r="J146" t="s">
        <v>148</v>
      </c>
      <c r="K146" t="s">
        <v>23</v>
      </c>
      <c r="L146">
        <v>3223</v>
      </c>
      <c r="M146" s="4">
        <v>49.429185599999997</v>
      </c>
      <c r="N146" s="4">
        <v>0.78806091590815974</v>
      </c>
      <c r="O146" s="4">
        <v>-0.36436391303082472</v>
      </c>
      <c r="P146" s="1" t="str">
        <f>HYPERLINK(".\sm_car_250620_2310\sm_car_250620_2310_145_Ca195TrN_MaMPC_DrSt_ode23t_1.png","figure")</f>
        <v>figure</v>
      </c>
      <c r="Q146" t="s">
        <v>15</v>
      </c>
    </row>
    <row r="147" spans="1:17" x14ac:dyDescent="0.25">
      <c r="A147">
        <v>146</v>
      </c>
      <c r="B147">
        <v>195</v>
      </c>
      <c r="C147" t="s">
        <v>45</v>
      </c>
      <c r="D147" t="s">
        <v>58</v>
      </c>
      <c r="E147" t="s">
        <v>107</v>
      </c>
      <c r="F147" t="s">
        <v>19</v>
      </c>
      <c r="G147" t="s">
        <v>26</v>
      </c>
      <c r="H147" t="s">
        <v>21</v>
      </c>
      <c r="I147" t="s">
        <v>56</v>
      </c>
      <c r="J147" t="s">
        <v>149</v>
      </c>
      <c r="K147" t="s">
        <v>23</v>
      </c>
      <c r="L147">
        <v>3723</v>
      </c>
      <c r="M147" s="4">
        <v>52.017615399999997</v>
      </c>
      <c r="N147" s="4">
        <v>0.78881022246711119</v>
      </c>
      <c r="O147" s="4">
        <v>5.6175013737223946E-3</v>
      </c>
      <c r="P147" s="1" t="str">
        <f>HYPERLINK(".\sm_car_250620_2310\sm_car_250620_2310_146_Ca195TrN_MaMPC_DrSt_ode23t_1.png","figure")</f>
        <v>figure</v>
      </c>
      <c r="Q147" t="s">
        <v>15</v>
      </c>
    </row>
    <row r="148" spans="1:17" x14ac:dyDescent="0.25">
      <c r="A148">
        <v>147</v>
      </c>
      <c r="B148">
        <v>198</v>
      </c>
      <c r="C148" t="s">
        <v>105</v>
      </c>
      <c r="D148" t="s">
        <v>120</v>
      </c>
      <c r="E148" t="s">
        <v>107</v>
      </c>
      <c r="F148" t="s">
        <v>19</v>
      </c>
      <c r="G148" t="s">
        <v>20</v>
      </c>
      <c r="H148" t="s">
        <v>21</v>
      </c>
      <c r="I148" t="s">
        <v>55</v>
      </c>
      <c r="J148" t="s">
        <v>148</v>
      </c>
      <c r="K148" t="s">
        <v>23</v>
      </c>
      <c r="L148">
        <v>2137</v>
      </c>
      <c r="M148" s="4">
        <v>33.3041774</v>
      </c>
      <c r="N148" s="4">
        <v>-2.2229589565011476E-2</v>
      </c>
      <c r="O148" s="4">
        <v>-0.71911907553921184</v>
      </c>
      <c r="P148" s="1" t="str">
        <f>HYPERLINK(".\sm_car_250620_2310\sm_car_250620_2310_147_Ca198TrN_MaMPK_DrSt_ode23t_1.png","figure")</f>
        <v>figure</v>
      </c>
      <c r="Q148" t="s">
        <v>15</v>
      </c>
    </row>
    <row r="149" spans="1:17" x14ac:dyDescent="0.25">
      <c r="A149">
        <v>148</v>
      </c>
      <c r="B149">
        <v>198</v>
      </c>
      <c r="C149" t="s">
        <v>105</v>
      </c>
      <c r="D149" t="s">
        <v>120</v>
      </c>
      <c r="E149" t="s">
        <v>107</v>
      </c>
      <c r="F149" t="s">
        <v>19</v>
      </c>
      <c r="G149" t="s">
        <v>20</v>
      </c>
      <c r="H149" t="s">
        <v>21</v>
      </c>
      <c r="I149" t="s">
        <v>55</v>
      </c>
      <c r="J149" t="s">
        <v>149</v>
      </c>
      <c r="K149" t="s">
        <v>23</v>
      </c>
      <c r="L149">
        <v>2389</v>
      </c>
      <c r="M149" s="4">
        <v>37.136166699999997</v>
      </c>
      <c r="N149" s="4">
        <v>-1.3043836261557168E-3</v>
      </c>
      <c r="O149" s="4">
        <v>-2.4283886592438953E-2</v>
      </c>
      <c r="P149" s="1" t="str">
        <f>HYPERLINK(".\sm_car_250620_2310\sm_car_250620_2310_148_Ca198TrN_MaMPK_DrSt_ode23t_1.png","figure")</f>
        <v>figure</v>
      </c>
      <c r="Q149" t="s">
        <v>15</v>
      </c>
    </row>
    <row r="150" spans="1:17" x14ac:dyDescent="0.25">
      <c r="A150">
        <v>149</v>
      </c>
      <c r="B150">
        <v>198</v>
      </c>
      <c r="C150" t="s">
        <v>105</v>
      </c>
      <c r="D150" t="s">
        <v>120</v>
      </c>
      <c r="E150" t="s">
        <v>107</v>
      </c>
      <c r="F150" t="s">
        <v>19</v>
      </c>
      <c r="G150" t="s">
        <v>20</v>
      </c>
      <c r="H150" t="s">
        <v>21</v>
      </c>
      <c r="I150" t="s">
        <v>56</v>
      </c>
      <c r="J150" t="s">
        <v>148</v>
      </c>
      <c r="K150" t="s">
        <v>23</v>
      </c>
      <c r="L150">
        <v>2161</v>
      </c>
      <c r="M150" s="4">
        <v>35.362406</v>
      </c>
      <c r="N150" s="4">
        <v>0.78880512674993852</v>
      </c>
      <c r="O150" s="4">
        <v>-0.33735115407975708</v>
      </c>
      <c r="P150" s="1" t="str">
        <f>HYPERLINK(".\sm_car_250620_2310\sm_car_250620_2310_149_Ca198TrN_MaMPC_DrSt_ode23t_1.png","figure")</f>
        <v>figure</v>
      </c>
      <c r="Q150" t="s">
        <v>15</v>
      </c>
    </row>
    <row r="151" spans="1:17" x14ac:dyDescent="0.25">
      <c r="A151">
        <v>150</v>
      </c>
      <c r="B151">
        <v>198</v>
      </c>
      <c r="C151" t="s">
        <v>105</v>
      </c>
      <c r="D151" t="s">
        <v>120</v>
      </c>
      <c r="E151" t="s">
        <v>107</v>
      </c>
      <c r="F151" t="s">
        <v>19</v>
      </c>
      <c r="G151" t="s">
        <v>20</v>
      </c>
      <c r="H151" t="s">
        <v>21</v>
      </c>
      <c r="I151" t="s">
        <v>56</v>
      </c>
      <c r="J151" t="s">
        <v>149</v>
      </c>
      <c r="K151" t="s">
        <v>23</v>
      </c>
      <c r="L151">
        <v>2176</v>
      </c>
      <c r="M151" s="4">
        <v>36.756658700000003</v>
      </c>
      <c r="N151" s="4">
        <v>0.78349370638924754</v>
      </c>
      <c r="O151" s="4">
        <v>-0.10214684320919162</v>
      </c>
      <c r="P151" s="1" t="str">
        <f>HYPERLINK(".\sm_car_250620_2310\sm_car_250620_2310_150_Ca198TrN_MaMPC_DrSt_ode23t_1.png","figure")</f>
        <v>figure</v>
      </c>
      <c r="Q151" t="s">
        <v>15</v>
      </c>
    </row>
    <row r="152" spans="1:17" x14ac:dyDescent="0.25">
      <c r="A152">
        <v>151</v>
      </c>
      <c r="B152">
        <v>151</v>
      </c>
      <c r="C152" t="s">
        <v>16</v>
      </c>
      <c r="D152" t="s">
        <v>17</v>
      </c>
      <c r="E152" t="s">
        <v>18</v>
      </c>
      <c r="F152" t="s">
        <v>19</v>
      </c>
      <c r="G152" t="s">
        <v>59</v>
      </c>
      <c r="H152" t="s">
        <v>21</v>
      </c>
      <c r="I152" t="s">
        <v>24</v>
      </c>
      <c r="J152" t="s">
        <v>148</v>
      </c>
      <c r="K152" t="s">
        <v>23</v>
      </c>
      <c r="L152">
        <v>331</v>
      </c>
      <c r="M152" s="4">
        <v>10.9345409</v>
      </c>
      <c r="N152" s="4">
        <v>7.1602073802170398</v>
      </c>
      <c r="O152" s="4">
        <v>4.4654769467330498E-2</v>
      </c>
      <c r="P152" s="1" t="str">
        <f>HYPERLINK(".\sm_car_250620_2310\sm_car_250620_2310_151_Ca151TrN_MaLSS_DrSt_ode23t_1.png","figure")</f>
        <v>figure</v>
      </c>
      <c r="Q152" t="s">
        <v>15</v>
      </c>
    </row>
    <row r="153" spans="1:17" x14ac:dyDescent="0.25">
      <c r="A153">
        <v>152</v>
      </c>
      <c r="B153">
        <v>152</v>
      </c>
      <c r="C153" t="s">
        <v>16</v>
      </c>
      <c r="D153" t="s">
        <v>17</v>
      </c>
      <c r="E153" t="s">
        <v>18</v>
      </c>
      <c r="F153" t="s">
        <v>19</v>
      </c>
      <c r="G153" t="s">
        <v>60</v>
      </c>
      <c r="H153" t="s">
        <v>21</v>
      </c>
      <c r="I153" t="s">
        <v>24</v>
      </c>
      <c r="J153" t="s">
        <v>148</v>
      </c>
      <c r="K153" t="s">
        <v>23</v>
      </c>
      <c r="L153">
        <v>356</v>
      </c>
      <c r="M153" s="4">
        <v>9.7441899000000003</v>
      </c>
      <c r="N153" s="4">
        <v>7.1597545550883375</v>
      </c>
      <c r="O153" s="4">
        <v>2.4770428577402175E-2</v>
      </c>
      <c r="P153" s="1" t="str">
        <f>HYPERLINK(".\sm_car_250620_2310\sm_car_250620_2310_152_Ca152TrN_MaLSS_DrSt_ode23t_1.png","figure")</f>
        <v>figure</v>
      </c>
      <c r="Q153" t="s">
        <v>15</v>
      </c>
    </row>
    <row r="154" spans="1:17" x14ac:dyDescent="0.25">
      <c r="A154">
        <v>153</v>
      </c>
      <c r="B154">
        <v>153</v>
      </c>
      <c r="C154" t="s">
        <v>16</v>
      </c>
      <c r="D154" t="s">
        <v>17</v>
      </c>
      <c r="E154" t="s">
        <v>18</v>
      </c>
      <c r="F154" t="s">
        <v>19</v>
      </c>
      <c r="G154" t="s">
        <v>61</v>
      </c>
      <c r="H154" t="s">
        <v>21</v>
      </c>
      <c r="I154" t="s">
        <v>24</v>
      </c>
      <c r="J154" t="s">
        <v>148</v>
      </c>
      <c r="K154" t="s">
        <v>23</v>
      </c>
      <c r="L154">
        <v>359</v>
      </c>
      <c r="M154" s="4">
        <v>12.4326785</v>
      </c>
      <c r="N154" s="4">
        <v>7.1551685112865115</v>
      </c>
      <c r="O154" s="4">
        <v>4.1508012984297057E-2</v>
      </c>
      <c r="P154" s="1" t="str">
        <f>HYPERLINK(".\sm_car_250620_2310\sm_car_250620_2310_153_Ca153TrN_MaLSS_DrSt_ode23t_1.png","figure")</f>
        <v>figure</v>
      </c>
      <c r="Q154" t="s">
        <v>15</v>
      </c>
    </row>
    <row r="155" spans="1:17" x14ac:dyDescent="0.25">
      <c r="A155">
        <v>154</v>
      </c>
      <c r="B155">
        <v>154</v>
      </c>
      <c r="C155" t="s">
        <v>16</v>
      </c>
      <c r="D155" t="s">
        <v>17</v>
      </c>
      <c r="E155" t="s">
        <v>18</v>
      </c>
      <c r="F155" t="s">
        <v>19</v>
      </c>
      <c r="G155" t="s">
        <v>108</v>
      </c>
      <c r="H155" t="s">
        <v>21</v>
      </c>
      <c r="I155" t="s">
        <v>24</v>
      </c>
      <c r="J155" t="s">
        <v>148</v>
      </c>
      <c r="K155" t="s">
        <v>23</v>
      </c>
      <c r="L155">
        <v>308</v>
      </c>
      <c r="M155" s="4">
        <v>12.304174700000001</v>
      </c>
      <c r="N155" s="4">
        <v>7.1610123089537581</v>
      </c>
      <c r="O155" s="4">
        <v>1.6382109398295746E-2</v>
      </c>
      <c r="P155" s="1" t="str">
        <f>HYPERLINK(".\sm_car_250620_2310\sm_car_250620_2310_154_Ca154TrN_MaLSS_DrSt_ode23t_1.png","figure")</f>
        <v>figure</v>
      </c>
      <c r="Q155" t="s">
        <v>15</v>
      </c>
    </row>
    <row r="156" spans="1:17" x14ac:dyDescent="0.25">
      <c r="A156">
        <v>155</v>
      </c>
      <c r="B156">
        <v>155</v>
      </c>
      <c r="C156" t="s">
        <v>16</v>
      </c>
      <c r="D156" t="s">
        <v>17</v>
      </c>
      <c r="E156" t="s">
        <v>18</v>
      </c>
      <c r="F156" t="s">
        <v>19</v>
      </c>
      <c r="G156" t="s">
        <v>62</v>
      </c>
      <c r="H156" t="s">
        <v>21</v>
      </c>
      <c r="I156" t="s">
        <v>24</v>
      </c>
      <c r="J156" t="s">
        <v>148</v>
      </c>
      <c r="K156" t="s">
        <v>23</v>
      </c>
      <c r="L156">
        <v>360</v>
      </c>
      <c r="M156" s="4">
        <v>14.687754200000001</v>
      </c>
      <c r="N156" s="4">
        <v>7.1573045507398252</v>
      </c>
      <c r="O156" s="4">
        <v>3.7006523064208145E-2</v>
      </c>
      <c r="P156" s="1" t="str">
        <f>HYPERLINK(".\sm_car_250620_2310\sm_car_250620_2310_155_Ca155TrN_MaLSS_DrSt_ode23t_1.png","figure")</f>
        <v>figure</v>
      </c>
      <c r="Q156" t="s">
        <v>15</v>
      </c>
    </row>
    <row r="157" spans="1:17" x14ac:dyDescent="0.25">
      <c r="A157">
        <v>156</v>
      </c>
      <c r="B157">
        <v>4</v>
      </c>
      <c r="C157" t="s">
        <v>16</v>
      </c>
      <c r="D157" t="s">
        <v>17</v>
      </c>
      <c r="E157" t="s">
        <v>18</v>
      </c>
      <c r="F157" t="s">
        <v>28</v>
      </c>
      <c r="G157" t="s">
        <v>20</v>
      </c>
      <c r="H157" t="s">
        <v>21</v>
      </c>
      <c r="I157" t="s">
        <v>22</v>
      </c>
      <c r="J157" t="s">
        <v>148</v>
      </c>
      <c r="K157" t="s">
        <v>63</v>
      </c>
      <c r="L157">
        <v>2907</v>
      </c>
      <c r="M157" s="4">
        <v>11.62889</v>
      </c>
      <c r="N157" s="4">
        <v>7.5946392910475549</v>
      </c>
      <c r="O157" s="4">
        <v>-3.6845497966145319E-4</v>
      </c>
      <c r="P157" s="1" t="str">
        <f>HYPERLINK(".\sm_car_250620_2310\sm_car_250620_2310_156_Ca004TrN_MaWOT_DrSt_ode3_1.png","figure")</f>
        <v>figure</v>
      </c>
      <c r="Q157" t="s">
        <v>15</v>
      </c>
    </row>
    <row r="158" spans="1:17" x14ac:dyDescent="0.25">
      <c r="A158">
        <v>157</v>
      </c>
      <c r="B158">
        <v>4</v>
      </c>
      <c r="C158" t="s">
        <v>16</v>
      </c>
      <c r="D158" t="s">
        <v>17</v>
      </c>
      <c r="E158" t="s">
        <v>18</v>
      </c>
      <c r="F158" t="s">
        <v>28</v>
      </c>
      <c r="G158" t="s">
        <v>20</v>
      </c>
      <c r="H158" t="s">
        <v>21</v>
      </c>
      <c r="I158" t="s">
        <v>24</v>
      </c>
      <c r="J158" t="s">
        <v>148</v>
      </c>
      <c r="K158" t="s">
        <v>63</v>
      </c>
      <c r="L158">
        <v>2887</v>
      </c>
      <c r="M158" s="4">
        <v>11.117524299999999</v>
      </c>
      <c r="N158" s="4">
        <v>7.5741578615152658</v>
      </c>
      <c r="O158" s="4">
        <v>2.6601122699510156E-2</v>
      </c>
      <c r="P158" s="1" t="str">
        <f>HYPERLINK(".\sm_car_250620_2310\sm_car_250620_2310_157_Ca004TrN_MaLSS_DrSt_ode3_1.png","figure")</f>
        <v>figure</v>
      </c>
      <c r="Q158" t="s">
        <v>15</v>
      </c>
    </row>
    <row r="159" spans="1:17" x14ac:dyDescent="0.25">
      <c r="A159">
        <v>158</v>
      </c>
      <c r="B159">
        <v>4</v>
      </c>
      <c r="C159" t="s">
        <v>16</v>
      </c>
      <c r="D159" t="s">
        <v>17</v>
      </c>
      <c r="E159" t="s">
        <v>18</v>
      </c>
      <c r="F159" t="s">
        <v>28</v>
      </c>
      <c r="G159" t="s">
        <v>20</v>
      </c>
      <c r="H159" t="s">
        <v>21</v>
      </c>
      <c r="I159" t="s">
        <v>64</v>
      </c>
      <c r="J159" t="s">
        <v>148</v>
      </c>
      <c r="K159" t="s">
        <v>63</v>
      </c>
      <c r="L159">
        <v>2747</v>
      </c>
      <c r="M159" s="4">
        <v>11.142435300000001</v>
      </c>
      <c r="N159" s="4">
        <v>7.4669476321968862</v>
      </c>
      <c r="O159" s="4">
        <v>-0.23377728198923606</v>
      </c>
      <c r="P159" s="1" t="str">
        <f>HYPERLINK(".\sm_car_250620_2310\sm_car_250620_2310_158_Ca004TrN_MaTUR_DrSt_ode3_1.png","figure")</f>
        <v>figure</v>
      </c>
      <c r="Q159" t="s">
        <v>15</v>
      </c>
    </row>
    <row r="160" spans="1:17" x14ac:dyDescent="0.25">
      <c r="A160">
        <v>159</v>
      </c>
      <c r="B160">
        <v>116</v>
      </c>
      <c r="C160" t="s">
        <v>16</v>
      </c>
      <c r="D160" t="s">
        <v>35</v>
      </c>
      <c r="E160" t="s">
        <v>18</v>
      </c>
      <c r="F160" t="s">
        <v>28</v>
      </c>
      <c r="G160" t="s">
        <v>20</v>
      </c>
      <c r="H160" t="s">
        <v>21</v>
      </c>
      <c r="I160" t="s">
        <v>22</v>
      </c>
      <c r="J160" t="s">
        <v>148</v>
      </c>
      <c r="K160" t="s">
        <v>63</v>
      </c>
      <c r="L160">
        <v>2304</v>
      </c>
      <c r="M160" s="4">
        <v>5.5553581000000003</v>
      </c>
      <c r="N160" s="4">
        <v>7.2160007728318707</v>
      </c>
      <c r="O160" s="4">
        <v>-2.2823659674693531E-3</v>
      </c>
      <c r="P160" s="1" t="str">
        <f>HYPERLINK(".\sm_car_250620_2310\sm_car_250620_2310_159_Ca116TrN_MaWOT_DrSt_ode3_1.png","figure")</f>
        <v>figure</v>
      </c>
      <c r="Q160" t="s">
        <v>15</v>
      </c>
    </row>
    <row r="161" spans="1:17" x14ac:dyDescent="0.25">
      <c r="A161">
        <v>160</v>
      </c>
      <c r="B161">
        <v>116</v>
      </c>
      <c r="C161" t="s">
        <v>16</v>
      </c>
      <c r="D161" t="s">
        <v>35</v>
      </c>
      <c r="E161" t="s">
        <v>18</v>
      </c>
      <c r="F161" t="s">
        <v>28</v>
      </c>
      <c r="G161" t="s">
        <v>20</v>
      </c>
      <c r="H161" t="s">
        <v>21</v>
      </c>
      <c r="I161" t="s">
        <v>24</v>
      </c>
      <c r="J161" t="s">
        <v>148</v>
      </c>
      <c r="K161" t="s">
        <v>63</v>
      </c>
      <c r="L161">
        <v>2328</v>
      </c>
      <c r="M161" s="4">
        <v>5.7186608999999997</v>
      </c>
      <c r="N161" s="4">
        <v>7.2235734938517098</v>
      </c>
      <c r="O161" s="4">
        <v>1.3209391860048733E-2</v>
      </c>
      <c r="P161" s="1" t="str">
        <f>HYPERLINK(".\sm_car_250620_2310\sm_car_250620_2310_160_Ca116TrN_MaLSS_DrSt_ode3_1.png","figure")</f>
        <v>figure</v>
      </c>
      <c r="Q161" t="s">
        <v>15</v>
      </c>
    </row>
    <row r="162" spans="1:17" x14ac:dyDescent="0.25">
      <c r="A162">
        <v>161</v>
      </c>
      <c r="B162">
        <v>116</v>
      </c>
      <c r="C162" t="s">
        <v>16</v>
      </c>
      <c r="D162" t="s">
        <v>35</v>
      </c>
      <c r="E162" t="s">
        <v>18</v>
      </c>
      <c r="F162" t="s">
        <v>28</v>
      </c>
      <c r="G162" t="s">
        <v>20</v>
      </c>
      <c r="H162" t="s">
        <v>21</v>
      </c>
      <c r="I162" t="s">
        <v>64</v>
      </c>
      <c r="J162" t="s">
        <v>148</v>
      </c>
      <c r="K162" t="s">
        <v>63</v>
      </c>
      <c r="L162">
        <v>2342</v>
      </c>
      <c r="M162" s="4">
        <v>5.9464703999999999</v>
      </c>
      <c r="N162" s="4">
        <v>7.23329282650195</v>
      </c>
      <c r="O162" s="4">
        <v>-0.13452277666732493</v>
      </c>
      <c r="P162" s="1" t="str">
        <f>HYPERLINK(".\sm_car_250620_2310\sm_car_250620_2310_161_Ca116TrN_MaTUR_DrSt_ode3_1.png","figure")</f>
        <v>figure</v>
      </c>
      <c r="Q162" t="s">
        <v>15</v>
      </c>
    </row>
    <row r="163" spans="1:17" x14ac:dyDescent="0.25">
      <c r="A163">
        <v>162</v>
      </c>
      <c r="B163">
        <v>124</v>
      </c>
      <c r="C163" t="s">
        <v>16</v>
      </c>
      <c r="D163" t="s">
        <v>35</v>
      </c>
      <c r="E163" t="s">
        <v>49</v>
      </c>
      <c r="F163" t="s">
        <v>28</v>
      </c>
      <c r="G163" t="s">
        <v>20</v>
      </c>
      <c r="H163" t="s">
        <v>21</v>
      </c>
      <c r="I163" t="s">
        <v>22</v>
      </c>
      <c r="J163" t="s">
        <v>148</v>
      </c>
      <c r="K163" t="s">
        <v>63</v>
      </c>
      <c r="L163">
        <v>3669</v>
      </c>
      <c r="M163" s="4">
        <v>2.4548420000000002</v>
      </c>
      <c r="N163" s="4">
        <v>8.42670466793831</v>
      </c>
      <c r="O163" s="4">
        <v>-1.0879558334002822E-4</v>
      </c>
      <c r="P163" s="1" t="str">
        <f>HYPERLINK(".\sm_car_250620_2310\sm_car_250620_2310_162_Ca124TrN_MaWOT_DrSt_ode3_1.png","figure")</f>
        <v>figure</v>
      </c>
      <c r="Q163" t="s">
        <v>15</v>
      </c>
    </row>
    <row r="164" spans="1:17" x14ac:dyDescent="0.25">
      <c r="A164">
        <v>163</v>
      </c>
      <c r="B164">
        <v>124</v>
      </c>
      <c r="C164" t="s">
        <v>16</v>
      </c>
      <c r="D164" t="s">
        <v>35</v>
      </c>
      <c r="E164" t="s">
        <v>49</v>
      </c>
      <c r="F164" t="s">
        <v>28</v>
      </c>
      <c r="G164" t="s">
        <v>20</v>
      </c>
      <c r="H164" t="s">
        <v>21</v>
      </c>
      <c r="I164" t="s">
        <v>24</v>
      </c>
      <c r="J164" t="s">
        <v>148</v>
      </c>
      <c r="K164" t="s">
        <v>63</v>
      </c>
      <c r="L164">
        <v>3669</v>
      </c>
      <c r="M164" s="4">
        <v>2.3693132000000001</v>
      </c>
      <c r="N164" s="4">
        <v>8.4255043614959568</v>
      </c>
      <c r="O164" s="4">
        <v>1.8058817110800384E-2</v>
      </c>
      <c r="P164" s="1" t="str">
        <f>HYPERLINK(".\sm_car_250620_2310\sm_car_250620_2310_163_Ca124TrN_MaLSS_DrSt_ode3_1.png","figure")</f>
        <v>figure</v>
      </c>
      <c r="Q164" t="s">
        <v>15</v>
      </c>
    </row>
    <row r="165" spans="1:17" x14ac:dyDescent="0.25">
      <c r="A165">
        <v>164</v>
      </c>
      <c r="B165">
        <v>124</v>
      </c>
      <c r="C165" t="s">
        <v>16</v>
      </c>
      <c r="D165" t="s">
        <v>35</v>
      </c>
      <c r="E165" t="s">
        <v>49</v>
      </c>
      <c r="F165" t="s">
        <v>28</v>
      </c>
      <c r="G165" t="s">
        <v>20</v>
      </c>
      <c r="H165" t="s">
        <v>21</v>
      </c>
      <c r="I165" t="s">
        <v>64</v>
      </c>
      <c r="J165" t="s">
        <v>148</v>
      </c>
      <c r="K165" t="s">
        <v>63</v>
      </c>
      <c r="L165">
        <v>3669</v>
      </c>
      <c r="M165" s="4">
        <v>2.3061883000000001</v>
      </c>
      <c r="N165" s="4">
        <v>8.4213791374493265</v>
      </c>
      <c r="O165" s="4">
        <v>-0.2027458288433224</v>
      </c>
      <c r="P165" s="1" t="str">
        <f>HYPERLINK(".\sm_car_250620_2310\sm_car_250620_2310_164_Ca124TrN_MaTUR_DrSt_ode3_1.png","figure")</f>
        <v>figure</v>
      </c>
      <c r="Q165" t="s">
        <v>15</v>
      </c>
    </row>
    <row r="166" spans="1:17" x14ac:dyDescent="0.25">
      <c r="A166">
        <v>165</v>
      </c>
      <c r="B166">
        <v>141</v>
      </c>
      <c r="C166" t="s">
        <v>45</v>
      </c>
      <c r="D166" t="s">
        <v>17</v>
      </c>
      <c r="E166" t="s">
        <v>18</v>
      </c>
      <c r="F166" t="s">
        <v>28</v>
      </c>
      <c r="G166" t="s">
        <v>26</v>
      </c>
      <c r="H166" t="s">
        <v>21</v>
      </c>
      <c r="I166" t="s">
        <v>22</v>
      </c>
      <c r="J166" t="s">
        <v>148</v>
      </c>
      <c r="K166" t="s">
        <v>63</v>
      </c>
      <c r="L166">
        <v>2421</v>
      </c>
      <c r="M166" s="4">
        <v>10.909144</v>
      </c>
      <c r="N166" s="4">
        <v>6.5919287268185389</v>
      </c>
      <c r="O166" s="4">
        <v>4.588195136322291E-4</v>
      </c>
      <c r="P166" s="1" t="str">
        <f>HYPERLINK(".\sm_car_250620_2310\sm_car_250620_2310_165_Ca141TrN_MaWOT_DrSt_ode3_1.png","figure")</f>
        <v>figure</v>
      </c>
      <c r="Q166" t="s">
        <v>15</v>
      </c>
    </row>
    <row r="167" spans="1:17" x14ac:dyDescent="0.25">
      <c r="A167">
        <v>166</v>
      </c>
      <c r="B167">
        <v>141</v>
      </c>
      <c r="C167" t="s">
        <v>45</v>
      </c>
      <c r="D167" t="s">
        <v>17</v>
      </c>
      <c r="E167" t="s">
        <v>18</v>
      </c>
      <c r="F167" t="s">
        <v>28</v>
      </c>
      <c r="G167" t="s">
        <v>26</v>
      </c>
      <c r="H167" t="s">
        <v>21</v>
      </c>
      <c r="I167" t="s">
        <v>24</v>
      </c>
      <c r="J167" t="s">
        <v>148</v>
      </c>
      <c r="K167" t="s">
        <v>63</v>
      </c>
      <c r="L167">
        <v>2231</v>
      </c>
      <c r="M167" s="4">
        <v>10.10825</v>
      </c>
      <c r="N167" s="4">
        <v>6.4878427547050137</v>
      </c>
      <c r="O167" s="4">
        <v>2.4753043543429346E-2</v>
      </c>
      <c r="P167" s="1" t="str">
        <f>HYPERLINK(".\sm_car_250620_2310\sm_car_250620_2310_166_Ca141TrN_MaLSS_DrSt_ode3_1.png","figure")</f>
        <v>figure</v>
      </c>
      <c r="Q167" t="s">
        <v>15</v>
      </c>
    </row>
    <row r="168" spans="1:17" x14ac:dyDescent="0.25">
      <c r="A168">
        <v>167</v>
      </c>
      <c r="B168">
        <v>141</v>
      </c>
      <c r="C168" t="s">
        <v>45</v>
      </c>
      <c r="D168" t="s">
        <v>17</v>
      </c>
      <c r="E168" t="s">
        <v>18</v>
      </c>
      <c r="F168" t="s">
        <v>28</v>
      </c>
      <c r="G168" t="s">
        <v>26</v>
      </c>
      <c r="H168" t="s">
        <v>21</v>
      </c>
      <c r="I168" t="s">
        <v>64</v>
      </c>
      <c r="J168" t="s">
        <v>148</v>
      </c>
      <c r="K168" t="s">
        <v>63</v>
      </c>
      <c r="L168">
        <v>2231</v>
      </c>
      <c r="M168" s="4">
        <v>10.126016699999999</v>
      </c>
      <c r="N168" s="4">
        <v>6.4872551019131777</v>
      </c>
      <c r="O168" s="4">
        <v>-0.14420599025343558</v>
      </c>
      <c r="P168" s="1" t="str">
        <f>HYPERLINK(".\sm_car_250620_2310\sm_car_250620_2310_167_Ca141TrN_MaTUR_DrSt_ode3_1.png","figure")</f>
        <v>figure</v>
      </c>
      <c r="Q168" t="s">
        <v>15</v>
      </c>
    </row>
    <row r="169" spans="1:17" x14ac:dyDescent="0.25">
      <c r="A169">
        <v>168</v>
      </c>
      <c r="B169">
        <v>145</v>
      </c>
      <c r="C169" t="s">
        <v>46</v>
      </c>
      <c r="D169" t="s">
        <v>17</v>
      </c>
      <c r="E169" t="s">
        <v>50</v>
      </c>
      <c r="F169" t="s">
        <v>19</v>
      </c>
      <c r="G169" t="s">
        <v>26</v>
      </c>
      <c r="H169" t="s">
        <v>21</v>
      </c>
      <c r="I169" t="s">
        <v>22</v>
      </c>
      <c r="J169" t="s">
        <v>148</v>
      </c>
      <c r="K169" t="s">
        <v>63</v>
      </c>
      <c r="L169">
        <v>1001</v>
      </c>
      <c r="M169" s="4">
        <v>2.8438772000000001</v>
      </c>
      <c r="N169" s="4">
        <v>1.6795390008226034</v>
      </c>
      <c r="O169" s="4">
        <v>-1.7518042659629733E-3</v>
      </c>
      <c r="P169" s="1" t="str">
        <f>HYPERLINK(".\sm_car_250620_2310\sm_car_250620_2310_168_Ca145TrN_MaWOT_DrSt_ode3_1.png","figure")</f>
        <v>figure</v>
      </c>
      <c r="Q169" t="s">
        <v>15</v>
      </c>
    </row>
    <row r="170" spans="1:17" x14ac:dyDescent="0.25">
      <c r="A170">
        <v>169</v>
      </c>
      <c r="B170">
        <v>145</v>
      </c>
      <c r="C170" t="s">
        <v>46</v>
      </c>
      <c r="D170" t="s">
        <v>17</v>
      </c>
      <c r="E170" t="s">
        <v>50</v>
      </c>
      <c r="F170" t="s">
        <v>19</v>
      </c>
      <c r="G170" t="s">
        <v>26</v>
      </c>
      <c r="H170" t="s">
        <v>21</v>
      </c>
      <c r="I170" t="s">
        <v>24</v>
      </c>
      <c r="J170" t="s">
        <v>148</v>
      </c>
      <c r="K170" t="s">
        <v>63</v>
      </c>
      <c r="L170">
        <v>1001</v>
      </c>
      <c r="M170" s="4">
        <v>3.0514329999999998</v>
      </c>
      <c r="N170" s="4">
        <v>1.6798002064490261</v>
      </c>
      <c r="O170" s="4">
        <v>6.8596762319816304E-3</v>
      </c>
      <c r="P170" s="1" t="str">
        <f>HYPERLINK(".\sm_car_250620_2310\sm_car_250620_2310_169_Ca145TrN_MaLSS_DrSt_ode3_1.png","figure")</f>
        <v>figure</v>
      </c>
      <c r="Q170" t="s">
        <v>15</v>
      </c>
    </row>
    <row r="171" spans="1:17" x14ac:dyDescent="0.25">
      <c r="A171">
        <v>170</v>
      </c>
      <c r="B171">
        <v>145</v>
      </c>
      <c r="C171" t="s">
        <v>46</v>
      </c>
      <c r="D171" t="s">
        <v>17</v>
      </c>
      <c r="E171" t="s">
        <v>50</v>
      </c>
      <c r="F171" t="s">
        <v>19</v>
      </c>
      <c r="G171" t="s">
        <v>26</v>
      </c>
      <c r="H171" t="s">
        <v>21</v>
      </c>
      <c r="I171" t="s">
        <v>64</v>
      </c>
      <c r="J171" t="s">
        <v>148</v>
      </c>
      <c r="K171" t="s">
        <v>63</v>
      </c>
      <c r="L171">
        <v>1001</v>
      </c>
      <c r="M171" s="4">
        <v>2.9718342</v>
      </c>
      <c r="N171" s="4">
        <v>1.6795390008226034</v>
      </c>
      <c r="O171" s="4">
        <v>-1.7518042659629733E-3</v>
      </c>
      <c r="P171" s="1" t="str">
        <f>HYPERLINK(".\sm_car_250620_2310\sm_car_250620_2310_170_Ca145TrN_MaTUR_DrSt_ode3_1.png","figure")</f>
        <v>figure</v>
      </c>
      <c r="Q171" t="s">
        <v>15</v>
      </c>
    </row>
    <row r="172" spans="1:17" x14ac:dyDescent="0.25">
      <c r="A172">
        <v>171</v>
      </c>
      <c r="B172">
        <v>199</v>
      </c>
      <c r="C172" t="s">
        <v>46</v>
      </c>
      <c r="D172" t="s">
        <v>17</v>
      </c>
      <c r="E172" t="s">
        <v>109</v>
      </c>
      <c r="F172" t="s">
        <v>19</v>
      </c>
      <c r="G172" t="s">
        <v>26</v>
      </c>
      <c r="H172" t="s">
        <v>21</v>
      </c>
      <c r="I172" t="s">
        <v>22</v>
      </c>
      <c r="J172" t="s">
        <v>148</v>
      </c>
      <c r="K172" t="s">
        <v>63</v>
      </c>
      <c r="L172">
        <v>1001</v>
      </c>
      <c r="M172" s="4">
        <v>3.4502299999999999</v>
      </c>
      <c r="N172" s="4">
        <v>1.8250122348250821</v>
      </c>
      <c r="O172" s="4">
        <v>2.16768097330976E-3</v>
      </c>
      <c r="P172" s="1" t="str">
        <f>HYPERLINK(".\sm_car_250620_2310\sm_car_250620_2310_171_Ca199TrN_MaWOT_DrSt_ode3_1.png","figure")</f>
        <v>figure</v>
      </c>
      <c r="Q172" t="s">
        <v>15</v>
      </c>
    </row>
    <row r="173" spans="1:17" x14ac:dyDescent="0.25">
      <c r="A173">
        <v>172</v>
      </c>
      <c r="B173">
        <v>199</v>
      </c>
      <c r="C173" t="s">
        <v>46</v>
      </c>
      <c r="D173" t="s">
        <v>17</v>
      </c>
      <c r="E173" t="s">
        <v>109</v>
      </c>
      <c r="F173" t="s">
        <v>19</v>
      </c>
      <c r="G173" t="s">
        <v>26</v>
      </c>
      <c r="H173" t="s">
        <v>21</v>
      </c>
      <c r="I173" t="s">
        <v>24</v>
      </c>
      <c r="J173" t="s">
        <v>148</v>
      </c>
      <c r="K173" t="s">
        <v>63</v>
      </c>
      <c r="L173">
        <v>1001</v>
      </c>
      <c r="M173" s="4">
        <v>3.2688423000000002</v>
      </c>
      <c r="N173" s="4">
        <v>1.8253571262933788</v>
      </c>
      <c r="O173" s="4">
        <v>1.1211450660502624E-2</v>
      </c>
      <c r="P173" s="1" t="str">
        <f>HYPERLINK(".\sm_car_250620_2310\sm_car_250620_2310_172_Ca199TrN_MaLSS_DrSt_ode3_1.png","figure")</f>
        <v>figure</v>
      </c>
      <c r="Q173" t="s">
        <v>15</v>
      </c>
    </row>
    <row r="174" spans="1:17" x14ac:dyDescent="0.25">
      <c r="A174">
        <v>173</v>
      </c>
      <c r="B174">
        <v>199</v>
      </c>
      <c r="C174" t="s">
        <v>46</v>
      </c>
      <c r="D174" t="s">
        <v>17</v>
      </c>
      <c r="E174" t="s">
        <v>109</v>
      </c>
      <c r="F174" t="s">
        <v>19</v>
      </c>
      <c r="G174" t="s">
        <v>26</v>
      </c>
      <c r="H174" t="s">
        <v>21</v>
      </c>
      <c r="I174" t="s">
        <v>64</v>
      </c>
      <c r="J174" t="s">
        <v>148</v>
      </c>
      <c r="K174" t="s">
        <v>63</v>
      </c>
      <c r="L174">
        <v>1001</v>
      </c>
      <c r="M174" s="4">
        <v>3.2100601000000002</v>
      </c>
      <c r="N174" s="4">
        <v>1.8250122348250821</v>
      </c>
      <c r="O174" s="4">
        <v>2.16768097330976E-3</v>
      </c>
      <c r="P174" s="1" t="str">
        <f>HYPERLINK(".\sm_car_250620_2310\sm_car_250620_2310_173_Ca199TrN_MaTUR_DrSt_ode3_1.png","figure")</f>
        <v>figure</v>
      </c>
      <c r="Q174" t="s">
        <v>15</v>
      </c>
    </row>
    <row r="175" spans="1:17" x14ac:dyDescent="0.25">
      <c r="A175">
        <v>174</v>
      </c>
      <c r="B175">
        <v>139</v>
      </c>
      <c r="C175" t="s">
        <v>45</v>
      </c>
      <c r="D175" t="s">
        <v>17</v>
      </c>
      <c r="E175" t="s">
        <v>18</v>
      </c>
      <c r="F175" t="s">
        <v>19</v>
      </c>
      <c r="G175" t="s">
        <v>26</v>
      </c>
      <c r="H175" t="s">
        <v>21</v>
      </c>
      <c r="I175" t="s">
        <v>53</v>
      </c>
      <c r="J175" t="s">
        <v>148</v>
      </c>
      <c r="K175" t="s">
        <v>23</v>
      </c>
      <c r="L175">
        <v>537</v>
      </c>
      <c r="M175" s="4">
        <v>11.620034199999999</v>
      </c>
      <c r="N175" s="4">
        <v>255.19412336584986</v>
      </c>
      <c r="O175" s="4">
        <v>-6.3870752956174393E-3</v>
      </c>
      <c r="P175" s="1" t="str">
        <f>HYPERLINK(".\sm_car_250620_2310\sm_car_250620_2310_174_Ca139TrN_MaDLC_DrSt_ode23t_1.png","figure")</f>
        <v>figure</v>
      </c>
      <c r="Q175" t="s">
        <v>15</v>
      </c>
    </row>
    <row r="176" spans="1:17" x14ac:dyDescent="0.25">
      <c r="A176">
        <v>175</v>
      </c>
      <c r="B176">
        <v>139</v>
      </c>
      <c r="C176" t="s">
        <v>45</v>
      </c>
      <c r="D176" t="s">
        <v>17</v>
      </c>
      <c r="E176" t="s">
        <v>18</v>
      </c>
      <c r="F176" t="s">
        <v>19</v>
      </c>
      <c r="G176" t="s">
        <v>26</v>
      </c>
      <c r="H176" t="s">
        <v>65</v>
      </c>
      <c r="I176" t="s">
        <v>53</v>
      </c>
      <c r="J176" t="s">
        <v>148</v>
      </c>
      <c r="K176" t="s">
        <v>23</v>
      </c>
      <c r="L176">
        <v>887</v>
      </c>
      <c r="M176" s="4">
        <v>32.465309400000002</v>
      </c>
      <c r="N176" s="4">
        <v>253.18630009853001</v>
      </c>
      <c r="O176" s="4">
        <v>0.15921949708604943</v>
      </c>
      <c r="P176" s="1" t="str">
        <f>HYPERLINK(".\sm_car_250620_2310\sm_car_250620_2310_175_Ca139TrE_MaDLC_DrSt_ode23t_1.png","figure")</f>
        <v>figure</v>
      </c>
      <c r="Q176" t="s">
        <v>15</v>
      </c>
    </row>
    <row r="177" spans="1:17" x14ac:dyDescent="0.25">
      <c r="A177">
        <v>176</v>
      </c>
      <c r="B177">
        <v>139</v>
      </c>
      <c r="C177" t="s">
        <v>45</v>
      </c>
      <c r="D177" t="s">
        <v>17</v>
      </c>
      <c r="E177" t="s">
        <v>18</v>
      </c>
      <c r="F177" t="s">
        <v>19</v>
      </c>
      <c r="G177" t="s">
        <v>26</v>
      </c>
      <c r="H177" t="s">
        <v>66</v>
      </c>
      <c r="I177" t="s">
        <v>53</v>
      </c>
      <c r="J177" t="s">
        <v>148</v>
      </c>
      <c r="K177" t="s">
        <v>23</v>
      </c>
      <c r="L177">
        <v>913</v>
      </c>
      <c r="M177" s="4">
        <v>32.722290999999998</v>
      </c>
      <c r="N177" s="4">
        <v>254.41200023665937</v>
      </c>
      <c r="O177" s="4">
        <v>-6.7904604558108872E-3</v>
      </c>
      <c r="P177" s="1" t="str">
        <f>HYPERLINK(".\sm_car_250620_2310\sm_car_250620_2310_176_Ca139TrT_MaDLC_DrSt_ode23t_1.png","figure")</f>
        <v>figure</v>
      </c>
      <c r="Q177" t="s">
        <v>15</v>
      </c>
    </row>
    <row r="178" spans="1:17" x14ac:dyDescent="0.25">
      <c r="A178">
        <v>177</v>
      </c>
      <c r="B178">
        <v>139</v>
      </c>
      <c r="C178" t="s">
        <v>45</v>
      </c>
      <c r="D178" t="s">
        <v>17</v>
      </c>
      <c r="E178" t="s">
        <v>18</v>
      </c>
      <c r="F178" t="s">
        <v>19</v>
      </c>
      <c r="G178" t="s">
        <v>26</v>
      </c>
      <c r="H178" t="s">
        <v>65</v>
      </c>
      <c r="I178" t="s">
        <v>53</v>
      </c>
      <c r="J178" t="s">
        <v>148</v>
      </c>
      <c r="K178" t="s">
        <v>23</v>
      </c>
      <c r="L178">
        <v>733</v>
      </c>
      <c r="M178" s="4">
        <v>20.7510048</v>
      </c>
      <c r="N178" s="4">
        <v>253.25774590188229</v>
      </c>
      <c r="O178" s="4">
        <v>0.15762279373380927</v>
      </c>
      <c r="P178" s="1" t="str">
        <f>HYPERLINK(".\sm_car_250620_2310\sm_car_250620_2310_177_Ca139TrE_MaDLC_DrSt_ode23t_1.png","figure")</f>
        <v>figure</v>
      </c>
      <c r="Q178" t="s">
        <v>15</v>
      </c>
    </row>
    <row r="179" spans="1:17" x14ac:dyDescent="0.25">
      <c r="A179">
        <v>178</v>
      </c>
      <c r="B179">
        <v>2</v>
      </c>
      <c r="C179" t="s">
        <v>16</v>
      </c>
      <c r="D179" t="s">
        <v>17</v>
      </c>
      <c r="E179" t="s">
        <v>18</v>
      </c>
      <c r="F179" t="s">
        <v>19</v>
      </c>
      <c r="G179" t="s">
        <v>26</v>
      </c>
      <c r="H179" t="s">
        <v>21</v>
      </c>
      <c r="I179" t="s">
        <v>53</v>
      </c>
      <c r="J179" t="s">
        <v>148</v>
      </c>
      <c r="K179" t="s">
        <v>23</v>
      </c>
      <c r="L179">
        <v>540</v>
      </c>
      <c r="M179" s="4">
        <v>8.0253411000000003</v>
      </c>
      <c r="N179" s="4">
        <v>254.14162654866647</v>
      </c>
      <c r="O179" s="4">
        <v>4.4069811874901887E-2</v>
      </c>
      <c r="P179" s="1" t="str">
        <f>HYPERLINK(".\sm_car_250620_2310\sm_car_250620_2310_178_Ca002TrN_MaDLC_DrSt_ode23t_1.png","figure")</f>
        <v>figure</v>
      </c>
      <c r="Q179" t="s">
        <v>15</v>
      </c>
    </row>
    <row r="180" spans="1:17" x14ac:dyDescent="0.25">
      <c r="A180">
        <v>179</v>
      </c>
      <c r="B180">
        <v>2</v>
      </c>
      <c r="C180" t="s">
        <v>16</v>
      </c>
      <c r="D180" t="s">
        <v>17</v>
      </c>
      <c r="E180" t="s">
        <v>18</v>
      </c>
      <c r="F180" t="s">
        <v>19</v>
      </c>
      <c r="G180" t="s">
        <v>26</v>
      </c>
      <c r="H180" t="s">
        <v>65</v>
      </c>
      <c r="I180" t="s">
        <v>53</v>
      </c>
      <c r="J180" t="s">
        <v>148</v>
      </c>
      <c r="K180" t="s">
        <v>23</v>
      </c>
      <c r="L180">
        <v>584</v>
      </c>
      <c r="M180" s="4">
        <v>16.513518399999999</v>
      </c>
      <c r="N180" s="4">
        <v>253.19640215551601</v>
      </c>
      <c r="O180" s="4">
        <v>4.8184821273830281E-2</v>
      </c>
      <c r="P180" s="1" t="str">
        <f>HYPERLINK(".\sm_car_250620_2310\sm_car_250620_2310_179_Ca002TrE_MaDLC_DrSt_ode23t_1.png","figure")</f>
        <v>figure</v>
      </c>
      <c r="Q180" t="s">
        <v>15</v>
      </c>
    </row>
    <row r="181" spans="1:17" x14ac:dyDescent="0.25">
      <c r="A181">
        <v>180</v>
      </c>
      <c r="B181">
        <v>2</v>
      </c>
      <c r="C181" t="s">
        <v>16</v>
      </c>
      <c r="D181" t="s">
        <v>17</v>
      </c>
      <c r="E181" t="s">
        <v>18</v>
      </c>
      <c r="F181" t="s">
        <v>19</v>
      </c>
      <c r="G181" t="s">
        <v>26</v>
      </c>
      <c r="H181" t="s">
        <v>66</v>
      </c>
      <c r="I181" t="s">
        <v>53</v>
      </c>
      <c r="J181" t="s">
        <v>148</v>
      </c>
      <c r="K181" t="s">
        <v>23</v>
      </c>
      <c r="L181">
        <v>857</v>
      </c>
      <c r="M181" s="4">
        <v>23.780567399999999</v>
      </c>
      <c r="N181" s="4">
        <v>254.59528434125605</v>
      </c>
      <c r="O181" s="4">
        <v>4.2371302767798102E-2</v>
      </c>
      <c r="P181" s="1" t="str">
        <f>HYPERLINK(".\sm_car_250620_2310\sm_car_250620_2310_180_Ca002TrT_MaDLC_DrSt_ode23t_1.png","figure")</f>
        <v>figure</v>
      </c>
      <c r="Q181" t="s">
        <v>15</v>
      </c>
    </row>
    <row r="182" spans="1:17" x14ac:dyDescent="0.25">
      <c r="A182">
        <v>181</v>
      </c>
      <c r="B182">
        <v>2</v>
      </c>
      <c r="C182" t="s">
        <v>16</v>
      </c>
      <c r="D182" t="s">
        <v>17</v>
      </c>
      <c r="E182" t="s">
        <v>18</v>
      </c>
      <c r="F182" t="s">
        <v>19</v>
      </c>
      <c r="G182" t="s">
        <v>26</v>
      </c>
      <c r="H182" t="s">
        <v>65</v>
      </c>
      <c r="I182" t="s">
        <v>53</v>
      </c>
      <c r="J182" t="s">
        <v>148</v>
      </c>
      <c r="K182" t="s">
        <v>23</v>
      </c>
      <c r="L182">
        <v>583</v>
      </c>
      <c r="M182" s="4">
        <v>12.0912998</v>
      </c>
      <c r="N182" s="4">
        <v>253.93683401502136</v>
      </c>
      <c r="O182" s="4">
        <v>4.5243966735922569E-2</v>
      </c>
      <c r="P182" s="1" t="str">
        <f>HYPERLINK(".\sm_car_250620_2310\sm_car_250620_2310_181_Ca002TrE_MaDLC_DrSt_ode23t_1.png","figure")</f>
        <v>figure</v>
      </c>
      <c r="Q182" t="s">
        <v>15</v>
      </c>
    </row>
    <row r="183" spans="1:17" x14ac:dyDescent="0.25">
      <c r="A183">
        <v>182</v>
      </c>
      <c r="B183">
        <v>145</v>
      </c>
      <c r="C183" t="s">
        <v>46</v>
      </c>
      <c r="D183" t="s">
        <v>17</v>
      </c>
      <c r="E183" t="s">
        <v>50</v>
      </c>
      <c r="F183" t="s">
        <v>19</v>
      </c>
      <c r="G183" t="s">
        <v>26</v>
      </c>
      <c r="H183" t="s">
        <v>21</v>
      </c>
      <c r="I183" t="s">
        <v>53</v>
      </c>
      <c r="J183" t="s">
        <v>148</v>
      </c>
      <c r="K183" t="s">
        <v>23</v>
      </c>
      <c r="L183">
        <v>497</v>
      </c>
      <c r="M183" s="4">
        <v>17.394005799999999</v>
      </c>
      <c r="N183" s="4">
        <v>254.26789412411966</v>
      </c>
      <c r="O183" s="4">
        <v>7.3979018293693244E-2</v>
      </c>
      <c r="P183" s="1" t="str">
        <f>HYPERLINK(".\sm_car_250620_2310\sm_car_250620_2310_182_Ca145TrN_MaDLC_DrSt_ode23t_1.png","figure")</f>
        <v>figure</v>
      </c>
      <c r="Q183" t="s">
        <v>15</v>
      </c>
    </row>
    <row r="184" spans="1:17" x14ac:dyDescent="0.25">
      <c r="A184">
        <v>183</v>
      </c>
      <c r="B184">
        <v>145</v>
      </c>
      <c r="C184" t="s">
        <v>46</v>
      </c>
      <c r="D184" t="s">
        <v>17</v>
      </c>
      <c r="E184" t="s">
        <v>50</v>
      </c>
      <c r="F184" t="s">
        <v>19</v>
      </c>
      <c r="G184" t="s">
        <v>26</v>
      </c>
      <c r="H184" t="s">
        <v>65</v>
      </c>
      <c r="I184" t="s">
        <v>53</v>
      </c>
      <c r="J184" t="s">
        <v>148</v>
      </c>
      <c r="K184" t="s">
        <v>23</v>
      </c>
      <c r="L184">
        <v>602</v>
      </c>
      <c r="M184" s="4">
        <v>32.846484699999998</v>
      </c>
      <c r="N184" s="4">
        <v>253.62569486499308</v>
      </c>
      <c r="O184" s="4">
        <v>7.7341774176683309E-2</v>
      </c>
      <c r="P184" s="1" t="str">
        <f>HYPERLINK(".\sm_car_250620_2310\sm_car_250620_2310_183_Ca145TrE_MaDLC_DrSt_ode23t_1.png","figure")</f>
        <v>figure</v>
      </c>
      <c r="Q184" t="s">
        <v>15</v>
      </c>
    </row>
    <row r="185" spans="1:17" x14ac:dyDescent="0.25">
      <c r="A185">
        <v>184</v>
      </c>
      <c r="B185">
        <v>145</v>
      </c>
      <c r="C185" t="s">
        <v>46</v>
      </c>
      <c r="D185" t="s">
        <v>17</v>
      </c>
      <c r="E185" t="s">
        <v>50</v>
      </c>
      <c r="F185" t="s">
        <v>19</v>
      </c>
      <c r="G185" t="s">
        <v>26</v>
      </c>
      <c r="H185" t="s">
        <v>66</v>
      </c>
      <c r="I185" t="s">
        <v>53</v>
      </c>
      <c r="J185" t="s">
        <v>148</v>
      </c>
      <c r="K185" t="s">
        <v>23</v>
      </c>
      <c r="L185">
        <v>766</v>
      </c>
      <c r="M185" s="4">
        <v>42.407517200000001</v>
      </c>
      <c r="N185" s="4">
        <v>254.82711251468777</v>
      </c>
      <c r="O185" s="4">
        <v>7.1111246842175735E-2</v>
      </c>
      <c r="P185" s="1" t="str">
        <f>HYPERLINK(".\sm_car_250620_2310\sm_car_250620_2310_184_Ca145TrT_MaDLC_DrSt_ode23t_1.png","figure")</f>
        <v>figure</v>
      </c>
      <c r="Q185" t="s">
        <v>15</v>
      </c>
    </row>
    <row r="186" spans="1:17" x14ac:dyDescent="0.25">
      <c r="A186">
        <v>185</v>
      </c>
      <c r="B186">
        <v>145</v>
      </c>
      <c r="C186" t="s">
        <v>46</v>
      </c>
      <c r="D186" t="s">
        <v>17</v>
      </c>
      <c r="E186" t="s">
        <v>50</v>
      </c>
      <c r="F186" t="s">
        <v>19</v>
      </c>
      <c r="G186" t="s">
        <v>26</v>
      </c>
      <c r="H186" t="s">
        <v>65</v>
      </c>
      <c r="I186" t="s">
        <v>53</v>
      </c>
      <c r="J186" t="s">
        <v>148</v>
      </c>
      <c r="K186" t="s">
        <v>23</v>
      </c>
      <c r="L186">
        <v>600</v>
      </c>
      <c r="M186" s="4">
        <v>27.549460499999999</v>
      </c>
      <c r="N186" s="4">
        <v>253.92335421364936</v>
      </c>
      <c r="O186" s="4">
        <v>7.581190536915372E-2</v>
      </c>
      <c r="P186" s="1" t="str">
        <f>HYPERLINK(".\sm_car_250620_2310\sm_car_250620_2310_185_Ca145TrE_MaDLC_DrSt_ode23t_1.png","figure")</f>
        <v>figure</v>
      </c>
      <c r="Q186" t="s">
        <v>15</v>
      </c>
    </row>
    <row r="187" spans="1:17" x14ac:dyDescent="0.25">
      <c r="A187">
        <v>186</v>
      </c>
      <c r="B187">
        <v>199</v>
      </c>
      <c r="C187" t="s">
        <v>46</v>
      </c>
      <c r="D187" t="s">
        <v>17</v>
      </c>
      <c r="E187" t="s">
        <v>109</v>
      </c>
      <c r="F187" t="s">
        <v>19</v>
      </c>
      <c r="G187" t="s">
        <v>26</v>
      </c>
      <c r="H187" t="s">
        <v>21</v>
      </c>
      <c r="I187" t="s">
        <v>53</v>
      </c>
      <c r="J187" t="s">
        <v>148</v>
      </c>
      <c r="K187" t="s">
        <v>23</v>
      </c>
      <c r="L187">
        <v>506</v>
      </c>
      <c r="M187" s="4">
        <v>7.2068813</v>
      </c>
      <c r="N187" s="4">
        <v>255.18227271256711</v>
      </c>
      <c r="O187" s="4">
        <v>6.9404613605289711E-2</v>
      </c>
      <c r="P187" s="1" t="str">
        <f>HYPERLINK(".\sm_car_250620_2310\sm_car_250620_2310_186_Ca199TrN_MaDLC_DrSt_ode23t_1.png","figure")</f>
        <v>figure</v>
      </c>
      <c r="Q187" t="s">
        <v>15</v>
      </c>
    </row>
    <row r="188" spans="1:17" x14ac:dyDescent="0.25">
      <c r="A188">
        <v>187</v>
      </c>
      <c r="B188">
        <v>199</v>
      </c>
      <c r="C188" t="s">
        <v>46</v>
      </c>
      <c r="D188" t="s">
        <v>17</v>
      </c>
      <c r="E188" t="s">
        <v>109</v>
      </c>
      <c r="F188" t="s">
        <v>19</v>
      </c>
      <c r="G188" t="s">
        <v>26</v>
      </c>
      <c r="H188" t="s">
        <v>65</v>
      </c>
      <c r="I188" t="s">
        <v>53</v>
      </c>
      <c r="J188" t="s">
        <v>148</v>
      </c>
      <c r="K188" t="s">
        <v>23</v>
      </c>
      <c r="L188">
        <v>607</v>
      </c>
      <c r="M188" s="4">
        <v>17.363344000000001</v>
      </c>
      <c r="N188" s="4">
        <v>253.65154202474014</v>
      </c>
      <c r="O188" s="4">
        <v>7.7184353636335246E-2</v>
      </c>
      <c r="P188" s="1" t="str">
        <f>HYPERLINK(".\sm_car_250620_2310\sm_car_250620_2310_187_Ca199TrE_MaDLC_DrSt_ode23t_1.png","figure")</f>
        <v>figure</v>
      </c>
      <c r="Q188" t="s">
        <v>15</v>
      </c>
    </row>
    <row r="189" spans="1:17" x14ac:dyDescent="0.25">
      <c r="A189">
        <v>188</v>
      </c>
      <c r="B189">
        <v>199</v>
      </c>
      <c r="C189" t="s">
        <v>46</v>
      </c>
      <c r="D189" t="s">
        <v>17</v>
      </c>
      <c r="E189" t="s">
        <v>109</v>
      </c>
      <c r="F189" t="s">
        <v>19</v>
      </c>
      <c r="G189" t="s">
        <v>26</v>
      </c>
      <c r="H189" t="s">
        <v>66</v>
      </c>
      <c r="I189" t="s">
        <v>53</v>
      </c>
      <c r="J189" t="s">
        <v>148</v>
      </c>
      <c r="K189" t="s">
        <v>23</v>
      </c>
      <c r="L189">
        <v>751</v>
      </c>
      <c r="M189" s="4">
        <v>18.4748178</v>
      </c>
      <c r="N189" s="4">
        <v>253.93922444206731</v>
      </c>
      <c r="O189" s="4">
        <v>7.5701781859944806E-2</v>
      </c>
      <c r="P189" s="1" t="str">
        <f>HYPERLINK(".\sm_car_250620_2310\sm_car_250620_2310_188_Ca199TrT_MaDLC_DrSt_ode23t_1.png","figure")</f>
        <v>figure</v>
      </c>
      <c r="Q189" t="s">
        <v>15</v>
      </c>
    </row>
    <row r="190" spans="1:17" x14ac:dyDescent="0.25">
      <c r="A190">
        <v>189</v>
      </c>
      <c r="B190">
        <v>199</v>
      </c>
      <c r="C190" t="s">
        <v>46</v>
      </c>
      <c r="D190" t="s">
        <v>17</v>
      </c>
      <c r="E190" t="s">
        <v>109</v>
      </c>
      <c r="F190" t="s">
        <v>19</v>
      </c>
      <c r="G190" t="s">
        <v>26</v>
      </c>
      <c r="H190" t="s">
        <v>65</v>
      </c>
      <c r="I190" t="s">
        <v>53</v>
      </c>
      <c r="J190" t="s">
        <v>148</v>
      </c>
      <c r="K190" t="s">
        <v>23</v>
      </c>
      <c r="L190">
        <v>599</v>
      </c>
      <c r="M190" s="4">
        <v>12.413826800000001</v>
      </c>
      <c r="N190" s="4">
        <v>253.92241845834485</v>
      </c>
      <c r="O190" s="4">
        <v>7.5783211603981382E-2</v>
      </c>
      <c r="P190" s="1" t="str">
        <f>HYPERLINK(".\sm_car_250620_2310\sm_car_250620_2310_189_Ca199TrE_MaDLC_DrSt_ode23t_1.png","figure")</f>
        <v>figure</v>
      </c>
      <c r="Q190" t="s">
        <v>15</v>
      </c>
    </row>
    <row r="191" spans="1:17" x14ac:dyDescent="0.25">
      <c r="A191">
        <v>190</v>
      </c>
      <c r="B191">
        <v>189</v>
      </c>
      <c r="C191" t="s">
        <v>45</v>
      </c>
      <c r="D191" t="s">
        <v>17</v>
      </c>
      <c r="E191" t="s">
        <v>107</v>
      </c>
      <c r="F191" t="s">
        <v>19</v>
      </c>
      <c r="G191" t="s">
        <v>26</v>
      </c>
      <c r="H191" t="s">
        <v>65</v>
      </c>
      <c r="I191" t="s">
        <v>67</v>
      </c>
      <c r="J191" t="s">
        <v>148</v>
      </c>
      <c r="K191" t="s">
        <v>23</v>
      </c>
      <c r="L191">
        <v>410</v>
      </c>
      <c r="M191" s="4">
        <v>11.445763599999999</v>
      </c>
      <c r="N191" s="4">
        <v>261.54285397022426</v>
      </c>
      <c r="O191" s="4">
        <v>1.4033583840546981E-3</v>
      </c>
      <c r="P191" s="1" t="str">
        <f>HYPERLINK(".\sm_car_250620_2310\sm_car_250620_2310_190_Ca189TrE_MaTRD_DrSt_ode23t_1.png","figure")</f>
        <v>figure</v>
      </c>
      <c r="Q191" t="s">
        <v>15</v>
      </c>
    </row>
    <row r="192" spans="1:17" x14ac:dyDescent="0.25">
      <c r="A192">
        <v>191</v>
      </c>
      <c r="B192">
        <v>189</v>
      </c>
      <c r="C192" t="s">
        <v>45</v>
      </c>
      <c r="D192" t="s">
        <v>17</v>
      </c>
      <c r="E192" t="s">
        <v>107</v>
      </c>
      <c r="F192" t="s">
        <v>19</v>
      </c>
      <c r="G192" t="s">
        <v>26</v>
      </c>
      <c r="H192" t="s">
        <v>65</v>
      </c>
      <c r="I192" t="s">
        <v>67</v>
      </c>
      <c r="J192" t="s">
        <v>148</v>
      </c>
      <c r="K192" t="s">
        <v>23</v>
      </c>
      <c r="L192">
        <v>596</v>
      </c>
      <c r="M192" s="4">
        <v>12.643520000000001</v>
      </c>
      <c r="N192" s="4">
        <v>261.43539746321682</v>
      </c>
      <c r="O192" s="4">
        <v>-0.11004326173690826</v>
      </c>
      <c r="P192" s="1" t="str">
        <f>HYPERLINK(".\sm_car_250620_2310\sm_car_250620_2310_191_Ca189TrU_MaTRD_DrSt_ode23t_1.png","figure")</f>
        <v>figure</v>
      </c>
      <c r="Q192" t="s">
        <v>15</v>
      </c>
    </row>
    <row r="193" spans="1:17" x14ac:dyDescent="0.25">
      <c r="A193">
        <v>192</v>
      </c>
      <c r="B193">
        <v>149</v>
      </c>
      <c r="C193" t="s">
        <v>46</v>
      </c>
      <c r="D193" t="s">
        <v>17</v>
      </c>
      <c r="E193" t="s">
        <v>68</v>
      </c>
      <c r="F193" t="s">
        <v>19</v>
      </c>
      <c r="G193" t="s">
        <v>26</v>
      </c>
      <c r="H193" t="s">
        <v>21</v>
      </c>
      <c r="I193" t="s">
        <v>69</v>
      </c>
      <c r="J193" t="s">
        <v>148</v>
      </c>
      <c r="K193" t="s">
        <v>23</v>
      </c>
      <c r="L193">
        <v>669</v>
      </c>
      <c r="M193" s="4">
        <v>9.6257625999999998</v>
      </c>
      <c r="N193" s="4">
        <v>-5.8747693058971429E-3</v>
      </c>
      <c r="O193" s="4">
        <v>-3.5942483481082865E-4</v>
      </c>
      <c r="P193" s="1" t="str">
        <f>HYPERLINK(".\sm_car_250620_2310\sm_car_250620_2310_192_Ca149TrN_MaPST_DrSt_ode23t_1.png","figure")</f>
        <v>figure</v>
      </c>
      <c r="Q193" t="s">
        <v>15</v>
      </c>
    </row>
    <row r="194" spans="1:17" x14ac:dyDescent="0.25">
      <c r="A194">
        <v>193</v>
      </c>
      <c r="B194">
        <v>139</v>
      </c>
      <c r="C194" t="s">
        <v>45</v>
      </c>
      <c r="D194" t="s">
        <v>17</v>
      </c>
      <c r="E194" t="s">
        <v>18</v>
      </c>
      <c r="F194" t="s">
        <v>19</v>
      </c>
      <c r="G194" t="s">
        <v>26</v>
      </c>
      <c r="H194" t="s">
        <v>21</v>
      </c>
      <c r="I194" t="s">
        <v>70</v>
      </c>
      <c r="J194" t="s">
        <v>148</v>
      </c>
      <c r="K194" t="s">
        <v>23</v>
      </c>
      <c r="L194">
        <v>1595</v>
      </c>
      <c r="M194" s="4">
        <v>39.611834299999998</v>
      </c>
      <c r="N194" s="4">
        <v>36.507591708128366</v>
      </c>
      <c r="O194" s="4">
        <v>0.2374950590909149</v>
      </c>
      <c r="P194" s="1" t="str">
        <f>HYPERLINK(".\sm_car_250620_2310\sm_car_250620_2310_193_Ca139TrN_MaSKD_DrSt_ode23t_1.png","figure")</f>
        <v>figure</v>
      </c>
      <c r="Q194" t="s">
        <v>15</v>
      </c>
    </row>
    <row r="195" spans="1:17" x14ac:dyDescent="0.25">
      <c r="A195">
        <v>194</v>
      </c>
      <c r="B195">
        <v>139</v>
      </c>
      <c r="C195" t="s">
        <v>45</v>
      </c>
      <c r="D195" t="s">
        <v>17</v>
      </c>
      <c r="E195" t="s">
        <v>18</v>
      </c>
      <c r="F195" t="s">
        <v>19</v>
      </c>
      <c r="G195" t="s">
        <v>26</v>
      </c>
      <c r="H195" t="s">
        <v>21</v>
      </c>
      <c r="I195" t="s">
        <v>71</v>
      </c>
      <c r="J195" t="s">
        <v>148</v>
      </c>
      <c r="K195" t="s">
        <v>23</v>
      </c>
      <c r="L195">
        <v>919</v>
      </c>
      <c r="M195" s="4">
        <v>24.7486669</v>
      </c>
      <c r="N195" s="4">
        <v>8.9387843079205354</v>
      </c>
      <c r="O195" s="4">
        <v>29.646143170846944</v>
      </c>
      <c r="P195" s="1" t="str">
        <f>HYPERLINK(".\sm_car_250620_2310\sm_car_250620_2310_194_Ca139TrN_MaRAD_DrSt_ode23t_1.png","figure")</f>
        <v>figure</v>
      </c>
      <c r="Q195" t="s">
        <v>15</v>
      </c>
    </row>
    <row r="196" spans="1:17" x14ac:dyDescent="0.25">
      <c r="A196">
        <v>195</v>
      </c>
      <c r="B196">
        <v>184</v>
      </c>
      <c r="C196" t="s">
        <v>105</v>
      </c>
      <c r="D196" t="s">
        <v>120</v>
      </c>
      <c r="E196" t="s">
        <v>49</v>
      </c>
      <c r="F196" t="s">
        <v>19</v>
      </c>
      <c r="G196" t="s">
        <v>20</v>
      </c>
      <c r="H196" t="s">
        <v>21</v>
      </c>
      <c r="I196" t="s">
        <v>70</v>
      </c>
      <c r="J196" t="s">
        <v>148</v>
      </c>
      <c r="K196" t="s">
        <v>23</v>
      </c>
      <c r="L196">
        <v>1357</v>
      </c>
      <c r="M196" s="4">
        <v>51.262379899999999</v>
      </c>
      <c r="N196" s="4">
        <v>36.40500916903315</v>
      </c>
      <c r="O196" s="4">
        <v>0.17349037356698063</v>
      </c>
      <c r="P196" s="1" t="str">
        <f>HYPERLINK(".\sm_car_250620_2310\sm_car_250620_2310_195_Ca184TrN_MaSKD_DrSt_ode23t_1.png","figure")</f>
        <v>figure</v>
      </c>
      <c r="Q196" t="s">
        <v>15</v>
      </c>
    </row>
    <row r="197" spans="1:17" x14ac:dyDescent="0.25">
      <c r="A197">
        <v>196</v>
      </c>
      <c r="B197">
        <v>184</v>
      </c>
      <c r="C197" t="s">
        <v>105</v>
      </c>
      <c r="D197" t="s">
        <v>120</v>
      </c>
      <c r="E197" t="s">
        <v>49</v>
      </c>
      <c r="F197" t="s">
        <v>19</v>
      </c>
      <c r="G197" t="s">
        <v>20</v>
      </c>
      <c r="H197" t="s">
        <v>21</v>
      </c>
      <c r="I197" t="s">
        <v>71</v>
      </c>
      <c r="J197" t="s">
        <v>148</v>
      </c>
      <c r="K197" t="s">
        <v>23</v>
      </c>
      <c r="L197">
        <v>613</v>
      </c>
      <c r="M197" s="4">
        <v>22.295518099999999</v>
      </c>
      <c r="N197" s="4">
        <v>23.223917372225507</v>
      </c>
      <c r="O197" s="4">
        <v>28.832237651713804</v>
      </c>
      <c r="P197" s="1" t="str">
        <f>HYPERLINK(".\sm_car_250620_2310\sm_car_250620_2310_196_Ca184TrN_MaRAD_DrSt_ode23t_1.png","figure")</f>
        <v>figure</v>
      </c>
      <c r="Q197" t="s">
        <v>15</v>
      </c>
    </row>
    <row r="198" spans="1:17" x14ac:dyDescent="0.25">
      <c r="A198">
        <v>197</v>
      </c>
      <c r="B198">
        <v>198</v>
      </c>
      <c r="C198" t="s">
        <v>105</v>
      </c>
      <c r="D198" t="s">
        <v>120</v>
      </c>
      <c r="E198" t="s">
        <v>107</v>
      </c>
      <c r="F198" t="s">
        <v>19</v>
      </c>
      <c r="G198" t="s">
        <v>20</v>
      </c>
      <c r="H198" t="s">
        <v>21</v>
      </c>
      <c r="I198" t="s">
        <v>70</v>
      </c>
      <c r="J198" t="s">
        <v>148</v>
      </c>
      <c r="K198" t="s">
        <v>23</v>
      </c>
      <c r="L198">
        <v>1434</v>
      </c>
      <c r="M198" s="4">
        <v>31.260767399999999</v>
      </c>
      <c r="N198" s="4">
        <v>36.394073246643991</v>
      </c>
      <c r="O198" s="4">
        <v>0.17379048400839753</v>
      </c>
      <c r="P198" s="1" t="str">
        <f>HYPERLINK(".\sm_car_250620_2310\sm_car_250620_2310_197_Ca198TrN_MaSKD_DrSt_ode23t_1.png","figure")</f>
        <v>figure</v>
      </c>
      <c r="Q198" t="s">
        <v>15</v>
      </c>
    </row>
    <row r="199" spans="1:17" x14ac:dyDescent="0.25">
      <c r="A199">
        <v>198</v>
      </c>
      <c r="B199">
        <v>198</v>
      </c>
      <c r="C199" t="s">
        <v>105</v>
      </c>
      <c r="D199" t="s">
        <v>120</v>
      </c>
      <c r="E199" t="s">
        <v>107</v>
      </c>
      <c r="F199" t="s">
        <v>19</v>
      </c>
      <c r="G199" t="s">
        <v>20</v>
      </c>
      <c r="H199" t="s">
        <v>21</v>
      </c>
      <c r="I199" t="s">
        <v>71</v>
      </c>
      <c r="J199" t="s">
        <v>148</v>
      </c>
      <c r="K199" t="s">
        <v>23</v>
      </c>
      <c r="L199">
        <v>635</v>
      </c>
      <c r="M199" s="4">
        <v>13.438769799999999</v>
      </c>
      <c r="N199" s="4">
        <v>23.169112281917762</v>
      </c>
      <c r="O199" s="4">
        <v>28.817108194443559</v>
      </c>
      <c r="P199" s="1" t="str">
        <f>HYPERLINK(".\sm_car_250620_2310\sm_car_250620_2310_198_Ca198TrN_MaRAD_DrSt_ode23t_1.png","figure")</f>
        <v>figure</v>
      </c>
      <c r="Q199" t="s">
        <v>15</v>
      </c>
    </row>
    <row r="200" spans="1:17" x14ac:dyDescent="0.25">
      <c r="A200">
        <v>199</v>
      </c>
      <c r="B200">
        <v>189</v>
      </c>
      <c r="C200" t="s">
        <v>45</v>
      </c>
      <c r="D200" t="s">
        <v>17</v>
      </c>
      <c r="E200" t="s">
        <v>107</v>
      </c>
      <c r="F200" t="s">
        <v>19</v>
      </c>
      <c r="G200" t="s">
        <v>26</v>
      </c>
      <c r="H200" t="s">
        <v>21</v>
      </c>
      <c r="I200" t="s">
        <v>132</v>
      </c>
      <c r="J200" t="s">
        <v>148</v>
      </c>
      <c r="K200" t="s">
        <v>23</v>
      </c>
      <c r="L200">
        <v>685</v>
      </c>
      <c r="M200" s="4">
        <v>10.770045</v>
      </c>
      <c r="N200" s="4">
        <v>120.17269962243893</v>
      </c>
      <c r="O200" s="4">
        <v>-15.837916212047894</v>
      </c>
      <c r="P200" s="1" t="str">
        <f>HYPERLINK(".\sm_car_250620_2310\sm_car_250620_2310_199_Ca189TrN_MaFSH_DrSt_ode23t_1.png","figure")</f>
        <v>figure</v>
      </c>
      <c r="Q200" t="s">
        <v>15</v>
      </c>
    </row>
    <row r="201" spans="1:17" x14ac:dyDescent="0.25">
      <c r="A201">
        <v>200</v>
      </c>
      <c r="B201">
        <v>189</v>
      </c>
      <c r="C201" t="s">
        <v>45</v>
      </c>
      <c r="D201" t="s">
        <v>17</v>
      </c>
      <c r="E201" t="s">
        <v>107</v>
      </c>
      <c r="F201" t="s">
        <v>19</v>
      </c>
      <c r="G201" t="s">
        <v>26</v>
      </c>
      <c r="H201" t="s">
        <v>21</v>
      </c>
      <c r="I201" t="s">
        <v>133</v>
      </c>
      <c r="J201" t="s">
        <v>148</v>
      </c>
      <c r="K201" t="s">
        <v>23</v>
      </c>
      <c r="L201">
        <v>499</v>
      </c>
      <c r="M201" s="4">
        <v>6.9873111999999997</v>
      </c>
      <c r="N201" s="4">
        <v>117.03452598256787</v>
      </c>
      <c r="O201" s="4">
        <v>-9.449018346555679</v>
      </c>
      <c r="P201" s="1" t="str">
        <f>HYPERLINK(".\sm_car_250620_2310\sm_car_250620_2310_200_Ca189TrN_MaSWD_DrSt_ode23t_1.png","figure")</f>
        <v>figure</v>
      </c>
      <c r="Q201" t="s">
        <v>15</v>
      </c>
    </row>
    <row r="202" spans="1:17" x14ac:dyDescent="0.25">
      <c r="A202">
        <v>201</v>
      </c>
      <c r="B202">
        <v>189</v>
      </c>
      <c r="C202" t="s">
        <v>45</v>
      </c>
      <c r="D202" t="s">
        <v>17</v>
      </c>
      <c r="E202" t="s">
        <v>107</v>
      </c>
      <c r="F202" t="s">
        <v>19</v>
      </c>
      <c r="G202" t="s">
        <v>26</v>
      </c>
      <c r="H202" t="s">
        <v>21</v>
      </c>
      <c r="I202" t="s">
        <v>134</v>
      </c>
      <c r="J202" t="s">
        <v>148</v>
      </c>
      <c r="K202" t="s">
        <v>23</v>
      </c>
      <c r="L202">
        <v>496</v>
      </c>
      <c r="M202" s="4">
        <v>8.1479803000000004</v>
      </c>
      <c r="N202" s="4">
        <v>100.65800581694914</v>
      </c>
      <c r="O202" s="4">
        <v>18.072003872363062</v>
      </c>
      <c r="P202" s="1" t="str">
        <f>HYPERLINK(".\sm_car_250620_2310\sm_car_250620_2310_201_Ca189TrN_MaRST_DrSt_ode23t_1.png","figure")</f>
        <v>figure</v>
      </c>
      <c r="Q202" t="s">
        <v>15</v>
      </c>
    </row>
    <row r="203" spans="1:17" x14ac:dyDescent="0.25">
      <c r="A203">
        <v>202</v>
      </c>
      <c r="B203">
        <v>189</v>
      </c>
      <c r="C203" t="s">
        <v>45</v>
      </c>
      <c r="D203" t="s">
        <v>17</v>
      </c>
      <c r="E203" t="s">
        <v>107</v>
      </c>
      <c r="F203" t="s">
        <v>19</v>
      </c>
      <c r="G203" t="s">
        <v>26</v>
      </c>
      <c r="H203" t="s">
        <v>21</v>
      </c>
      <c r="I203" t="s">
        <v>135</v>
      </c>
      <c r="J203" t="s">
        <v>148</v>
      </c>
      <c r="K203" t="s">
        <v>23</v>
      </c>
      <c r="L203">
        <v>585</v>
      </c>
      <c r="M203" s="4">
        <v>19.223089600000002</v>
      </c>
      <c r="N203" s="4">
        <v>216.40853394198047</v>
      </c>
      <c r="O203" s="4">
        <v>0.21774823379038066</v>
      </c>
      <c r="P203" s="1" t="str">
        <f>HYPERLINK(".\sm_car_250620_2310\sm_car_250620_2310_202_Ca189TrN_MaSLA_DrSt_ode23t_1.png","figure")</f>
        <v>figure</v>
      </c>
      <c r="Q203" t="s">
        <v>15</v>
      </c>
    </row>
    <row r="204" spans="1:17" x14ac:dyDescent="0.25">
      <c r="A204">
        <v>203</v>
      </c>
      <c r="B204">
        <v>218</v>
      </c>
      <c r="C204" t="s">
        <v>16</v>
      </c>
      <c r="D204" t="s">
        <v>128</v>
      </c>
      <c r="E204" t="s">
        <v>107</v>
      </c>
      <c r="F204" t="s">
        <v>19</v>
      </c>
      <c r="G204" t="s">
        <v>26</v>
      </c>
      <c r="H204" t="s">
        <v>21</v>
      </c>
      <c r="I204" t="s">
        <v>132</v>
      </c>
      <c r="J204" t="s">
        <v>148</v>
      </c>
      <c r="K204" t="s">
        <v>23</v>
      </c>
      <c r="L204">
        <v>691</v>
      </c>
      <c r="M204" s="4">
        <v>8.2818485000000006</v>
      </c>
      <c r="N204" s="4">
        <v>90.774663200803772</v>
      </c>
      <c r="O204" s="4">
        <v>-22.066905817019808</v>
      </c>
      <c r="P204" s="1" t="str">
        <f>HYPERLINK(".\sm_car_250620_2310\sm_car_250620_2310_203_Ca218TrN_MaFSH_DrSt_ode23t_1.png","figure")</f>
        <v>figure</v>
      </c>
      <c r="Q204" t="s">
        <v>15</v>
      </c>
    </row>
    <row r="205" spans="1:17" x14ac:dyDescent="0.25">
      <c r="A205">
        <v>204</v>
      </c>
      <c r="B205">
        <v>218</v>
      </c>
      <c r="C205" t="s">
        <v>16</v>
      </c>
      <c r="D205" t="s">
        <v>128</v>
      </c>
      <c r="E205" t="s">
        <v>107</v>
      </c>
      <c r="F205" t="s">
        <v>19</v>
      </c>
      <c r="G205" t="s">
        <v>26</v>
      </c>
      <c r="H205" t="s">
        <v>21</v>
      </c>
      <c r="I205" t="s">
        <v>133</v>
      </c>
      <c r="J205" t="s">
        <v>148</v>
      </c>
      <c r="K205" t="s">
        <v>23</v>
      </c>
      <c r="L205">
        <v>530</v>
      </c>
      <c r="M205" s="4">
        <v>6.5272297000000004</v>
      </c>
      <c r="N205" s="4">
        <v>125.53623406010414</v>
      </c>
      <c r="O205" s="4">
        <v>-8.4226647909531138</v>
      </c>
      <c r="P205" s="1" t="str">
        <f>HYPERLINK(".\sm_car_250620_2310\sm_car_250620_2310_204_Ca218TrN_MaSWD_DrSt_ode23t_1.png","figure")</f>
        <v>figure</v>
      </c>
      <c r="Q205" t="s">
        <v>15</v>
      </c>
    </row>
    <row r="206" spans="1:17" x14ac:dyDescent="0.25">
      <c r="A206">
        <v>205</v>
      </c>
      <c r="B206">
        <v>218</v>
      </c>
      <c r="C206" t="s">
        <v>16</v>
      </c>
      <c r="D206" t="s">
        <v>128</v>
      </c>
      <c r="E206" t="s">
        <v>107</v>
      </c>
      <c r="F206" t="s">
        <v>19</v>
      </c>
      <c r="G206" t="s">
        <v>26</v>
      </c>
      <c r="H206" t="s">
        <v>21</v>
      </c>
      <c r="I206" t="s">
        <v>134</v>
      </c>
      <c r="J206" t="s">
        <v>148</v>
      </c>
      <c r="K206" t="s">
        <v>23</v>
      </c>
      <c r="L206">
        <v>448</v>
      </c>
      <c r="M206" s="4">
        <v>5.4630096000000004</v>
      </c>
      <c r="N206" s="4">
        <v>90.815333542007863</v>
      </c>
      <c r="O206" s="4">
        <v>29.145745964707427</v>
      </c>
      <c r="P206" s="1" t="str">
        <f>HYPERLINK(".\sm_car_250620_2310\sm_car_250620_2310_205_Ca218TrN_MaRST_DrSt_ode23t_1.png","figure")</f>
        <v>figure</v>
      </c>
      <c r="Q206" t="s">
        <v>15</v>
      </c>
    </row>
    <row r="207" spans="1:17" x14ac:dyDescent="0.25">
      <c r="A207">
        <v>206</v>
      </c>
      <c r="B207">
        <v>218</v>
      </c>
      <c r="C207" t="s">
        <v>16</v>
      </c>
      <c r="D207" t="s">
        <v>128</v>
      </c>
      <c r="E207" t="s">
        <v>107</v>
      </c>
      <c r="F207" t="s">
        <v>19</v>
      </c>
      <c r="G207" t="s">
        <v>26</v>
      </c>
      <c r="H207" t="s">
        <v>21</v>
      </c>
      <c r="I207" t="s">
        <v>135</v>
      </c>
      <c r="J207" t="s">
        <v>148</v>
      </c>
      <c r="K207" t="s">
        <v>23</v>
      </c>
      <c r="L207">
        <v>694</v>
      </c>
      <c r="M207" s="4">
        <v>17.5459259</v>
      </c>
      <c r="N207" s="4">
        <v>215.60359786437937</v>
      </c>
      <c r="O207" s="4">
        <v>0.18159056485434508</v>
      </c>
      <c r="P207" s="1" t="str">
        <f>HYPERLINK(".\sm_car_250620_2310\sm_car_250620_2310_206_Ca218TrN_MaSLA_DrSt_ode23t_1.png","figure")</f>
        <v>figure</v>
      </c>
      <c r="Q207" t="s">
        <v>15</v>
      </c>
    </row>
    <row r="208" spans="1:17" x14ac:dyDescent="0.25">
      <c r="A208">
        <v>207</v>
      </c>
      <c r="B208">
        <v>156</v>
      </c>
      <c r="C208" t="s">
        <v>45</v>
      </c>
      <c r="D208" t="s">
        <v>17</v>
      </c>
      <c r="E208" t="s">
        <v>18</v>
      </c>
      <c r="F208" t="s">
        <v>19</v>
      </c>
      <c r="G208" t="s">
        <v>38</v>
      </c>
      <c r="H208" t="s">
        <v>21</v>
      </c>
      <c r="I208" t="s">
        <v>54</v>
      </c>
      <c r="K208" t="s">
        <v>23</v>
      </c>
      <c r="L208">
        <v>3137</v>
      </c>
      <c r="M208" s="4">
        <v>98.269352600000005</v>
      </c>
      <c r="N208" s="4">
        <v>0.16904542222127716</v>
      </c>
      <c r="O208" s="4">
        <v>1.4304320871266654E-5</v>
      </c>
      <c r="P208" s="1" t="str">
        <f>HYPERLINK(".\sm_car_250620_2310\sm_car_250620_2310_207_Ca156TrN_MaIPA_ode23t.png","figure")</f>
        <v>figure</v>
      </c>
      <c r="Q208" t="s">
        <v>15</v>
      </c>
    </row>
    <row r="209" spans="1:17" x14ac:dyDescent="0.25">
      <c r="A209">
        <v>208</v>
      </c>
      <c r="B209">
        <v>130</v>
      </c>
      <c r="C209" t="s">
        <v>16</v>
      </c>
      <c r="D209" t="s">
        <v>17</v>
      </c>
      <c r="E209" t="s">
        <v>18</v>
      </c>
      <c r="F209" t="s">
        <v>19</v>
      </c>
      <c r="G209" t="s">
        <v>38</v>
      </c>
      <c r="H209" t="s">
        <v>21</v>
      </c>
      <c r="I209" t="s">
        <v>54</v>
      </c>
      <c r="K209" t="s">
        <v>23</v>
      </c>
      <c r="L209">
        <v>2125</v>
      </c>
      <c r="M209" s="4">
        <v>59.126950299999997</v>
      </c>
      <c r="N209" s="4">
        <v>0.21849286010856162</v>
      </c>
      <c r="O209" s="4">
        <v>-2.3634948138143434E-5</v>
      </c>
      <c r="P209" s="1" t="str">
        <f>HYPERLINK(".\sm_car_250620_2310\sm_car_250620_2310_208_Ca130TrN_MaIPA_ode23t.png","figure")</f>
        <v>figure</v>
      </c>
      <c r="Q209" t="s">
        <v>15</v>
      </c>
    </row>
    <row r="210" spans="1:17" x14ac:dyDescent="0.25">
      <c r="A210">
        <v>209</v>
      </c>
      <c r="B210">
        <v>171</v>
      </c>
      <c r="C210" t="s">
        <v>45</v>
      </c>
      <c r="D210" t="s">
        <v>17</v>
      </c>
      <c r="E210" t="s">
        <v>72</v>
      </c>
      <c r="F210" t="s">
        <v>19</v>
      </c>
      <c r="G210" t="s">
        <v>26</v>
      </c>
      <c r="H210" t="s">
        <v>21</v>
      </c>
      <c r="I210" t="s">
        <v>73</v>
      </c>
      <c r="J210" t="s">
        <v>148</v>
      </c>
      <c r="K210" t="s">
        <v>23</v>
      </c>
      <c r="L210">
        <v>205</v>
      </c>
      <c r="M210" s="4">
        <v>10.643010200000001</v>
      </c>
      <c r="N210" s="4">
        <v>8.1495100319614533</v>
      </c>
      <c r="O210" s="4">
        <v>8.2084971726545169E-4</v>
      </c>
      <c r="P210" s="1" t="str">
        <f>HYPERLINK(".\sm_car_250620_2310\sm_car_250620_2310_209_Ca171TrN_MaRDP_DrSt_ode23t_1.png","figure")</f>
        <v>figure</v>
      </c>
      <c r="Q210" t="s">
        <v>15</v>
      </c>
    </row>
    <row r="211" spans="1:17" x14ac:dyDescent="0.25">
      <c r="A211">
        <v>210</v>
      </c>
      <c r="B211">
        <v>172</v>
      </c>
      <c r="C211" t="s">
        <v>46</v>
      </c>
      <c r="D211" t="s">
        <v>17</v>
      </c>
      <c r="E211" t="s">
        <v>72</v>
      </c>
      <c r="F211" t="s">
        <v>19</v>
      </c>
      <c r="G211" t="s">
        <v>26</v>
      </c>
      <c r="H211" t="s">
        <v>21</v>
      </c>
      <c r="I211" t="s">
        <v>73</v>
      </c>
      <c r="J211" t="s">
        <v>148</v>
      </c>
      <c r="K211" t="s">
        <v>23</v>
      </c>
      <c r="L211">
        <v>132</v>
      </c>
      <c r="M211" s="4">
        <v>3.7177617999999999</v>
      </c>
      <c r="N211" s="4">
        <v>1.9094385387261663</v>
      </c>
      <c r="O211" s="4">
        <v>3.7068145585653543E-5</v>
      </c>
      <c r="P211" s="1" t="str">
        <f>HYPERLINK(".\sm_car_250620_2310\sm_car_250620_2310_210_Ca172TrN_MaRDP_DrSt_ode23t_1.png","figure")</f>
        <v>figure</v>
      </c>
      <c r="Q211" t="s">
        <v>15</v>
      </c>
    </row>
    <row r="212" spans="1:17" x14ac:dyDescent="0.25">
      <c r="A212">
        <v>211</v>
      </c>
      <c r="B212">
        <v>139</v>
      </c>
      <c r="C212" t="s">
        <v>45</v>
      </c>
      <c r="D212" t="s">
        <v>17</v>
      </c>
      <c r="E212" t="s">
        <v>18</v>
      </c>
      <c r="F212" t="s">
        <v>19</v>
      </c>
      <c r="G212" t="s">
        <v>26</v>
      </c>
      <c r="H212" t="s">
        <v>21</v>
      </c>
      <c r="I212" t="s">
        <v>74</v>
      </c>
      <c r="J212" t="s">
        <v>148</v>
      </c>
      <c r="K212" t="s">
        <v>23</v>
      </c>
      <c r="L212">
        <v>232</v>
      </c>
      <c r="M212" s="4">
        <v>12.309912499999999</v>
      </c>
      <c r="N212" s="4">
        <v>8.1125108402010735</v>
      </c>
      <c r="O212" s="4">
        <v>7.3471132858952048E-4</v>
      </c>
      <c r="P212" s="1" t="str">
        <f>HYPERLINK(".\sm_car_250620_2310\sm_car_250620_2310_211_Ca139TrN_MaZPL_DrSt_ode23t_1.png","figure")</f>
        <v>figure</v>
      </c>
      <c r="Q212" t="s">
        <v>15</v>
      </c>
    </row>
    <row r="213" spans="1:17" x14ac:dyDescent="0.25">
      <c r="A213">
        <v>212</v>
      </c>
      <c r="B213">
        <v>165</v>
      </c>
      <c r="C213" t="s">
        <v>45</v>
      </c>
      <c r="D213" t="s">
        <v>35</v>
      </c>
      <c r="E213" t="s">
        <v>49</v>
      </c>
      <c r="F213" t="s">
        <v>19</v>
      </c>
      <c r="G213" t="s">
        <v>26</v>
      </c>
      <c r="H213" t="s">
        <v>21</v>
      </c>
      <c r="I213" t="s">
        <v>74</v>
      </c>
      <c r="J213" t="s">
        <v>148</v>
      </c>
      <c r="K213" t="s">
        <v>23</v>
      </c>
      <c r="L213">
        <v>211</v>
      </c>
      <c r="M213" s="4">
        <v>2.3614434000000002</v>
      </c>
      <c r="N213" s="4">
        <v>9.3806308656424697</v>
      </c>
      <c r="O213" s="4">
        <v>2.010813954402659E-6</v>
      </c>
      <c r="P213" s="1" t="str">
        <f>HYPERLINK(".\sm_car_250620_2310\sm_car_250620_2310_212_Ca165TrN_MaZPL_DrSt_ode23t_1.png","figure")</f>
        <v>figure</v>
      </c>
      <c r="Q213" t="s">
        <v>15</v>
      </c>
    </row>
    <row r="214" spans="1:17" x14ac:dyDescent="0.25">
      <c r="A214">
        <v>213</v>
      </c>
      <c r="B214">
        <v>171</v>
      </c>
      <c r="C214" t="s">
        <v>45</v>
      </c>
      <c r="D214" t="s">
        <v>17</v>
      </c>
      <c r="E214" t="s">
        <v>72</v>
      </c>
      <c r="F214" t="s">
        <v>19</v>
      </c>
      <c r="G214" t="s">
        <v>26</v>
      </c>
      <c r="H214" t="s">
        <v>21</v>
      </c>
      <c r="I214" t="s">
        <v>74</v>
      </c>
      <c r="J214" t="s">
        <v>148</v>
      </c>
      <c r="K214" t="s">
        <v>23</v>
      </c>
      <c r="L214">
        <v>205</v>
      </c>
      <c r="M214" s="4">
        <v>10.5505938</v>
      </c>
      <c r="N214" s="4">
        <v>8.1495100319614533</v>
      </c>
      <c r="O214" s="4">
        <v>8.2084971726545169E-4</v>
      </c>
      <c r="P214" s="1" t="str">
        <f>HYPERLINK(".\sm_car_250620_2310\sm_car_250620_2310_213_Ca171TrN_MaZPL_DrSt_ode23t_1.png","figure")</f>
        <v>figure</v>
      </c>
      <c r="Q214" t="s">
        <v>15</v>
      </c>
    </row>
    <row r="215" spans="1:17" x14ac:dyDescent="0.25">
      <c r="A215">
        <v>214</v>
      </c>
      <c r="B215">
        <v>165</v>
      </c>
      <c r="C215" t="s">
        <v>45</v>
      </c>
      <c r="D215" t="s">
        <v>35</v>
      </c>
      <c r="E215" t="s">
        <v>49</v>
      </c>
      <c r="F215" t="s">
        <v>19</v>
      </c>
      <c r="G215" t="s">
        <v>26</v>
      </c>
      <c r="H215" t="s">
        <v>21</v>
      </c>
      <c r="I215" t="s">
        <v>75</v>
      </c>
      <c r="J215" t="s">
        <v>148</v>
      </c>
      <c r="K215" t="s">
        <v>23</v>
      </c>
      <c r="L215">
        <v>211</v>
      </c>
      <c r="M215" s="4">
        <v>2.4571725999999998</v>
      </c>
      <c r="N215" s="4">
        <v>9.3806313567251749</v>
      </c>
      <c r="O215" s="4">
        <v>2.0113999147073469E-6</v>
      </c>
      <c r="P215" s="1" t="str">
        <f>HYPERLINK(".\sm_car_250620_2310\sm_car_250620_2310_214_Ca165TrN_MaCPL_DrSt_ode23t_1.png","figure")</f>
        <v>figure</v>
      </c>
      <c r="Q215" t="s">
        <v>15</v>
      </c>
    </row>
    <row r="216" spans="1:17" x14ac:dyDescent="0.25">
      <c r="A216">
        <v>215</v>
      </c>
      <c r="B216">
        <v>170</v>
      </c>
      <c r="C216" t="s">
        <v>45</v>
      </c>
      <c r="D216" t="s">
        <v>35</v>
      </c>
      <c r="E216" t="s">
        <v>49</v>
      </c>
      <c r="F216" t="s">
        <v>19</v>
      </c>
      <c r="G216" t="s">
        <v>20</v>
      </c>
      <c r="H216" t="s">
        <v>21</v>
      </c>
      <c r="I216" t="s">
        <v>75</v>
      </c>
      <c r="J216" t="s">
        <v>148</v>
      </c>
      <c r="K216" t="s">
        <v>23</v>
      </c>
      <c r="L216">
        <v>195</v>
      </c>
      <c r="M216" s="4">
        <v>2.2041379000000001</v>
      </c>
      <c r="N216" s="4">
        <v>9.3790803445509283</v>
      </c>
      <c r="O216" s="4">
        <v>1.0549258414670591E-6</v>
      </c>
      <c r="P216" s="1" t="str">
        <f>HYPERLINK(".\sm_car_250620_2310\sm_car_250620_2310_215_Ca170TrN_MaCPL_DrSt_ode23t_1.png","figure")</f>
        <v>figure</v>
      </c>
      <c r="Q216" t="s">
        <v>15</v>
      </c>
    </row>
    <row r="217" spans="1:17" x14ac:dyDescent="0.25">
      <c r="A217">
        <v>216</v>
      </c>
      <c r="B217">
        <v>171</v>
      </c>
      <c r="C217" t="s">
        <v>45</v>
      </c>
      <c r="D217" t="s">
        <v>17</v>
      </c>
      <c r="E217" t="s">
        <v>72</v>
      </c>
      <c r="F217" t="s">
        <v>19</v>
      </c>
      <c r="G217" t="s">
        <v>26</v>
      </c>
      <c r="H217" t="s">
        <v>21</v>
      </c>
      <c r="I217" t="s">
        <v>76</v>
      </c>
      <c r="J217" t="s">
        <v>148</v>
      </c>
      <c r="K217" t="s">
        <v>23</v>
      </c>
      <c r="L217">
        <v>2499</v>
      </c>
      <c r="M217" s="4">
        <v>41.9887607</v>
      </c>
      <c r="N217" s="4">
        <v>152.24778722053145</v>
      </c>
      <c r="O217" s="4">
        <v>1.9031788758709569E-3</v>
      </c>
      <c r="P217" s="1" t="str">
        <f>HYPERLINK(".\sm_car_250620_2310\sm_car_250620_2310_216_Ca171TrN_MaRDR_DrSt_ode23t_1.png","figure")</f>
        <v>figure</v>
      </c>
      <c r="Q217" t="s">
        <v>15</v>
      </c>
    </row>
    <row r="218" spans="1:17" x14ac:dyDescent="0.25">
      <c r="A218">
        <v>217</v>
      </c>
      <c r="B218">
        <v>172</v>
      </c>
      <c r="C218" t="s">
        <v>46</v>
      </c>
      <c r="D218" t="s">
        <v>17</v>
      </c>
      <c r="E218" t="s">
        <v>72</v>
      </c>
      <c r="F218" t="s">
        <v>19</v>
      </c>
      <c r="G218" t="s">
        <v>26</v>
      </c>
      <c r="H218" t="s">
        <v>21</v>
      </c>
      <c r="I218" t="s">
        <v>76</v>
      </c>
      <c r="J218" t="s">
        <v>148</v>
      </c>
      <c r="K218" t="s">
        <v>23</v>
      </c>
      <c r="L218">
        <v>2924</v>
      </c>
      <c r="M218" s="4">
        <v>28.056179400000001</v>
      </c>
      <c r="N218" s="4">
        <v>146.1320744927751</v>
      </c>
      <c r="O218" s="4">
        <v>-4.5853577200659261E-3</v>
      </c>
      <c r="P218" s="1" t="str">
        <f>HYPERLINK(".\sm_car_250620_2310\sm_car_250620_2310_217_Ca172TrN_MaRDR_DrSt_ode23t_1.png","figure")</f>
        <v>figure</v>
      </c>
      <c r="Q218" t="s">
        <v>15</v>
      </c>
    </row>
    <row r="219" spans="1:17" x14ac:dyDescent="0.25">
      <c r="A219">
        <v>218</v>
      </c>
      <c r="B219">
        <v>139</v>
      </c>
      <c r="C219" t="s">
        <v>45</v>
      </c>
      <c r="D219" t="s">
        <v>17</v>
      </c>
      <c r="E219" t="s">
        <v>18</v>
      </c>
      <c r="F219" t="s">
        <v>19</v>
      </c>
      <c r="G219" t="s">
        <v>26</v>
      </c>
      <c r="H219" t="s">
        <v>21</v>
      </c>
      <c r="I219" t="s">
        <v>77</v>
      </c>
      <c r="J219" t="s">
        <v>148</v>
      </c>
      <c r="K219" t="s">
        <v>23</v>
      </c>
      <c r="L219">
        <v>2976</v>
      </c>
      <c r="M219" s="4">
        <v>34.150338900000001</v>
      </c>
      <c r="N219" s="4">
        <v>176.35440277917678</v>
      </c>
      <c r="O219" s="4">
        <v>7.4868918240421725E-4</v>
      </c>
      <c r="P219" s="1" t="str">
        <f>HYPERLINK(".\sm_car_250620_2310\sm_car_250620_2310_218_Ca139TrN_MaZRR_DrSt_ode23t_1.png","figure")</f>
        <v>figure</v>
      </c>
      <c r="Q219" t="s">
        <v>15</v>
      </c>
    </row>
    <row r="220" spans="1:17" x14ac:dyDescent="0.25">
      <c r="A220">
        <v>219</v>
      </c>
      <c r="B220">
        <v>165</v>
      </c>
      <c r="C220" t="s">
        <v>45</v>
      </c>
      <c r="D220" t="s">
        <v>35</v>
      </c>
      <c r="E220" t="s">
        <v>49</v>
      </c>
      <c r="F220" t="s">
        <v>19</v>
      </c>
      <c r="G220" t="s">
        <v>26</v>
      </c>
      <c r="H220" t="s">
        <v>21</v>
      </c>
      <c r="I220" t="s">
        <v>77</v>
      </c>
      <c r="J220" t="s">
        <v>148</v>
      </c>
      <c r="K220" t="s">
        <v>23</v>
      </c>
      <c r="L220">
        <v>3523</v>
      </c>
      <c r="M220" s="4">
        <v>22.607216099999999</v>
      </c>
      <c r="N220" s="4">
        <v>176.69024503147801</v>
      </c>
      <c r="O220" s="4">
        <v>6.3162167961882876E-5</v>
      </c>
      <c r="P220" s="1" t="str">
        <f>HYPERLINK(".\sm_car_250620_2310\sm_car_250620_2310_219_Ca165TrN_MaZRR_DrSt_ode23t_1.png","figure")</f>
        <v>figure</v>
      </c>
      <c r="Q220" t="s">
        <v>15</v>
      </c>
    </row>
    <row r="221" spans="1:17" x14ac:dyDescent="0.25">
      <c r="A221">
        <v>220</v>
      </c>
      <c r="B221">
        <v>171</v>
      </c>
      <c r="C221" t="s">
        <v>45</v>
      </c>
      <c r="D221" t="s">
        <v>17</v>
      </c>
      <c r="E221" t="s">
        <v>72</v>
      </c>
      <c r="F221" t="s">
        <v>19</v>
      </c>
      <c r="G221" t="s">
        <v>26</v>
      </c>
      <c r="H221" t="s">
        <v>21</v>
      </c>
      <c r="I221" t="s">
        <v>77</v>
      </c>
      <c r="J221" t="s">
        <v>148</v>
      </c>
      <c r="K221" t="s">
        <v>23</v>
      </c>
      <c r="L221">
        <v>2987</v>
      </c>
      <c r="M221" s="4">
        <v>49.615742500000003</v>
      </c>
      <c r="N221" s="4">
        <v>176.3645560784669</v>
      </c>
      <c r="O221" s="4">
        <v>7.3540808790813358E-4</v>
      </c>
      <c r="P221" s="1" t="str">
        <f>HYPERLINK(".\sm_car_250620_2310\sm_car_250620_2310_220_Ca171TrN_MaZRR_DrSt_ode23t_1.png","figure")</f>
        <v>figure</v>
      </c>
      <c r="Q221" t="s">
        <v>15</v>
      </c>
    </row>
    <row r="222" spans="1:17" x14ac:dyDescent="0.25">
      <c r="A222">
        <v>221</v>
      </c>
      <c r="B222">
        <v>170</v>
      </c>
      <c r="C222" t="s">
        <v>45</v>
      </c>
      <c r="D222" t="s">
        <v>35</v>
      </c>
      <c r="E222" t="s">
        <v>49</v>
      </c>
      <c r="F222" t="s">
        <v>19</v>
      </c>
      <c r="G222" t="s">
        <v>20</v>
      </c>
      <c r="H222" t="s">
        <v>21</v>
      </c>
      <c r="I222" t="s">
        <v>78</v>
      </c>
      <c r="J222" t="s">
        <v>148</v>
      </c>
      <c r="K222" t="s">
        <v>23</v>
      </c>
      <c r="L222">
        <v>4862</v>
      </c>
      <c r="M222" s="4">
        <v>19.4978582</v>
      </c>
      <c r="N222" s="4">
        <v>-5.9985818231048711</v>
      </c>
      <c r="O222" s="4">
        <v>-6.2660528409609947E-3</v>
      </c>
      <c r="P222" s="1" t="str">
        <f>HYPERLINK(".\sm_car_250620_2310\sm_car_250620_2310_221_Ca170TrN_MaCMP_DrSt_ode23t_1.png","figure")</f>
        <v>figure</v>
      </c>
      <c r="Q222" t="s">
        <v>15</v>
      </c>
    </row>
    <row r="223" spans="1:17" x14ac:dyDescent="0.25">
      <c r="A223">
        <v>222</v>
      </c>
      <c r="B223">
        <v>170</v>
      </c>
      <c r="C223" t="s">
        <v>45</v>
      </c>
      <c r="D223" t="s">
        <v>35</v>
      </c>
      <c r="E223" t="s">
        <v>49</v>
      </c>
      <c r="F223" t="s">
        <v>19</v>
      </c>
      <c r="G223" t="s">
        <v>20</v>
      </c>
      <c r="H223" t="s">
        <v>21</v>
      </c>
      <c r="I223" t="s">
        <v>79</v>
      </c>
      <c r="J223" t="s">
        <v>148</v>
      </c>
      <c r="K223" t="s">
        <v>23</v>
      </c>
      <c r="L223">
        <v>1736</v>
      </c>
      <c r="M223" s="4">
        <v>13.7355862</v>
      </c>
      <c r="N223" s="4">
        <v>-5.9973317670339945</v>
      </c>
      <c r="O223" s="4">
        <v>-6.2240744605026451E-3</v>
      </c>
      <c r="P223" s="1" t="str">
        <f>HYPERLINK(".\sm_car_250620_2310\sm_car_250620_2310_222_Ca170TrN_MaCMF_DrSt_ode23t_1.png","figure")</f>
        <v>figure</v>
      </c>
      <c r="Q223" t="s">
        <v>15</v>
      </c>
    </row>
    <row r="224" spans="1:17" x14ac:dyDescent="0.25">
      <c r="A224">
        <v>223</v>
      </c>
      <c r="B224">
        <v>170</v>
      </c>
      <c r="C224" t="s">
        <v>45</v>
      </c>
      <c r="D224" t="s">
        <v>35</v>
      </c>
      <c r="E224" t="s">
        <v>49</v>
      </c>
      <c r="F224" t="s">
        <v>19</v>
      </c>
      <c r="G224" t="s">
        <v>20</v>
      </c>
      <c r="H224" t="s">
        <v>21</v>
      </c>
      <c r="I224" t="s">
        <v>80</v>
      </c>
      <c r="J224" t="s">
        <v>148</v>
      </c>
      <c r="K224" t="s">
        <v>23</v>
      </c>
      <c r="L224">
        <v>5552</v>
      </c>
      <c r="M224" s="4">
        <v>52.548634900000003</v>
      </c>
      <c r="N224" s="4">
        <v>-85.371615485220445</v>
      </c>
      <c r="O224" s="4">
        <v>-0.7106936651170761</v>
      </c>
      <c r="P224" s="1" t="str">
        <f>HYPERLINK(".\sm_car_250620_2310\sm_car_250620_2310_223_Ca170TrN_MaMPO_DrSt_ode23t_1.png","figure")</f>
        <v>figure</v>
      </c>
      <c r="Q224" t="s">
        <v>15</v>
      </c>
    </row>
    <row r="225" spans="1:17" x14ac:dyDescent="0.25">
      <c r="A225">
        <v>224</v>
      </c>
      <c r="B225">
        <v>170</v>
      </c>
      <c r="C225" t="s">
        <v>45</v>
      </c>
      <c r="D225" t="s">
        <v>35</v>
      </c>
      <c r="E225" t="s">
        <v>49</v>
      </c>
      <c r="F225" t="s">
        <v>19</v>
      </c>
      <c r="G225" t="s">
        <v>20</v>
      </c>
      <c r="H225" t="s">
        <v>21</v>
      </c>
      <c r="I225" t="s">
        <v>81</v>
      </c>
      <c r="J225" t="s">
        <v>148</v>
      </c>
      <c r="K225" t="s">
        <v>23</v>
      </c>
      <c r="L225">
        <v>1176</v>
      </c>
      <c r="M225" s="4">
        <v>14.877351000000001</v>
      </c>
      <c r="N225" s="4">
        <v>-13.840023038362993</v>
      </c>
      <c r="O225" s="4">
        <v>0.22263316447765646</v>
      </c>
      <c r="P225" s="1" t="str">
        <f>HYPERLINK(".\sm_car_250620_2310\sm_car_250620_2310_224_Ca170TrN_MaMCI_DrSt_ode23t_1.png","figure")</f>
        <v>figure</v>
      </c>
      <c r="Q225" t="s">
        <v>15</v>
      </c>
    </row>
    <row r="226" spans="1:17" x14ac:dyDescent="0.25">
      <c r="A226">
        <v>225</v>
      </c>
      <c r="B226">
        <v>170</v>
      </c>
      <c r="C226" t="s">
        <v>45</v>
      </c>
      <c r="D226" t="s">
        <v>35</v>
      </c>
      <c r="E226" t="s">
        <v>49</v>
      </c>
      <c r="F226" t="s">
        <v>19</v>
      </c>
      <c r="G226" t="s">
        <v>20</v>
      </c>
      <c r="H226" t="s">
        <v>21</v>
      </c>
      <c r="I226" t="s">
        <v>110</v>
      </c>
      <c r="J226" t="s">
        <v>148</v>
      </c>
      <c r="K226" t="s">
        <v>23</v>
      </c>
      <c r="L226">
        <v>5325</v>
      </c>
      <c r="M226" s="4">
        <v>26.8549544</v>
      </c>
      <c r="N226" s="4">
        <v>-5.9988906148866068</v>
      </c>
      <c r="O226" s="4">
        <v>-4.6819674579904914E-3</v>
      </c>
      <c r="P226" s="1" t="str">
        <f>HYPERLINK(".\sm_car_250620_2310\sm_car_250620_2310_225_Ca170TrN_MaCHO_DrSt_ode23t_1.png","figure")</f>
        <v>figure</v>
      </c>
      <c r="Q226" t="s">
        <v>15</v>
      </c>
    </row>
    <row r="227" spans="1:17" x14ac:dyDescent="0.25">
      <c r="A227">
        <v>226</v>
      </c>
      <c r="B227">
        <v>170</v>
      </c>
      <c r="C227" t="s">
        <v>45</v>
      </c>
      <c r="D227" t="s">
        <v>35</v>
      </c>
      <c r="E227" t="s">
        <v>49</v>
      </c>
      <c r="F227" t="s">
        <v>19</v>
      </c>
      <c r="G227" t="s">
        <v>20</v>
      </c>
      <c r="H227" t="s">
        <v>21</v>
      </c>
      <c r="I227" t="s">
        <v>111</v>
      </c>
      <c r="J227" t="s">
        <v>148</v>
      </c>
      <c r="K227" t="s">
        <v>23</v>
      </c>
      <c r="L227">
        <v>2959</v>
      </c>
      <c r="M227" s="4">
        <v>26.913611700000001</v>
      </c>
      <c r="N227" s="4">
        <v>-5.9813503202712592</v>
      </c>
      <c r="O227" s="4">
        <v>-4.7020331599998784E-3</v>
      </c>
      <c r="P227" s="1" t="str">
        <f>HYPERLINK(".\sm_car_250620_2310\sm_car_250620_2310_226_Ca170TrN_MaCHF_DrSt_ode23t_1.png","figure")</f>
        <v>figure</v>
      </c>
      <c r="Q227" t="s">
        <v>15</v>
      </c>
    </row>
    <row r="228" spans="1:17" x14ac:dyDescent="0.25">
      <c r="A228">
        <v>227</v>
      </c>
      <c r="B228">
        <v>170</v>
      </c>
      <c r="C228" t="s">
        <v>45</v>
      </c>
      <c r="D228" t="s">
        <v>35</v>
      </c>
      <c r="E228" t="s">
        <v>49</v>
      </c>
      <c r="F228" t="s">
        <v>19</v>
      </c>
      <c r="G228" t="s">
        <v>20</v>
      </c>
      <c r="H228" t="s">
        <v>21</v>
      </c>
      <c r="I228" t="s">
        <v>82</v>
      </c>
      <c r="J228" t="s">
        <v>148</v>
      </c>
      <c r="K228" t="s">
        <v>23</v>
      </c>
      <c r="L228">
        <v>6758</v>
      </c>
      <c r="M228" s="4">
        <v>32.038320599999999</v>
      </c>
      <c r="N228" s="4">
        <v>-749.61875855127812</v>
      </c>
      <c r="O228" s="4">
        <v>626.81260785130189</v>
      </c>
      <c r="P228" s="1" t="str">
        <f>HYPERLINK(".\sm_car_250620_2310\sm_car_250620_2310_227_Ca170TrN_MaCKY_DrSt_ode23t_1.png","figure")</f>
        <v>figure</v>
      </c>
      <c r="Q228" t="s">
        <v>15</v>
      </c>
    </row>
    <row r="229" spans="1:17" x14ac:dyDescent="0.25">
      <c r="A229">
        <v>228</v>
      </c>
      <c r="B229">
        <v>170</v>
      </c>
      <c r="C229" t="s">
        <v>45</v>
      </c>
      <c r="D229" t="s">
        <v>35</v>
      </c>
      <c r="E229" t="s">
        <v>49</v>
      </c>
      <c r="F229" t="s">
        <v>19</v>
      </c>
      <c r="G229" t="s">
        <v>20</v>
      </c>
      <c r="H229" t="s">
        <v>21</v>
      </c>
      <c r="I229" t="s">
        <v>83</v>
      </c>
      <c r="J229" t="s">
        <v>148</v>
      </c>
      <c r="K229" t="s">
        <v>23</v>
      </c>
      <c r="L229">
        <v>1894</v>
      </c>
      <c r="M229" s="4">
        <v>16.499675799999999</v>
      </c>
      <c r="N229" s="4">
        <v>-756.29517707319792</v>
      </c>
      <c r="O229" s="4">
        <v>631.25940277139398</v>
      </c>
      <c r="P229" s="1" t="str">
        <f>HYPERLINK(".\sm_car_250620_2310\sm_car_250620_2310_228_Ca170TrN_MaCKF_DrSt_ode23t_1.png","figure")</f>
        <v>figure</v>
      </c>
      <c r="Q229" t="s">
        <v>15</v>
      </c>
    </row>
    <row r="230" spans="1:17" x14ac:dyDescent="0.25">
      <c r="A230">
        <v>229</v>
      </c>
      <c r="B230">
        <v>170</v>
      </c>
      <c r="C230" t="s">
        <v>45</v>
      </c>
      <c r="D230" t="s">
        <v>35</v>
      </c>
      <c r="E230" t="s">
        <v>49</v>
      </c>
      <c r="F230" t="s">
        <v>19</v>
      </c>
      <c r="G230" t="s">
        <v>20</v>
      </c>
      <c r="H230" t="s">
        <v>21</v>
      </c>
      <c r="I230" t="s">
        <v>84</v>
      </c>
      <c r="J230" t="s">
        <v>148</v>
      </c>
      <c r="K230" t="s">
        <v>23</v>
      </c>
      <c r="L230">
        <v>2667</v>
      </c>
      <c r="M230" s="4">
        <v>33.474097</v>
      </c>
      <c r="N230" s="4">
        <v>176.85978086007108</v>
      </c>
      <c r="O230" s="4">
        <v>287.41669216570494</v>
      </c>
      <c r="P230" s="1" t="str">
        <f>HYPERLINK(".\sm_car_250620_2310\sm_car_250620_2310_229_Ca170TrN_MaCNN_DrSt_ode23t_1.png","figure")</f>
        <v>figure</v>
      </c>
      <c r="Q230" t="s">
        <v>15</v>
      </c>
    </row>
    <row r="231" spans="1:17" x14ac:dyDescent="0.25">
      <c r="A231">
        <v>230</v>
      </c>
      <c r="B231">
        <v>170</v>
      </c>
      <c r="C231" t="s">
        <v>45</v>
      </c>
      <c r="D231" t="s">
        <v>35</v>
      </c>
      <c r="E231" t="s">
        <v>49</v>
      </c>
      <c r="F231" t="s">
        <v>19</v>
      </c>
      <c r="G231" t="s">
        <v>20</v>
      </c>
      <c r="H231" t="s">
        <v>21</v>
      </c>
      <c r="I231" t="s">
        <v>85</v>
      </c>
      <c r="J231" t="s">
        <v>148</v>
      </c>
      <c r="K231" t="s">
        <v>23</v>
      </c>
      <c r="L231">
        <v>4204</v>
      </c>
      <c r="M231" s="4">
        <v>125.2236432</v>
      </c>
      <c r="N231" s="4">
        <v>3001.4516065232829</v>
      </c>
      <c r="O231" s="4">
        <v>-3058.3790946526537</v>
      </c>
      <c r="P231" s="1" t="str">
        <f>HYPERLINK(".\sm_car_250620_2310\sm_car_250620_2310_230_Ca170TrN_MaCNF_DrSt_ode23t_1.png","figure")</f>
        <v>figure</v>
      </c>
      <c r="Q231" t="s">
        <v>15</v>
      </c>
    </row>
    <row r="232" spans="1:17" x14ac:dyDescent="0.25">
      <c r="A232">
        <v>231</v>
      </c>
      <c r="B232">
        <v>170</v>
      </c>
      <c r="C232" t="s">
        <v>45</v>
      </c>
      <c r="D232" t="s">
        <v>35</v>
      </c>
      <c r="E232" t="s">
        <v>49</v>
      </c>
      <c r="F232" t="s">
        <v>19</v>
      </c>
      <c r="G232" t="s">
        <v>20</v>
      </c>
      <c r="H232" t="s">
        <v>21</v>
      </c>
      <c r="I232" t="s">
        <v>86</v>
      </c>
      <c r="J232" t="s">
        <v>148</v>
      </c>
      <c r="K232" t="s">
        <v>23</v>
      </c>
      <c r="L232">
        <v>2921</v>
      </c>
      <c r="M232" s="4">
        <v>21.812798099999998</v>
      </c>
      <c r="N232" s="4">
        <v>522.91589585622455</v>
      </c>
      <c r="O232" s="4">
        <v>-164.11136595638445</v>
      </c>
      <c r="P232" s="1" t="str">
        <f>HYPERLINK(".\sm_car_250620_2310\sm_car_250620_2310_231_Ca170TrN_MaCSZ_DrSt_ode23t_1.png","figure")</f>
        <v>figure</v>
      </c>
      <c r="Q232" t="s">
        <v>15</v>
      </c>
    </row>
    <row r="233" spans="1:17" x14ac:dyDescent="0.25">
      <c r="A233">
        <v>232</v>
      </c>
      <c r="B233">
        <v>170</v>
      </c>
      <c r="C233" t="s">
        <v>45</v>
      </c>
      <c r="D233" t="s">
        <v>35</v>
      </c>
      <c r="E233" t="s">
        <v>49</v>
      </c>
      <c r="F233" t="s">
        <v>19</v>
      </c>
      <c r="G233" t="s">
        <v>20</v>
      </c>
      <c r="H233" t="s">
        <v>21</v>
      </c>
      <c r="I233" t="s">
        <v>87</v>
      </c>
      <c r="J233" t="s">
        <v>148</v>
      </c>
      <c r="K233" t="s">
        <v>23</v>
      </c>
      <c r="L233">
        <v>5502</v>
      </c>
      <c r="M233" s="4">
        <v>129.38447600000001</v>
      </c>
      <c r="N233" s="4">
        <v>-8.9196960358463215</v>
      </c>
      <c r="O233" s="4">
        <v>7.8998095672592576E-3</v>
      </c>
      <c r="P233" s="1" t="str">
        <f>HYPERLINK(".\sm_car_250620_2310\sm_car_250620_2310_232_Ca170TrN_MaCSF_DrSt_ode23t_1.png","figure")</f>
        <v>figure</v>
      </c>
      <c r="Q233" t="s">
        <v>15</v>
      </c>
    </row>
    <row r="234" spans="1:17" x14ac:dyDescent="0.25">
      <c r="A234">
        <v>233</v>
      </c>
      <c r="B234">
        <v>170</v>
      </c>
      <c r="C234" t="s">
        <v>45</v>
      </c>
      <c r="D234" t="s">
        <v>35</v>
      </c>
      <c r="E234" t="s">
        <v>49</v>
      </c>
      <c r="F234" t="s">
        <v>19</v>
      </c>
      <c r="G234" t="s">
        <v>20</v>
      </c>
      <c r="H234" t="s">
        <v>21</v>
      </c>
      <c r="I234" t="s">
        <v>88</v>
      </c>
      <c r="J234" t="s">
        <v>148</v>
      </c>
      <c r="K234" t="s">
        <v>23</v>
      </c>
      <c r="L234">
        <v>2102</v>
      </c>
      <c r="M234" s="4">
        <v>28.699111500000001</v>
      </c>
      <c r="N234" s="4">
        <v>208.55956100027007</v>
      </c>
      <c r="O234" s="4">
        <v>379.2206047099337</v>
      </c>
      <c r="P234" s="1" t="str">
        <f>HYPERLINK(".\sm_car_250620_2310\sm_car_250620_2310_233_Ca170TrN_MaCPU_DrSt_ode23t_1.png","figure")</f>
        <v>figure</v>
      </c>
      <c r="Q234" t="s">
        <v>15</v>
      </c>
    </row>
    <row r="235" spans="1:17" x14ac:dyDescent="0.25">
      <c r="A235">
        <v>234</v>
      </c>
      <c r="B235">
        <v>170</v>
      </c>
      <c r="C235" t="s">
        <v>45</v>
      </c>
      <c r="D235" t="s">
        <v>35</v>
      </c>
      <c r="E235" t="s">
        <v>49</v>
      </c>
      <c r="F235" t="s">
        <v>19</v>
      </c>
      <c r="G235" t="s">
        <v>20</v>
      </c>
      <c r="H235" t="s">
        <v>21</v>
      </c>
      <c r="I235" t="s">
        <v>89</v>
      </c>
      <c r="J235" t="s">
        <v>148</v>
      </c>
      <c r="K235" t="s">
        <v>23</v>
      </c>
      <c r="L235">
        <v>2459</v>
      </c>
      <c r="M235" s="4">
        <v>29.515409900000002</v>
      </c>
      <c r="N235" s="4">
        <v>183.12573230650969</v>
      </c>
      <c r="O235" s="4">
        <v>-170.11025523442913</v>
      </c>
      <c r="P235" s="1" t="str">
        <f>HYPERLINK(".\sm_car_250620_2310\sm_car_250620_2310_234_Ca170TrN_MaCPD_DrSt_ode23t_1.png","figure")</f>
        <v>figure</v>
      </c>
      <c r="Q235" t="s">
        <v>15</v>
      </c>
    </row>
    <row r="236" spans="1:17" x14ac:dyDescent="0.25">
      <c r="A236">
        <v>235</v>
      </c>
      <c r="B236">
        <v>202</v>
      </c>
      <c r="C236" t="s">
        <v>45</v>
      </c>
      <c r="D236" t="s">
        <v>35</v>
      </c>
      <c r="E236" t="s">
        <v>107</v>
      </c>
      <c r="F236" t="s">
        <v>19</v>
      </c>
      <c r="G236" t="s">
        <v>20</v>
      </c>
      <c r="H236" t="s">
        <v>21</v>
      </c>
      <c r="I236" t="s">
        <v>79</v>
      </c>
      <c r="J236" t="s">
        <v>148</v>
      </c>
      <c r="K236" t="s">
        <v>23</v>
      </c>
      <c r="L236">
        <v>1731</v>
      </c>
      <c r="M236" s="4">
        <v>4.9730663000000002</v>
      </c>
      <c r="N236" s="4">
        <v>-5.8995647321065539</v>
      </c>
      <c r="O236" s="4">
        <v>-6.4912999621006846E-3</v>
      </c>
      <c r="P236" s="1" t="str">
        <f>HYPERLINK(".\sm_car_250620_2310\sm_car_250620_2310_235_Ca202TrN_MaCMF_DrSt_ode23t_1.png","figure")</f>
        <v>figure</v>
      </c>
      <c r="Q236" t="s">
        <v>15</v>
      </c>
    </row>
    <row r="237" spans="1:17" x14ac:dyDescent="0.25">
      <c r="A237">
        <v>236</v>
      </c>
      <c r="B237">
        <v>202</v>
      </c>
      <c r="C237" t="s">
        <v>45</v>
      </c>
      <c r="D237" t="s">
        <v>35</v>
      </c>
      <c r="E237" t="s">
        <v>107</v>
      </c>
      <c r="F237" t="s">
        <v>19</v>
      </c>
      <c r="G237" t="s">
        <v>20</v>
      </c>
      <c r="H237" t="s">
        <v>21</v>
      </c>
      <c r="I237" t="s">
        <v>80</v>
      </c>
      <c r="J237" t="s">
        <v>148</v>
      </c>
      <c r="K237" t="s">
        <v>23</v>
      </c>
      <c r="L237">
        <v>5524</v>
      </c>
      <c r="M237" s="4">
        <v>35.779095300000002</v>
      </c>
      <c r="N237" s="4">
        <v>-85.372359115980601</v>
      </c>
      <c r="O237" s="4">
        <v>-0.71070195390551327</v>
      </c>
      <c r="P237" s="1" t="str">
        <f>HYPERLINK(".\sm_car_250620_2310\sm_car_250620_2310_236_Ca202TrN_MaMPO_DrSt_ode23t_1.png","figure")</f>
        <v>figure</v>
      </c>
      <c r="Q237" t="s">
        <v>15</v>
      </c>
    </row>
    <row r="238" spans="1:17" x14ac:dyDescent="0.25">
      <c r="A238">
        <v>237</v>
      </c>
      <c r="B238">
        <v>202</v>
      </c>
      <c r="C238" t="s">
        <v>45</v>
      </c>
      <c r="D238" t="s">
        <v>35</v>
      </c>
      <c r="E238" t="s">
        <v>107</v>
      </c>
      <c r="F238" t="s">
        <v>19</v>
      </c>
      <c r="G238" t="s">
        <v>20</v>
      </c>
      <c r="H238" t="s">
        <v>21</v>
      </c>
      <c r="I238" t="s">
        <v>81</v>
      </c>
      <c r="J238" t="s">
        <v>148</v>
      </c>
      <c r="K238" t="s">
        <v>23</v>
      </c>
      <c r="L238">
        <v>1202</v>
      </c>
      <c r="M238" s="4">
        <v>9.2756349999999994</v>
      </c>
      <c r="N238" s="4">
        <v>-13.835202411792793</v>
      </c>
      <c r="O238" s="4">
        <v>0.22545088039603911</v>
      </c>
      <c r="P238" s="1" t="str">
        <f>HYPERLINK(".\sm_car_250620_2310\sm_car_250620_2310_237_Ca202TrN_MaMCI_DrSt_ode23t_1.png","figure")</f>
        <v>figure</v>
      </c>
      <c r="Q238" t="s">
        <v>15</v>
      </c>
    </row>
    <row r="239" spans="1:17" x14ac:dyDescent="0.25">
      <c r="A239">
        <v>238</v>
      </c>
      <c r="B239">
        <v>202</v>
      </c>
      <c r="C239" t="s">
        <v>45</v>
      </c>
      <c r="D239" t="s">
        <v>35</v>
      </c>
      <c r="E239" t="s">
        <v>107</v>
      </c>
      <c r="F239" t="s">
        <v>19</v>
      </c>
      <c r="G239" t="s">
        <v>20</v>
      </c>
      <c r="H239" t="s">
        <v>21</v>
      </c>
      <c r="I239" t="s">
        <v>83</v>
      </c>
      <c r="J239" t="s">
        <v>148</v>
      </c>
      <c r="K239" t="s">
        <v>23</v>
      </c>
      <c r="L239">
        <v>3124</v>
      </c>
      <c r="M239" s="4">
        <v>11.141609000000001</v>
      </c>
      <c r="N239" s="4">
        <v>-5.9961079258414296</v>
      </c>
      <c r="O239" s="4">
        <v>-2.4306749512691503E-2</v>
      </c>
      <c r="P239" s="1" t="str">
        <f>HYPERLINK(".\sm_car_250620_2310\sm_car_250620_2310_238_Ca202TrN_MaCKF_DrSt_ode23t_1.png","figure")</f>
        <v>figure</v>
      </c>
      <c r="Q239" t="s">
        <v>15</v>
      </c>
    </row>
    <row r="240" spans="1:17" x14ac:dyDescent="0.25">
      <c r="A240">
        <v>239</v>
      </c>
      <c r="B240">
        <v>202</v>
      </c>
      <c r="C240" t="s">
        <v>45</v>
      </c>
      <c r="D240" t="s">
        <v>35</v>
      </c>
      <c r="E240" t="s">
        <v>107</v>
      </c>
      <c r="F240" t="s">
        <v>19</v>
      </c>
      <c r="G240" t="s">
        <v>20</v>
      </c>
      <c r="H240" t="s">
        <v>21</v>
      </c>
      <c r="I240" t="s">
        <v>85</v>
      </c>
      <c r="J240" t="s">
        <v>148</v>
      </c>
      <c r="K240" t="s">
        <v>23</v>
      </c>
      <c r="L240">
        <v>9824</v>
      </c>
      <c r="M240" s="4">
        <v>191.79804970000001</v>
      </c>
      <c r="N240" s="4">
        <v>-8.9984471571420865</v>
      </c>
      <c r="O240" s="4">
        <v>4.4059007950800248E-2</v>
      </c>
      <c r="P240" s="1" t="str">
        <f>HYPERLINK(".\sm_car_250620_2310\sm_car_250620_2310_239_Ca202TrN_MaCNF_DrSt_ode23t_1.png","figure")</f>
        <v>figure</v>
      </c>
      <c r="Q240" t="s">
        <v>15</v>
      </c>
    </row>
    <row r="241" spans="1:17" x14ac:dyDescent="0.25">
      <c r="A241">
        <v>240</v>
      </c>
      <c r="B241">
        <v>202</v>
      </c>
      <c r="C241" t="s">
        <v>45</v>
      </c>
      <c r="D241" t="s">
        <v>35</v>
      </c>
      <c r="E241" t="s">
        <v>107</v>
      </c>
      <c r="F241" t="s">
        <v>19</v>
      </c>
      <c r="G241" t="s">
        <v>20</v>
      </c>
      <c r="H241" t="s">
        <v>21</v>
      </c>
      <c r="I241" t="s">
        <v>87</v>
      </c>
      <c r="J241" t="s">
        <v>148</v>
      </c>
      <c r="K241" t="s">
        <v>23</v>
      </c>
      <c r="L241">
        <v>5503</v>
      </c>
      <c r="M241" s="4">
        <v>71.015761600000005</v>
      </c>
      <c r="N241" s="4">
        <v>-8.9593076837493548</v>
      </c>
      <c r="O241" s="4">
        <v>8.227239071788588E-3</v>
      </c>
      <c r="P241" s="1" t="str">
        <f>HYPERLINK(".\sm_car_250620_2310\sm_car_250620_2310_240_Ca202TrN_MaCSF_DrSt_ode23t_1.png","figure")</f>
        <v>figure</v>
      </c>
      <c r="Q241" t="s">
        <v>15</v>
      </c>
    </row>
    <row r="242" spans="1:17" x14ac:dyDescent="0.25">
      <c r="A242">
        <v>241</v>
      </c>
      <c r="B242">
        <v>202</v>
      </c>
      <c r="C242" t="s">
        <v>45</v>
      </c>
      <c r="D242" t="s">
        <v>35</v>
      </c>
      <c r="E242" t="s">
        <v>107</v>
      </c>
      <c r="F242" t="s">
        <v>19</v>
      </c>
      <c r="G242" t="s">
        <v>20</v>
      </c>
      <c r="H242" t="s">
        <v>21</v>
      </c>
      <c r="I242" t="s">
        <v>78</v>
      </c>
      <c r="J242" t="s">
        <v>148</v>
      </c>
      <c r="K242" t="s">
        <v>23</v>
      </c>
      <c r="L242">
        <v>5239</v>
      </c>
      <c r="M242" s="4">
        <v>19.530563699999998</v>
      </c>
      <c r="N242" s="4">
        <v>-5.9992723399891723</v>
      </c>
      <c r="O242" s="4">
        <v>-6.0892691901253161E-3</v>
      </c>
      <c r="P242" s="1" t="str">
        <f>HYPERLINK(".\sm_car_250620_2310\sm_car_250620_2310_241_Ca202TrN_MaCMP_DrSt_ode23t_1.png","figure")</f>
        <v>figure</v>
      </c>
      <c r="Q242" t="s">
        <v>15</v>
      </c>
    </row>
    <row r="243" spans="1:17" x14ac:dyDescent="0.25">
      <c r="A243">
        <v>242</v>
      </c>
      <c r="B243">
        <v>202</v>
      </c>
      <c r="C243" t="s">
        <v>45</v>
      </c>
      <c r="D243" t="s">
        <v>35</v>
      </c>
      <c r="E243" t="s">
        <v>107</v>
      </c>
      <c r="F243" t="s">
        <v>19</v>
      </c>
      <c r="G243" t="s">
        <v>20</v>
      </c>
      <c r="H243" t="s">
        <v>21</v>
      </c>
      <c r="I243" t="s">
        <v>82</v>
      </c>
      <c r="J243" t="s">
        <v>148</v>
      </c>
      <c r="K243" t="s">
        <v>23</v>
      </c>
      <c r="L243">
        <v>14641</v>
      </c>
      <c r="M243" s="4">
        <v>58.1413139</v>
      </c>
      <c r="N243" s="4">
        <v>-5.9994349291940035</v>
      </c>
      <c r="O243" s="4">
        <v>-2.6067825598473218E-2</v>
      </c>
      <c r="P243" s="1" t="str">
        <f>HYPERLINK(".\sm_car_250620_2310\sm_car_250620_2310_242_Ca202TrN_MaCKY_DrSt_ode23t_1.png","figure")</f>
        <v>figure</v>
      </c>
      <c r="Q243" t="s">
        <v>15</v>
      </c>
    </row>
    <row r="244" spans="1:17" x14ac:dyDescent="0.25">
      <c r="A244">
        <v>243</v>
      </c>
      <c r="B244">
        <v>202</v>
      </c>
      <c r="C244" t="s">
        <v>45</v>
      </c>
      <c r="D244" t="s">
        <v>35</v>
      </c>
      <c r="E244" t="s">
        <v>107</v>
      </c>
      <c r="F244" t="s">
        <v>19</v>
      </c>
      <c r="G244" t="s">
        <v>20</v>
      </c>
      <c r="H244" t="s">
        <v>21</v>
      </c>
      <c r="I244" t="s">
        <v>75</v>
      </c>
      <c r="J244" t="s">
        <v>148</v>
      </c>
      <c r="K244" t="s">
        <v>23</v>
      </c>
      <c r="L244">
        <v>182</v>
      </c>
      <c r="M244" s="4">
        <v>1.1973046000000001</v>
      </c>
      <c r="N244" s="4">
        <v>8.7044567520667542</v>
      </c>
      <c r="O244" s="4">
        <v>-9.9848377538089679E-6</v>
      </c>
      <c r="P244" s="1" t="str">
        <f>HYPERLINK(".\sm_car_250620_2310\sm_car_250620_2310_243_Ca202TrN_MaCPL_DrSt_ode23t_1.png","figure")</f>
        <v>figure</v>
      </c>
      <c r="Q244" t="s">
        <v>15</v>
      </c>
    </row>
    <row r="245" spans="1:17" x14ac:dyDescent="0.25">
      <c r="A245">
        <v>244</v>
      </c>
      <c r="B245">
        <v>140</v>
      </c>
      <c r="C245" t="s">
        <v>45</v>
      </c>
      <c r="D245" t="s">
        <v>17</v>
      </c>
      <c r="E245" t="s">
        <v>49</v>
      </c>
      <c r="F245" t="s">
        <v>19</v>
      </c>
      <c r="G245" t="s">
        <v>26</v>
      </c>
      <c r="H245" t="s">
        <v>21</v>
      </c>
      <c r="I245" t="s">
        <v>112</v>
      </c>
      <c r="J245" t="s">
        <v>148</v>
      </c>
      <c r="K245" t="s">
        <v>23</v>
      </c>
      <c r="L245">
        <v>2681</v>
      </c>
      <c r="M245" s="4">
        <v>41.431548300000003</v>
      </c>
      <c r="N245" s="4">
        <v>176.15995902882898</v>
      </c>
      <c r="O245" s="4">
        <v>6.9337390031392492E-4</v>
      </c>
      <c r="P245" s="1" t="str">
        <f>HYPERLINK(".\sm_car_250620_2310\sm_car_250620_2310_244_Ca140TrN_MaCRR_DrSt_ode23t_1.png","figure")</f>
        <v>figure</v>
      </c>
      <c r="Q245" t="s">
        <v>15</v>
      </c>
    </row>
    <row r="246" spans="1:17" x14ac:dyDescent="0.25">
      <c r="A246">
        <v>245</v>
      </c>
      <c r="B246">
        <v>189</v>
      </c>
      <c r="C246" t="s">
        <v>45</v>
      </c>
      <c r="D246" t="s">
        <v>17</v>
      </c>
      <c r="E246" t="s">
        <v>107</v>
      </c>
      <c r="F246" t="s">
        <v>19</v>
      </c>
      <c r="G246" t="s">
        <v>26</v>
      </c>
      <c r="H246" t="s">
        <v>21</v>
      </c>
      <c r="I246" t="s">
        <v>112</v>
      </c>
      <c r="J246" t="s">
        <v>148</v>
      </c>
      <c r="K246" t="s">
        <v>23</v>
      </c>
      <c r="L246">
        <v>3327</v>
      </c>
      <c r="M246" s="4">
        <v>36.625248599999999</v>
      </c>
      <c r="N246" s="4">
        <v>176.2198566740457</v>
      </c>
      <c r="O246" s="4">
        <v>7.1431859917789797E-4</v>
      </c>
      <c r="P246" s="1" t="str">
        <f>HYPERLINK(".\sm_car_250620_2310\sm_car_250620_2310_245_Ca189TrN_MaCRR_DrSt_ode23t_1.png","figure")</f>
        <v>figure</v>
      </c>
      <c r="Q246" t="s">
        <v>15</v>
      </c>
    </row>
    <row r="247" spans="1:17" x14ac:dyDescent="0.25">
      <c r="A247">
        <v>246</v>
      </c>
      <c r="B247">
        <v>173</v>
      </c>
      <c r="C247" t="s">
        <v>45</v>
      </c>
      <c r="D247" t="s">
        <v>35</v>
      </c>
      <c r="E247" t="s">
        <v>49</v>
      </c>
      <c r="F247" t="s">
        <v>19</v>
      </c>
      <c r="G247" t="s">
        <v>90</v>
      </c>
      <c r="H247" t="s">
        <v>21</v>
      </c>
      <c r="I247" t="s">
        <v>91</v>
      </c>
      <c r="J247" t="s">
        <v>148</v>
      </c>
      <c r="K247" t="s">
        <v>92</v>
      </c>
      <c r="L247">
        <v>1646</v>
      </c>
      <c r="M247" s="4">
        <v>64.947503299999994</v>
      </c>
      <c r="N247" s="4">
        <v>51.298870179838786</v>
      </c>
      <c r="O247" s="4">
        <v>9.1602747821765505E-3</v>
      </c>
      <c r="P247" s="1" t="str">
        <f>HYPERLINK(".\sm_car_250620_2310\sm_car_250620_2310_246_Ca173TrN_MaDCA_DrSt_daessc_1.png","figure")</f>
        <v>figure</v>
      </c>
      <c r="Q247" t="s">
        <v>15</v>
      </c>
    </row>
    <row r="248" spans="1:17" x14ac:dyDescent="0.25">
      <c r="A248">
        <v>247</v>
      </c>
      <c r="B248">
        <v>173</v>
      </c>
      <c r="C248" t="s">
        <v>45</v>
      </c>
      <c r="D248" t="s">
        <v>35</v>
      </c>
      <c r="E248" t="s">
        <v>49</v>
      </c>
      <c r="F248" t="s">
        <v>19</v>
      </c>
      <c r="G248" t="s">
        <v>90</v>
      </c>
      <c r="H248" t="s">
        <v>21</v>
      </c>
      <c r="I248" t="s">
        <v>93</v>
      </c>
      <c r="J248" t="s">
        <v>148</v>
      </c>
      <c r="K248" t="s">
        <v>92</v>
      </c>
      <c r="L248">
        <v>4163</v>
      </c>
      <c r="M248" s="4">
        <v>108.91096159999999</v>
      </c>
      <c r="N248" s="4">
        <v>980.46466282281574</v>
      </c>
      <c r="O248" s="4">
        <v>0.73482984112452543</v>
      </c>
      <c r="P248" s="1" t="str">
        <f>HYPERLINK(".\sm_car_250620_2310\sm_car_250620_2310_247_Ca173TrN_MaDC1_DrSt_daessc_1.png","figure")</f>
        <v>figure</v>
      </c>
      <c r="Q248" t="s">
        <v>15</v>
      </c>
    </row>
    <row r="249" spans="1:17" x14ac:dyDescent="0.25">
      <c r="A249">
        <v>248</v>
      </c>
      <c r="B249">
        <v>165</v>
      </c>
      <c r="C249" t="s">
        <v>45</v>
      </c>
      <c r="D249" t="s">
        <v>35</v>
      </c>
      <c r="E249" t="s">
        <v>49</v>
      </c>
      <c r="F249" t="s">
        <v>19</v>
      </c>
      <c r="G249" t="s">
        <v>26</v>
      </c>
      <c r="H249" t="s">
        <v>21</v>
      </c>
      <c r="I249" t="s">
        <v>91</v>
      </c>
      <c r="J249" t="s">
        <v>148</v>
      </c>
      <c r="K249" t="s">
        <v>23</v>
      </c>
      <c r="L249">
        <v>311</v>
      </c>
      <c r="M249" s="4">
        <v>3.2614578000000001</v>
      </c>
      <c r="N249" s="4">
        <v>53.505610936939895</v>
      </c>
      <c r="O249" s="4">
        <v>1.0062186582865807E-2</v>
      </c>
      <c r="P249" s="1" t="str">
        <f>HYPERLINK(".\sm_car_250620_2310\sm_car_250620_2310_248_Ca165TrN_MaDCA_DrSt_ode23t_1.png","figure")</f>
        <v>figure</v>
      </c>
      <c r="Q249" t="s">
        <v>15</v>
      </c>
    </row>
    <row r="250" spans="1:17" x14ac:dyDescent="0.25">
      <c r="A250">
        <v>249</v>
      </c>
      <c r="B250">
        <v>165</v>
      </c>
      <c r="C250" t="s">
        <v>45</v>
      </c>
      <c r="D250" t="s">
        <v>35</v>
      </c>
      <c r="E250" t="s">
        <v>49</v>
      </c>
      <c r="F250" t="s">
        <v>19</v>
      </c>
      <c r="G250" t="s">
        <v>26</v>
      </c>
      <c r="H250" t="s">
        <v>21</v>
      </c>
      <c r="I250" t="s">
        <v>93</v>
      </c>
      <c r="J250" t="s">
        <v>148</v>
      </c>
      <c r="K250" t="s">
        <v>23</v>
      </c>
      <c r="L250">
        <v>1186</v>
      </c>
      <c r="M250" s="4">
        <v>8.0413308000000008</v>
      </c>
      <c r="N250" s="4">
        <v>992.64994851707252</v>
      </c>
      <c r="O250" s="4">
        <v>0.71091379086447071</v>
      </c>
      <c r="P250" s="1" t="str">
        <f>HYPERLINK(".\sm_car_250620_2310\sm_car_250620_2310_249_Ca165TrN_MaDC1_DrSt_ode23t_1.png","figure")</f>
        <v>figure</v>
      </c>
      <c r="Q250" t="s">
        <v>15</v>
      </c>
    </row>
    <row r="251" spans="1:17" x14ac:dyDescent="0.25">
      <c r="A251">
        <v>250</v>
      </c>
      <c r="B251">
        <v>196</v>
      </c>
      <c r="C251" t="s">
        <v>45</v>
      </c>
      <c r="D251" t="s">
        <v>35</v>
      </c>
      <c r="E251" t="s">
        <v>107</v>
      </c>
      <c r="F251" t="s">
        <v>19</v>
      </c>
      <c r="G251" t="s">
        <v>90</v>
      </c>
      <c r="H251" t="s">
        <v>21</v>
      </c>
      <c r="I251" t="s">
        <v>93</v>
      </c>
      <c r="J251" t="s">
        <v>148</v>
      </c>
      <c r="K251" t="s">
        <v>92</v>
      </c>
      <c r="L251">
        <v>4057</v>
      </c>
      <c r="M251" s="4">
        <v>48.904229600000001</v>
      </c>
      <c r="N251" s="4">
        <v>980.4611885529315</v>
      </c>
      <c r="O251" s="4">
        <v>0.73503776385960096</v>
      </c>
      <c r="P251" s="1" t="str">
        <f>HYPERLINK(".\sm_car_250620_2310\sm_car_250620_2310_250_Ca196TrN_MaDC1_DrSt_daessc_1.png","figure")</f>
        <v>figure</v>
      </c>
      <c r="Q251" t="s">
        <v>15</v>
      </c>
    </row>
    <row r="252" spans="1:17" x14ac:dyDescent="0.25">
      <c r="A252">
        <v>251</v>
      </c>
      <c r="B252">
        <v>179</v>
      </c>
      <c r="C252" t="s">
        <v>45</v>
      </c>
      <c r="D252" t="s">
        <v>57</v>
      </c>
      <c r="E252" t="s">
        <v>18</v>
      </c>
      <c r="F252" t="s">
        <v>19</v>
      </c>
      <c r="G252" t="s">
        <v>26</v>
      </c>
      <c r="H252" t="s">
        <v>21</v>
      </c>
      <c r="I252" t="s">
        <v>22</v>
      </c>
      <c r="J252" t="s">
        <v>148</v>
      </c>
      <c r="K252" t="s">
        <v>23</v>
      </c>
      <c r="L252">
        <v>469</v>
      </c>
      <c r="M252" s="4">
        <v>4.4677633999999999</v>
      </c>
      <c r="N252" s="4">
        <v>147.79577462033984</v>
      </c>
      <c r="O252" s="4">
        <v>9.6896843636243471E-2</v>
      </c>
      <c r="P252" s="1" t="str">
        <f>HYPERLINK(".\sm_car_250620_2310\sm_car_250620_2310_251_Ca179TrN_MaWOT_DrSt_ode23t_1.png","figure")</f>
        <v>figure</v>
      </c>
      <c r="Q252" t="s">
        <v>15</v>
      </c>
    </row>
    <row r="253" spans="1:17" x14ac:dyDescent="0.25">
      <c r="A253">
        <v>252</v>
      </c>
      <c r="B253">
        <v>180</v>
      </c>
      <c r="C253" t="s">
        <v>45</v>
      </c>
      <c r="D253" t="s">
        <v>57</v>
      </c>
      <c r="E253" t="s">
        <v>49</v>
      </c>
      <c r="F253" t="s">
        <v>19</v>
      </c>
      <c r="G253" t="s">
        <v>26</v>
      </c>
      <c r="H253" t="s">
        <v>21</v>
      </c>
      <c r="I253" t="s">
        <v>22</v>
      </c>
      <c r="J253" t="s">
        <v>148</v>
      </c>
      <c r="K253" t="s">
        <v>23</v>
      </c>
      <c r="L253">
        <v>508</v>
      </c>
      <c r="M253" s="4">
        <v>6.6394070000000003</v>
      </c>
      <c r="N253" s="4">
        <v>147.84980388293806</v>
      </c>
      <c r="O253" s="4">
        <v>9.6056388603589504E-2</v>
      </c>
      <c r="P253" s="1" t="str">
        <f>HYPERLINK(".\sm_car_250620_2310\sm_car_250620_2310_252_Ca180TrN_MaWOT_DrSt_ode23t_1.png","figure")</f>
        <v>figure</v>
      </c>
      <c r="Q253" t="s">
        <v>15</v>
      </c>
    </row>
    <row r="254" spans="1:17" x14ac:dyDescent="0.25">
      <c r="A254">
        <v>253</v>
      </c>
      <c r="B254">
        <v>197</v>
      </c>
      <c r="C254" t="s">
        <v>45</v>
      </c>
      <c r="D254" t="s">
        <v>57</v>
      </c>
      <c r="E254" t="s">
        <v>107</v>
      </c>
      <c r="F254" t="s">
        <v>19</v>
      </c>
      <c r="G254" t="s">
        <v>26</v>
      </c>
      <c r="H254" t="s">
        <v>21</v>
      </c>
      <c r="I254" t="s">
        <v>22</v>
      </c>
      <c r="J254" t="s">
        <v>148</v>
      </c>
      <c r="K254" t="s">
        <v>23</v>
      </c>
      <c r="L254">
        <v>458</v>
      </c>
      <c r="M254" s="4">
        <v>2.1595838000000001</v>
      </c>
      <c r="N254" s="4">
        <v>147.84410192199061</v>
      </c>
      <c r="O254" s="4">
        <v>9.6083867831797176E-2</v>
      </c>
      <c r="P254" s="1" t="str">
        <f>HYPERLINK(".\sm_car_250620_2310\sm_car_250620_2310_253_Ca197TrN_MaWOT_DrSt_ode23t_1.png","figure")</f>
        <v>figure</v>
      </c>
      <c r="Q254" t="s">
        <v>15</v>
      </c>
    </row>
    <row r="255" spans="1:17" x14ac:dyDescent="0.25">
      <c r="A255">
        <v>254</v>
      </c>
      <c r="B255">
        <v>182</v>
      </c>
      <c r="C255" t="s">
        <v>45</v>
      </c>
      <c r="D255" t="s">
        <v>17</v>
      </c>
      <c r="E255" t="s">
        <v>49</v>
      </c>
      <c r="F255" t="s">
        <v>19</v>
      </c>
      <c r="G255" t="s">
        <v>26</v>
      </c>
      <c r="H255" t="s">
        <v>21</v>
      </c>
      <c r="I255" t="s">
        <v>64</v>
      </c>
      <c r="J255" t="s">
        <v>148</v>
      </c>
      <c r="K255" t="s">
        <v>23</v>
      </c>
      <c r="L255">
        <v>425</v>
      </c>
      <c r="M255" s="4">
        <v>12.758787</v>
      </c>
      <c r="N255" s="4">
        <v>62.247790880992</v>
      </c>
      <c r="O255" s="4">
        <v>-24.541572966824855</v>
      </c>
      <c r="P255" s="1" t="str">
        <f>HYPERLINK(".\sm_car_250620_2310\sm_car_250620_2310_254_Ca182TrN_MaTUR_DrSt_ode23t_1.png","figure")</f>
        <v>figure</v>
      </c>
      <c r="Q255" t="s">
        <v>15</v>
      </c>
    </row>
    <row r="256" spans="1:17" x14ac:dyDescent="0.25">
      <c r="A256">
        <v>255</v>
      </c>
      <c r="B256">
        <v>203</v>
      </c>
      <c r="C256" t="s">
        <v>45</v>
      </c>
      <c r="D256" t="s">
        <v>17</v>
      </c>
      <c r="E256" t="s">
        <v>107</v>
      </c>
      <c r="F256" t="s">
        <v>19</v>
      </c>
      <c r="G256" t="s">
        <v>26</v>
      </c>
      <c r="H256" t="s">
        <v>21</v>
      </c>
      <c r="I256" t="s">
        <v>64</v>
      </c>
      <c r="J256" t="s">
        <v>148</v>
      </c>
      <c r="K256" t="s">
        <v>23</v>
      </c>
      <c r="L256">
        <v>368</v>
      </c>
      <c r="M256" s="4">
        <v>4.6459761000000004</v>
      </c>
      <c r="N256" s="4">
        <v>62.254814014817171</v>
      </c>
      <c r="O256" s="4">
        <v>-24.556623537306013</v>
      </c>
      <c r="P256" s="1" t="str">
        <f>HYPERLINK(".\sm_car_250620_2310\sm_car_250620_2310_255_Ca203TrN_MaTUR_DrSt_ode23t_1.png","figure")</f>
        <v>figure</v>
      </c>
      <c r="Q256" t="s">
        <v>15</v>
      </c>
    </row>
    <row r="257" spans="1:17" x14ac:dyDescent="0.25">
      <c r="A257">
        <v>256</v>
      </c>
      <c r="B257">
        <v>185</v>
      </c>
      <c r="C257" t="s">
        <v>45</v>
      </c>
      <c r="D257" t="s">
        <v>17</v>
      </c>
      <c r="E257" t="s">
        <v>18</v>
      </c>
      <c r="F257" t="s">
        <v>19</v>
      </c>
      <c r="G257" t="s">
        <v>26</v>
      </c>
      <c r="H257" t="s">
        <v>21</v>
      </c>
      <c r="I257" t="s">
        <v>64</v>
      </c>
      <c r="J257" t="s">
        <v>148</v>
      </c>
      <c r="K257" t="s">
        <v>23</v>
      </c>
      <c r="L257">
        <v>259</v>
      </c>
      <c r="M257" s="4">
        <v>12.2634341</v>
      </c>
      <c r="N257" s="4">
        <v>6.6220923596721075</v>
      </c>
      <c r="O257" s="4">
        <v>-0.16094022968148744</v>
      </c>
      <c r="P257" s="1" t="str">
        <f>HYPERLINK(".\sm_car_250620_2310\sm_car_250620_2310_256_Ca185TrN_MaTUR_DrSt_ode23t_1.png","figure")</f>
        <v>figure</v>
      </c>
      <c r="Q257" t="s">
        <v>15</v>
      </c>
    </row>
    <row r="258" spans="1:17" x14ac:dyDescent="0.25">
      <c r="A258">
        <v>257</v>
      </c>
      <c r="B258">
        <v>188</v>
      </c>
      <c r="C258" t="s">
        <v>45</v>
      </c>
      <c r="D258" t="s">
        <v>113</v>
      </c>
      <c r="E258" t="s">
        <v>49</v>
      </c>
      <c r="F258" t="s">
        <v>19</v>
      </c>
      <c r="G258" t="s">
        <v>26</v>
      </c>
      <c r="H258" t="s">
        <v>21</v>
      </c>
      <c r="I258" t="s">
        <v>64</v>
      </c>
      <c r="J258" t="s">
        <v>148</v>
      </c>
      <c r="K258" t="s">
        <v>23</v>
      </c>
      <c r="L258">
        <v>315</v>
      </c>
      <c r="M258" s="4">
        <v>4.8623367000000002</v>
      </c>
      <c r="N258" s="4">
        <v>7.102293292976956</v>
      </c>
      <c r="O258" s="4">
        <v>-0.14292382031231393</v>
      </c>
      <c r="P258" s="1" t="str">
        <f>HYPERLINK(".\sm_car_250620_2310\sm_car_250620_2310_257_Ca188TrN_MaTUR_DrSt_ode23t_1.png","figure")</f>
        <v>figure</v>
      </c>
      <c r="Q258" t="s">
        <v>15</v>
      </c>
    </row>
    <row r="259" spans="1:17" x14ac:dyDescent="0.25">
      <c r="A259">
        <v>258</v>
      </c>
      <c r="B259" t="s">
        <v>94</v>
      </c>
      <c r="C259" t="s">
        <v>95</v>
      </c>
      <c r="D259" t="s">
        <v>35</v>
      </c>
      <c r="E259" t="s">
        <v>18</v>
      </c>
      <c r="F259" t="s">
        <v>19</v>
      </c>
      <c r="G259" t="s">
        <v>96</v>
      </c>
      <c r="H259" t="s">
        <v>21</v>
      </c>
      <c r="I259" t="s">
        <v>22</v>
      </c>
      <c r="J259" t="s">
        <v>148</v>
      </c>
      <c r="K259" t="s">
        <v>23</v>
      </c>
      <c r="L259">
        <v>266</v>
      </c>
      <c r="M259" s="4">
        <v>6.8875602000000002</v>
      </c>
      <c r="N259" s="4">
        <v>1.0362066753885868</v>
      </c>
      <c r="O259" s="4">
        <v>-9.483547741286157E-4</v>
      </c>
      <c r="P259" s="1" t="str">
        <f>HYPERLINK(".\sm_car_250620_2310\sm_car_Axle3_250620_2310_258_CaAxle3_000TrN_MaWOT_DrSt_ode23t_1.png","figure")</f>
        <v>figure</v>
      </c>
      <c r="Q259" t="s">
        <v>15</v>
      </c>
    </row>
    <row r="260" spans="1:17" x14ac:dyDescent="0.25">
      <c r="A260">
        <v>259</v>
      </c>
      <c r="B260" t="s">
        <v>99</v>
      </c>
      <c r="C260" t="s">
        <v>100</v>
      </c>
      <c r="D260" t="s">
        <v>35</v>
      </c>
      <c r="E260" t="s">
        <v>18</v>
      </c>
      <c r="F260" t="s">
        <v>19</v>
      </c>
      <c r="G260" t="s">
        <v>96</v>
      </c>
      <c r="H260" t="s">
        <v>21</v>
      </c>
      <c r="I260" t="s">
        <v>22</v>
      </c>
      <c r="J260" t="s">
        <v>148</v>
      </c>
      <c r="K260" t="s">
        <v>23</v>
      </c>
      <c r="L260">
        <v>239</v>
      </c>
      <c r="M260" s="4">
        <v>5.6250470000000004</v>
      </c>
      <c r="N260" s="4">
        <v>0.95201963535532119</v>
      </c>
      <c r="O260" s="4">
        <v>-1.0935191860936418E-3</v>
      </c>
      <c r="P260" s="1" t="str">
        <f>HYPERLINK(".\sm_car_250620_2310\sm_car_Axle3_250620_2310_259_CaAxle3_008TrN_MaWOT_DrSt_ode23t_1.png","figure")</f>
        <v>figure</v>
      </c>
      <c r="Q260" t="s">
        <v>15</v>
      </c>
    </row>
    <row r="261" spans="1:17" x14ac:dyDescent="0.25">
      <c r="A261">
        <v>260</v>
      </c>
      <c r="B261" t="s">
        <v>97</v>
      </c>
      <c r="C261" t="s">
        <v>95</v>
      </c>
      <c r="D261" t="s">
        <v>35</v>
      </c>
      <c r="E261" t="s">
        <v>49</v>
      </c>
      <c r="F261" t="s">
        <v>19</v>
      </c>
      <c r="G261" t="s">
        <v>98</v>
      </c>
      <c r="H261" t="s">
        <v>21</v>
      </c>
      <c r="I261" t="s">
        <v>22</v>
      </c>
      <c r="J261" t="s">
        <v>148</v>
      </c>
      <c r="K261" t="s">
        <v>23</v>
      </c>
      <c r="L261">
        <v>215</v>
      </c>
      <c r="M261" s="4">
        <v>8.5007480999999991</v>
      </c>
      <c r="N261" s="4">
        <v>1.0453120495274835</v>
      </c>
      <c r="O261" s="4">
        <v>-7.3514201490361636E-4</v>
      </c>
      <c r="P261" s="1" t="str">
        <f>HYPERLINK(".\sm_car_250620_2310\sm_car_Axle3_250620_2310_260_CaAxle3_003TrN_MaWOT_DrSt_ode23t_1.png","figure")</f>
        <v>figure</v>
      </c>
      <c r="Q261" t="s">
        <v>15</v>
      </c>
    </row>
    <row r="262" spans="1:17" x14ac:dyDescent="0.25">
      <c r="A262">
        <v>261</v>
      </c>
      <c r="B262" t="s">
        <v>114</v>
      </c>
      <c r="C262" t="s">
        <v>95</v>
      </c>
      <c r="D262" t="s">
        <v>35</v>
      </c>
      <c r="E262" t="s">
        <v>107</v>
      </c>
      <c r="F262" t="s">
        <v>19</v>
      </c>
      <c r="G262" t="s">
        <v>98</v>
      </c>
      <c r="H262" t="s">
        <v>21</v>
      </c>
      <c r="I262" t="s">
        <v>22</v>
      </c>
      <c r="J262" t="s">
        <v>148</v>
      </c>
      <c r="K262" t="s">
        <v>23</v>
      </c>
      <c r="L262">
        <v>220</v>
      </c>
      <c r="M262" s="4">
        <v>1.2529055</v>
      </c>
      <c r="N262" s="4">
        <v>1.1716894651401155</v>
      </c>
      <c r="O262" s="4">
        <v>-7.1029893910616354E-4</v>
      </c>
      <c r="P262" s="1" t="str">
        <f>HYPERLINK(".\sm_car_250620_2310\sm_car_Axle3_250620_2310_261_CaAxle3_017TrN_MaWOT_DrSt_ode23t_1.png","figure")</f>
        <v>figure</v>
      </c>
      <c r="Q262" t="s">
        <v>15</v>
      </c>
    </row>
    <row r="263" spans="1:17" x14ac:dyDescent="0.25">
      <c r="A263">
        <v>262</v>
      </c>
      <c r="B263" t="s">
        <v>101</v>
      </c>
      <c r="C263" t="s">
        <v>100</v>
      </c>
      <c r="D263" t="s">
        <v>35</v>
      </c>
      <c r="E263" t="s">
        <v>49</v>
      </c>
      <c r="F263" t="s">
        <v>19</v>
      </c>
      <c r="G263" t="s">
        <v>96</v>
      </c>
      <c r="H263" t="s">
        <v>102</v>
      </c>
      <c r="I263" t="s">
        <v>22</v>
      </c>
      <c r="J263" t="s">
        <v>148</v>
      </c>
      <c r="K263" t="s">
        <v>23</v>
      </c>
      <c r="L263">
        <v>250</v>
      </c>
      <c r="M263" s="4">
        <v>27.931138700000002</v>
      </c>
      <c r="N263" s="4">
        <v>0.92434192220474909</v>
      </c>
      <c r="O263" s="4">
        <v>-8.6024272781040287E-4</v>
      </c>
      <c r="P263" s="1" t="str">
        <f>HYPERLINK(".\sm_car_250620_2310\sm_car_Axle3_250620_2310_262_CaAxle3_010TrK_MaWOT_DrSt_ode23t_1.png","figure")</f>
        <v>figure</v>
      </c>
      <c r="Q263" t="s">
        <v>15</v>
      </c>
    </row>
    <row r="264" spans="1:17" x14ac:dyDescent="0.25">
      <c r="A264">
        <v>263</v>
      </c>
      <c r="B264" t="s">
        <v>101</v>
      </c>
      <c r="C264" t="s">
        <v>100</v>
      </c>
      <c r="D264" t="s">
        <v>35</v>
      </c>
      <c r="E264" t="s">
        <v>49</v>
      </c>
      <c r="F264" t="s">
        <v>19</v>
      </c>
      <c r="G264" t="s">
        <v>96</v>
      </c>
      <c r="H264" t="s">
        <v>102</v>
      </c>
      <c r="I264" t="s">
        <v>22</v>
      </c>
      <c r="J264" t="s">
        <v>148</v>
      </c>
      <c r="K264" t="s">
        <v>23</v>
      </c>
      <c r="L264">
        <v>250</v>
      </c>
      <c r="M264" s="4">
        <v>27.387330299999999</v>
      </c>
      <c r="N264" s="4">
        <v>0.92435431115009781</v>
      </c>
      <c r="O264" s="4">
        <v>-8.6020214864110725E-4</v>
      </c>
      <c r="P264" s="1" t="str">
        <f>HYPERLINK(".\sm_car_250620_2310\sm_car_Axle3_250620_2310_263_CaAxle3_010TrK_MaWOT_DrSt_ode23t_1.png","figure")</f>
        <v>figure</v>
      </c>
      <c r="Q264" t="s">
        <v>15</v>
      </c>
    </row>
    <row r="265" spans="1:17" x14ac:dyDescent="0.25">
      <c r="A265">
        <v>264</v>
      </c>
      <c r="B265" t="s">
        <v>115</v>
      </c>
      <c r="C265" t="s">
        <v>100</v>
      </c>
      <c r="D265" t="s">
        <v>35</v>
      </c>
      <c r="E265" t="s">
        <v>107</v>
      </c>
      <c r="F265" t="s">
        <v>19</v>
      </c>
      <c r="G265" t="s">
        <v>96</v>
      </c>
      <c r="H265" t="s">
        <v>102</v>
      </c>
      <c r="I265" t="s">
        <v>22</v>
      </c>
      <c r="J265" t="s">
        <v>148</v>
      </c>
      <c r="K265" t="s">
        <v>23</v>
      </c>
      <c r="L265">
        <v>258</v>
      </c>
      <c r="M265" s="4">
        <v>2.087812</v>
      </c>
      <c r="N265" s="4">
        <v>1.4138086078634524</v>
      </c>
      <c r="O265" s="4">
        <v>-8.7948313270191057E-4</v>
      </c>
      <c r="P265" s="1" t="str">
        <f>HYPERLINK(".\sm_car_250620_2310\sm_car_Axle3_250620_2310_264_CaAxle3_019TrK_MaWOT_DrSt_ode23t_1.png","figure")</f>
        <v>figure</v>
      </c>
      <c r="Q265" t="s">
        <v>15</v>
      </c>
    </row>
    <row r="266" spans="1:17" x14ac:dyDescent="0.25">
      <c r="A266">
        <v>265</v>
      </c>
      <c r="B266" t="s">
        <v>115</v>
      </c>
      <c r="C266" t="s">
        <v>100</v>
      </c>
      <c r="D266" t="s">
        <v>35</v>
      </c>
      <c r="E266" t="s">
        <v>107</v>
      </c>
      <c r="F266" t="s">
        <v>19</v>
      </c>
      <c r="G266" t="s">
        <v>96</v>
      </c>
      <c r="H266" t="s">
        <v>102</v>
      </c>
      <c r="I266" t="s">
        <v>22</v>
      </c>
      <c r="J266" t="s">
        <v>148</v>
      </c>
      <c r="K266" t="s">
        <v>23</v>
      </c>
      <c r="L266">
        <v>259</v>
      </c>
      <c r="M266" s="4">
        <v>2.4299778000000001</v>
      </c>
      <c r="N266" s="4">
        <v>1.4135591890485459</v>
      </c>
      <c r="O266" s="4">
        <v>-8.7946492662735291E-4</v>
      </c>
      <c r="P266" s="1" t="str">
        <f>HYPERLINK(".\sm_car_250620_2310\sm_car_Axle3_250620_2310_265_CaAxle3_019TrK_MaWOT_DrSt_ode23t_1.png","figure")</f>
        <v>figure</v>
      </c>
      <c r="Q266" t="s">
        <v>15</v>
      </c>
    </row>
    <row r="267" spans="1:17" x14ac:dyDescent="0.25">
      <c r="A267">
        <v>266</v>
      </c>
      <c r="B267" t="s">
        <v>115</v>
      </c>
      <c r="C267" t="s">
        <v>100</v>
      </c>
      <c r="D267" t="s">
        <v>35</v>
      </c>
      <c r="E267" t="s">
        <v>107</v>
      </c>
      <c r="F267" t="s">
        <v>19</v>
      </c>
      <c r="G267" t="s">
        <v>96</v>
      </c>
      <c r="H267" t="s">
        <v>102</v>
      </c>
      <c r="I267" t="s">
        <v>53</v>
      </c>
      <c r="J267" t="s">
        <v>148</v>
      </c>
      <c r="K267" t="s">
        <v>23</v>
      </c>
      <c r="L267">
        <v>674</v>
      </c>
      <c r="M267" s="4">
        <v>4.8707956000000001</v>
      </c>
      <c r="N267" s="4">
        <v>253.28833846433827</v>
      </c>
      <c r="O267" s="4">
        <v>-0.10374009990131272</v>
      </c>
      <c r="P267" s="1" t="str">
        <f>HYPERLINK(".\sm_car_250620_2310\sm_car_Axle3_250620_2310_266_CaAxle3_019TrK_MaDLC_DrSt_ode23t_1.png","figure")</f>
        <v>figure</v>
      </c>
      <c r="Q267" t="s">
        <v>15</v>
      </c>
    </row>
    <row r="268" spans="1:17" x14ac:dyDescent="0.25">
      <c r="A268">
        <v>267</v>
      </c>
      <c r="B268" t="s">
        <v>115</v>
      </c>
      <c r="C268" t="s">
        <v>100</v>
      </c>
      <c r="D268" t="s">
        <v>35</v>
      </c>
      <c r="E268" t="s">
        <v>107</v>
      </c>
      <c r="F268" t="s">
        <v>19</v>
      </c>
      <c r="G268" t="s">
        <v>96</v>
      </c>
      <c r="H268" t="s">
        <v>102</v>
      </c>
      <c r="I268" t="s">
        <v>53</v>
      </c>
      <c r="J268" t="s">
        <v>148</v>
      </c>
      <c r="K268" t="s">
        <v>23</v>
      </c>
      <c r="L268">
        <v>769</v>
      </c>
      <c r="M268" s="4">
        <v>5.2514633999999996</v>
      </c>
      <c r="N268" s="4">
        <v>253.32632489814182</v>
      </c>
      <c r="O268" s="4">
        <v>-0.10306038912502835</v>
      </c>
      <c r="P268" s="1" t="str">
        <f>HYPERLINK(".\sm_car_250620_2310\sm_car_Axle3_250620_2310_267_CaAxle3_019TrK_MaDLC_DrSt_ode23t_1.png","figure")</f>
        <v>figure</v>
      </c>
      <c r="Q268" t="s">
        <v>15</v>
      </c>
    </row>
    <row r="269" spans="1:17" x14ac:dyDescent="0.25">
      <c r="A269">
        <v>268</v>
      </c>
      <c r="B269" t="s">
        <v>115</v>
      </c>
      <c r="C269" t="s">
        <v>100</v>
      </c>
      <c r="D269" t="s">
        <v>35</v>
      </c>
      <c r="E269" t="s">
        <v>107</v>
      </c>
      <c r="F269" t="s">
        <v>19</v>
      </c>
      <c r="G269" t="s">
        <v>96</v>
      </c>
      <c r="H269" t="s">
        <v>102</v>
      </c>
      <c r="I269" t="s">
        <v>53</v>
      </c>
      <c r="J269" t="s">
        <v>148</v>
      </c>
      <c r="K269" t="s">
        <v>23</v>
      </c>
      <c r="L269">
        <v>679</v>
      </c>
      <c r="M269" s="4">
        <v>4.6929075999999998</v>
      </c>
      <c r="N269" s="4">
        <v>254.72158448072821</v>
      </c>
      <c r="O269" s="4">
        <v>-0.10646422837422254</v>
      </c>
      <c r="P269" s="1" t="str">
        <f>HYPERLINK(".\sm_car_250620_2310\sm_car_Axle3_250620_2310_268_CaAxle3_019TrK_MaDLC_DrSt_ode23t_1.png","figure")</f>
        <v>figure</v>
      </c>
      <c r="Q269" t="s">
        <v>15</v>
      </c>
    </row>
    <row r="270" spans="1:17" x14ac:dyDescent="0.25">
      <c r="A270">
        <v>269</v>
      </c>
      <c r="B270" t="s">
        <v>115</v>
      </c>
      <c r="C270" t="s">
        <v>100</v>
      </c>
      <c r="D270" t="s">
        <v>35</v>
      </c>
      <c r="E270" t="s">
        <v>107</v>
      </c>
      <c r="F270" t="s">
        <v>19</v>
      </c>
      <c r="G270" t="s">
        <v>96</v>
      </c>
      <c r="H270" t="s">
        <v>102</v>
      </c>
      <c r="I270" t="s">
        <v>53</v>
      </c>
      <c r="J270" t="s">
        <v>148</v>
      </c>
      <c r="K270" t="s">
        <v>23</v>
      </c>
      <c r="L270">
        <v>926</v>
      </c>
      <c r="M270" s="4">
        <v>5.5467462999999997</v>
      </c>
      <c r="N270" s="4">
        <v>253.83074714637331</v>
      </c>
      <c r="O270" s="4">
        <v>-9.8637183116010441E-2</v>
      </c>
      <c r="P270" s="1" t="str">
        <f>HYPERLINK(".\sm_car_250620_2310\sm_car_Axle3_250620_2310_269_CaAxle3_019TrK_MaDLC_DrSt_ode23t_1.png","figure")</f>
        <v>figure</v>
      </c>
      <c r="Q270" t="s">
        <v>15</v>
      </c>
    </row>
    <row r="271" spans="1:17" x14ac:dyDescent="0.25">
      <c r="A271">
        <v>270</v>
      </c>
      <c r="B271" t="s">
        <v>138</v>
      </c>
      <c r="C271" t="s">
        <v>139</v>
      </c>
      <c r="D271" t="s">
        <v>35</v>
      </c>
      <c r="E271" t="s">
        <v>49</v>
      </c>
      <c r="F271" t="s">
        <v>19</v>
      </c>
      <c r="G271" t="s">
        <v>96</v>
      </c>
      <c r="H271" t="s">
        <v>102</v>
      </c>
      <c r="I271" t="s">
        <v>22</v>
      </c>
      <c r="J271" t="s">
        <v>148</v>
      </c>
      <c r="K271" t="s">
        <v>23</v>
      </c>
      <c r="L271">
        <v>236</v>
      </c>
      <c r="M271" s="4">
        <v>2.2197293999999999</v>
      </c>
      <c r="N271" s="4">
        <v>7.6762235685984113</v>
      </c>
      <c r="O271" s="4">
        <v>2.4094134581657128E-5</v>
      </c>
      <c r="P271" s="1" t="str">
        <f>HYPERLINK(".\sm_car_250620_2310\sm_car_Axle3_250620_2310_270_CaAxle3_023TrK_MaWOT_DrSt_ode23t_1.png","figure")</f>
        <v>figure</v>
      </c>
      <c r="Q271" t="s">
        <v>15</v>
      </c>
    </row>
  </sheetData>
  <autoFilter ref="A1:Q271" xr:uid="{545E07E4-B0BB-4DA6-BB3D-3A0B8DA05011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BDEC-82FE-4ED3-BD9B-67AFECB1F592}">
  <dimension ref="A1:S271"/>
  <sheetViews>
    <sheetView workbookViewId="0">
      <pane ySplit="1" topLeftCell="A2" activePane="bottomLeft" state="frozen"/>
      <selection pane="bottomLeft" activeCell="Y16" sqref="Y16"/>
    </sheetView>
  </sheetViews>
  <sheetFormatPr defaultRowHeight="15" x14ac:dyDescent="0.25"/>
  <cols>
    <col min="1" max="1" width="4.42578125" bestFit="1" customWidth="1"/>
    <col min="2" max="2" width="10" bestFit="1" customWidth="1"/>
    <col min="3" max="3" width="14" bestFit="1" customWidth="1"/>
    <col min="4" max="4" width="12.42578125" bestFit="1" customWidth="1"/>
    <col min="5" max="5" width="11.85546875" bestFit="1" customWidth="1"/>
    <col min="6" max="6" width="11.42578125" bestFit="1" customWidth="1"/>
    <col min="7" max="7" width="16.85546875" bestFit="1" customWidth="1"/>
    <col min="8" max="8" width="8.5703125" bestFit="1" customWidth="1"/>
    <col min="9" max="9" width="27.140625" bestFit="1" customWidth="1"/>
    <col min="10" max="10" width="12.42578125" bestFit="1" customWidth="1"/>
    <col min="11" max="11" width="7.140625" bestFit="1" customWidth="1"/>
    <col min="12" max="12" width="7.28515625" bestFit="1" customWidth="1"/>
    <col min="13" max="13" width="6.5703125" bestFit="1" customWidth="1"/>
    <col min="14" max="15" width="8.28515625" bestFit="1" customWidth="1"/>
    <col min="16" max="16" width="6.5703125" bestFit="1" customWidth="1"/>
    <col min="17" max="17" width="4.85546875" bestFit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6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S1" s="2" t="s">
        <v>156</v>
      </c>
    </row>
    <row r="2" spans="1:19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148</v>
      </c>
      <c r="K2" t="s">
        <v>23</v>
      </c>
      <c r="L2">
        <v>423</v>
      </c>
      <c r="M2" s="10">
        <v>7.1140372999999997</v>
      </c>
      <c r="N2" s="10">
        <v>231.2177424405688</v>
      </c>
      <c r="O2" s="10">
        <v>-4.8384781673831328E-3</v>
      </c>
      <c r="P2" s="1" t="str">
        <f>HYPERLINK(".\sm_car_250701_2310\sm_car_250701_2310_001_Ca000TrN_MaWOT_DrSt_ode23t.png","figure")</f>
        <v>figure</v>
      </c>
      <c r="Q2" t="s">
        <v>15</v>
      </c>
      <c r="S2" s="2" t="s">
        <v>116</v>
      </c>
    </row>
    <row r="3" spans="1:19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24</v>
      </c>
      <c r="J3" t="s">
        <v>148</v>
      </c>
      <c r="K3" t="s">
        <v>23</v>
      </c>
      <c r="L3">
        <v>533</v>
      </c>
      <c r="M3" s="10">
        <v>7.7586016000000004</v>
      </c>
      <c r="N3" s="10">
        <v>71.236125327442352</v>
      </c>
      <c r="O3" s="10">
        <v>-0.53981194400981525</v>
      </c>
      <c r="P3" s="1" t="str">
        <f>HYPERLINK(".\sm_car_250701_2310\sm_car_250701_2310_002_Ca000TrN_MaLSS_DrSt_ode23t.png","figure")</f>
        <v>figure</v>
      </c>
      <c r="Q3" t="s">
        <v>15</v>
      </c>
      <c r="S3" s="2" t="s">
        <v>117</v>
      </c>
    </row>
    <row r="4" spans="1:19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21</v>
      </c>
      <c r="I4" t="s">
        <v>22</v>
      </c>
      <c r="J4" t="s">
        <v>148</v>
      </c>
      <c r="K4" t="s">
        <v>23</v>
      </c>
      <c r="L4">
        <v>421</v>
      </c>
      <c r="M4" s="10">
        <v>7.4294945999999999</v>
      </c>
      <c r="N4" s="10">
        <v>230.31073710127711</v>
      </c>
      <c r="O4" s="10">
        <v>-1.2513166869400516E-2</v>
      </c>
      <c r="P4" s="1" t="str">
        <f>HYPERLINK(".\sm_car_250701_2310\sm_car_250701_2310_003_Ca001TrN_MaWOT_DrSt_ode23t.png","figure")</f>
        <v>figure</v>
      </c>
      <c r="Q4" t="s">
        <v>15</v>
      </c>
      <c r="S4" s="2" t="s">
        <v>118</v>
      </c>
    </row>
    <row r="5" spans="1:19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25</v>
      </c>
      <c r="H5" t="s">
        <v>21</v>
      </c>
      <c r="I5" t="s">
        <v>24</v>
      </c>
      <c r="J5" t="s">
        <v>148</v>
      </c>
      <c r="K5" t="s">
        <v>23</v>
      </c>
      <c r="L5">
        <v>522</v>
      </c>
      <c r="M5" s="10">
        <v>8.0859027000000001</v>
      </c>
      <c r="N5" s="10">
        <v>70.961988299975928</v>
      </c>
      <c r="O5" s="10">
        <v>-0.53536836924365883</v>
      </c>
      <c r="P5" s="1" t="str">
        <f>HYPERLINK(".\sm_car_250701_2310\sm_car_250701_2310_004_Ca001TrN_MaLSS_DrSt_ode23t.png","figure")</f>
        <v>figure</v>
      </c>
      <c r="Q5" t="s">
        <v>15</v>
      </c>
      <c r="S5" t="s">
        <v>157</v>
      </c>
    </row>
    <row r="6" spans="1:19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26</v>
      </c>
      <c r="H6" t="s">
        <v>21</v>
      </c>
      <c r="I6" t="s">
        <v>22</v>
      </c>
      <c r="J6" t="s">
        <v>148</v>
      </c>
      <c r="K6" t="s">
        <v>23</v>
      </c>
      <c r="L6">
        <v>431</v>
      </c>
      <c r="M6" s="10">
        <v>10.678773400000001</v>
      </c>
      <c r="N6" s="10">
        <v>230.39353132088564</v>
      </c>
      <c r="O6" s="10">
        <v>5.3633281204426446E-2</v>
      </c>
      <c r="P6" s="1" t="str">
        <f>HYPERLINK(".\sm_car_250701_2310\sm_car_250701_2310_005_Ca002TrN_MaWOT_DrSt_ode23t.png","figure")</f>
        <v>figure</v>
      </c>
      <c r="Q6" t="s">
        <v>15</v>
      </c>
    </row>
    <row r="7" spans="1:19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26</v>
      </c>
      <c r="H7" t="s">
        <v>21</v>
      </c>
      <c r="I7" t="s">
        <v>24</v>
      </c>
      <c r="J7" t="s">
        <v>148</v>
      </c>
      <c r="K7" t="s">
        <v>23</v>
      </c>
      <c r="L7">
        <v>526</v>
      </c>
      <c r="M7" s="10">
        <v>11.4428982</v>
      </c>
      <c r="N7" s="10">
        <v>70.960569189103424</v>
      </c>
      <c r="O7" s="10">
        <v>-0.52803158816223184</v>
      </c>
      <c r="P7" s="1" t="str">
        <f>HYPERLINK(".\sm_car_250701_2310\sm_car_250701_2310_006_Ca002TrN_MaLSS_DrSt_ode23t.png","figure")</f>
        <v>figure</v>
      </c>
      <c r="Q7" t="s">
        <v>15</v>
      </c>
    </row>
    <row r="8" spans="1:19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27</v>
      </c>
      <c r="H8" t="s">
        <v>21</v>
      </c>
      <c r="I8" t="s">
        <v>22</v>
      </c>
      <c r="J8" t="s">
        <v>148</v>
      </c>
      <c r="K8" t="s">
        <v>23</v>
      </c>
      <c r="L8">
        <v>495</v>
      </c>
      <c r="M8" s="10">
        <v>12.4870506</v>
      </c>
      <c r="N8" s="10">
        <v>229.89357544752883</v>
      </c>
      <c r="O8" s="10">
        <v>6.2849007069600255E-2</v>
      </c>
      <c r="P8" s="1" t="str">
        <f>HYPERLINK(".\sm_car_250701_2310\sm_car_250701_2310_007_Ca003TrN_MaWOT_DrSt_ode23t.png","figure")</f>
        <v>figure</v>
      </c>
      <c r="Q8" t="s">
        <v>15</v>
      </c>
    </row>
    <row r="9" spans="1:19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27</v>
      </c>
      <c r="H9" t="s">
        <v>21</v>
      </c>
      <c r="I9" t="s">
        <v>24</v>
      </c>
      <c r="J9" t="s">
        <v>148</v>
      </c>
      <c r="K9" t="s">
        <v>23</v>
      </c>
      <c r="L9">
        <v>547</v>
      </c>
      <c r="M9" s="10">
        <v>12.1743623</v>
      </c>
      <c r="N9" s="10">
        <v>70.819478815268269</v>
      </c>
      <c r="O9" s="10">
        <v>-0.52802651899205089</v>
      </c>
      <c r="P9" s="1" t="str">
        <f>HYPERLINK(".\sm_car_250701_2310\sm_car_250701_2310_008_Ca003TrN_MaLSS_DrSt_ode23t.png","figure")</f>
        <v>figure</v>
      </c>
      <c r="Q9" t="s">
        <v>15</v>
      </c>
    </row>
    <row r="10" spans="1:19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20</v>
      </c>
      <c r="H10" t="s">
        <v>21</v>
      </c>
      <c r="I10" t="s">
        <v>22</v>
      </c>
      <c r="J10" t="s">
        <v>148</v>
      </c>
      <c r="K10" t="s">
        <v>23</v>
      </c>
      <c r="L10">
        <v>1085</v>
      </c>
      <c r="M10" s="10">
        <v>11.214487699999999</v>
      </c>
      <c r="N10" s="10">
        <v>231.35048401278598</v>
      </c>
      <c r="O10" s="10">
        <v>-4.0514741091662787E-3</v>
      </c>
      <c r="P10" s="1" t="str">
        <f>HYPERLINK(".\sm_car_250701_2310\sm_car_250701_2310_009_Ca004TrN_MaWOT_DrSt_ode23t.png","figure")</f>
        <v>figure</v>
      </c>
      <c r="Q10" t="s">
        <v>15</v>
      </c>
    </row>
    <row r="11" spans="1:19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20</v>
      </c>
      <c r="H11" t="s">
        <v>21</v>
      </c>
      <c r="I11" t="s">
        <v>24</v>
      </c>
      <c r="J11" t="s">
        <v>148</v>
      </c>
      <c r="K11" t="s">
        <v>23</v>
      </c>
      <c r="L11">
        <v>1206</v>
      </c>
      <c r="M11" s="10">
        <v>12.6740263</v>
      </c>
      <c r="N11" s="10">
        <v>71.24565934260167</v>
      </c>
      <c r="O11" s="10">
        <v>-0.54254908395302193</v>
      </c>
      <c r="P11" s="1" t="str">
        <f>HYPERLINK(".\sm_car_250701_2310\sm_car_250701_2310_010_Ca004TrN_MaLSS_DrSt_ode23t.png","figure")</f>
        <v>figure</v>
      </c>
      <c r="Q11" t="s">
        <v>15</v>
      </c>
    </row>
    <row r="12" spans="1:19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25</v>
      </c>
      <c r="H12" t="s">
        <v>21</v>
      </c>
      <c r="I12" t="s">
        <v>22</v>
      </c>
      <c r="J12" t="s">
        <v>148</v>
      </c>
      <c r="K12" t="s">
        <v>23</v>
      </c>
      <c r="L12">
        <v>1124</v>
      </c>
      <c r="M12" s="10">
        <v>15.212261099999999</v>
      </c>
      <c r="N12" s="10">
        <v>230.28632888358879</v>
      </c>
      <c r="O12" s="10">
        <v>-1.3535337425784914E-2</v>
      </c>
      <c r="P12" s="1" t="str">
        <f>HYPERLINK(".\sm_car_250701_2310\sm_car_250701_2310_011_Ca005TrN_MaWOT_DrSt_ode23t.png","figure")</f>
        <v>figure</v>
      </c>
      <c r="Q12" t="s">
        <v>15</v>
      </c>
    </row>
    <row r="13" spans="1:19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25</v>
      </c>
      <c r="H13" t="s">
        <v>21</v>
      </c>
      <c r="I13" t="s">
        <v>24</v>
      </c>
      <c r="J13" t="s">
        <v>148</v>
      </c>
      <c r="K13" t="s">
        <v>23</v>
      </c>
      <c r="L13">
        <v>1240</v>
      </c>
      <c r="M13" s="10">
        <v>29.133849600000001</v>
      </c>
      <c r="N13" s="10">
        <v>70.963484438638275</v>
      </c>
      <c r="O13" s="10">
        <v>-0.53562428490382352</v>
      </c>
      <c r="P13" s="1" t="str">
        <f>HYPERLINK(".\sm_car_250701_2310\sm_car_250701_2310_012_Ca005TrN_MaLSS_DrSt_ode23t.png","figure")</f>
        <v>figure</v>
      </c>
      <c r="Q13" t="s">
        <v>15</v>
      </c>
    </row>
    <row r="14" spans="1:19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26</v>
      </c>
      <c r="H14" t="s">
        <v>21</v>
      </c>
      <c r="I14" t="s">
        <v>22</v>
      </c>
      <c r="J14" t="s">
        <v>148</v>
      </c>
      <c r="K14" t="s">
        <v>23</v>
      </c>
      <c r="L14">
        <v>1192</v>
      </c>
      <c r="M14" s="10">
        <v>18.371423700000001</v>
      </c>
      <c r="N14" s="10">
        <v>230.31971790422389</v>
      </c>
      <c r="O14" s="10">
        <v>5.5554848513428533E-2</v>
      </c>
      <c r="P14" s="1" t="str">
        <f>HYPERLINK(".\sm_car_250701_2310\sm_car_250701_2310_013_Ca006TrN_MaWOT_DrSt_ode23t.png","figure")</f>
        <v>figure</v>
      </c>
      <c r="Q14" t="s">
        <v>15</v>
      </c>
    </row>
    <row r="15" spans="1:19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26</v>
      </c>
      <c r="H15" t="s">
        <v>21</v>
      </c>
      <c r="I15" t="s">
        <v>24</v>
      </c>
      <c r="J15" t="s">
        <v>148</v>
      </c>
      <c r="K15" t="s">
        <v>23</v>
      </c>
      <c r="L15">
        <v>1291</v>
      </c>
      <c r="M15" s="10">
        <v>15.473080400000001</v>
      </c>
      <c r="N15" s="10">
        <v>70.956870710847156</v>
      </c>
      <c r="O15" s="10">
        <v>-0.53363311785478917</v>
      </c>
      <c r="P15" s="1" t="str">
        <f>HYPERLINK(".\sm_car_250701_2310\sm_car_250701_2310_014_Ca006TrN_MaLSS_DrSt_ode23t.png","figure")</f>
        <v>figure</v>
      </c>
      <c r="Q15" t="s">
        <v>15</v>
      </c>
    </row>
    <row r="16" spans="1:19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27</v>
      </c>
      <c r="H16" t="s">
        <v>21</v>
      </c>
      <c r="I16" t="s">
        <v>22</v>
      </c>
      <c r="J16" t="s">
        <v>148</v>
      </c>
      <c r="K16" t="s">
        <v>23</v>
      </c>
      <c r="L16">
        <v>1208</v>
      </c>
      <c r="M16" s="10">
        <v>17.650953399999999</v>
      </c>
      <c r="N16" s="10">
        <v>229.90338511131827</v>
      </c>
      <c r="O16" s="10">
        <v>5.2787602454037671E-2</v>
      </c>
      <c r="P16" s="1" t="str">
        <f>HYPERLINK(".\sm_car_250701_2310\sm_car_250701_2310_015_Ca007TrN_MaWOT_DrSt_ode23t.png","figure")</f>
        <v>figure</v>
      </c>
      <c r="Q16" t="s">
        <v>15</v>
      </c>
    </row>
    <row r="17" spans="1:17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27</v>
      </c>
      <c r="H17" t="s">
        <v>21</v>
      </c>
      <c r="I17" t="s">
        <v>24</v>
      </c>
      <c r="J17" t="s">
        <v>148</v>
      </c>
      <c r="K17" t="s">
        <v>23</v>
      </c>
      <c r="L17">
        <v>1285</v>
      </c>
      <c r="M17" s="10">
        <v>16.742744399999999</v>
      </c>
      <c r="N17" s="10">
        <v>70.837615888645956</v>
      </c>
      <c r="O17" s="10">
        <v>-0.52847431114254728</v>
      </c>
      <c r="P17" s="1" t="str">
        <f>HYPERLINK(".\sm_car_250701_2310\sm_car_250701_2310_016_Ca007TrN_MaLSS_DrSt_ode23t.png","figure")</f>
        <v>figure</v>
      </c>
      <c r="Q17" t="s">
        <v>15</v>
      </c>
    </row>
    <row r="18" spans="1:17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148</v>
      </c>
      <c r="K18" t="s">
        <v>23</v>
      </c>
      <c r="L18">
        <v>408</v>
      </c>
      <c r="M18" s="10">
        <v>5.4611485000000002</v>
      </c>
      <c r="N18" s="10">
        <v>231.97852932808041</v>
      </c>
      <c r="O18" s="10">
        <v>-7.1781087628563625E-2</v>
      </c>
      <c r="P18" s="1" t="str">
        <f>HYPERLINK(".\sm_car_250701_2310\sm_car_250701_2310_017_Ca016TrN_MaWOT_DrSt_ode23t.png","figure")</f>
        <v>figure</v>
      </c>
      <c r="Q18" t="s">
        <v>15</v>
      </c>
    </row>
    <row r="19" spans="1:17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20</v>
      </c>
      <c r="H19" t="s">
        <v>21</v>
      </c>
      <c r="I19" t="s">
        <v>24</v>
      </c>
      <c r="J19" t="s">
        <v>148</v>
      </c>
      <c r="K19" t="s">
        <v>23</v>
      </c>
      <c r="L19">
        <v>495</v>
      </c>
      <c r="M19" s="10">
        <v>5.8493120999999997</v>
      </c>
      <c r="N19" s="10">
        <v>71.52744135360156</v>
      </c>
      <c r="O19" s="10">
        <v>-2.1637557861086024E-2</v>
      </c>
      <c r="P19" s="1" t="str">
        <f>HYPERLINK(".\sm_car_250701_2310\sm_car_250701_2310_018_Ca016TrN_MaLSS_DrSt_ode23t.png","figure")</f>
        <v>figure</v>
      </c>
      <c r="Q19" t="s">
        <v>15</v>
      </c>
    </row>
    <row r="20" spans="1:17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148</v>
      </c>
      <c r="K20" t="s">
        <v>23</v>
      </c>
      <c r="L20">
        <v>414</v>
      </c>
      <c r="M20" s="10">
        <v>8.2005289000000001</v>
      </c>
      <c r="N20" s="10">
        <v>231.38140972375047</v>
      </c>
      <c r="O20" s="10">
        <v>7.0624016378307069E-3</v>
      </c>
      <c r="P20" s="1" t="str">
        <f>HYPERLINK(".\sm_car_250701_2310\sm_car_250701_2310_019_Ca032TrN_MaWOT_DrSt_ode23t.png","figure")</f>
        <v>figure</v>
      </c>
      <c r="Q20" t="s">
        <v>15</v>
      </c>
    </row>
    <row r="21" spans="1:17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20</v>
      </c>
      <c r="H21" t="s">
        <v>21</v>
      </c>
      <c r="I21" t="s">
        <v>24</v>
      </c>
      <c r="J21" t="s">
        <v>148</v>
      </c>
      <c r="K21" t="s">
        <v>23</v>
      </c>
      <c r="L21">
        <v>517</v>
      </c>
      <c r="M21" s="10">
        <v>8.3390488999999999</v>
      </c>
      <c r="N21" s="10">
        <v>71.24958534660685</v>
      </c>
      <c r="O21" s="10">
        <v>-0.52146089401407703</v>
      </c>
      <c r="P21" s="1" t="str">
        <f>HYPERLINK(".\sm_car_250701_2310\sm_car_250701_2310_020_Ca032TrN_MaLSS_DrSt_ode23t.png","figure")</f>
        <v>figure</v>
      </c>
      <c r="Q21" t="s">
        <v>15</v>
      </c>
    </row>
    <row r="22" spans="1:17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148</v>
      </c>
      <c r="K22" t="s">
        <v>23</v>
      </c>
      <c r="L22">
        <v>406</v>
      </c>
      <c r="M22" s="10">
        <v>7.6625525999999997</v>
      </c>
      <c r="N22" s="10">
        <v>231.3220912823418</v>
      </c>
      <c r="O22" s="10">
        <v>-1.7328937509722402E-2</v>
      </c>
      <c r="P22" s="1" t="str">
        <f>HYPERLINK(".\sm_car_250701_2310\sm_car_250701_2310_021_Ca048TrN_MaWOT_DrSt_ode23t.png","figure")</f>
        <v>figure</v>
      </c>
      <c r="Q22" t="s">
        <v>15</v>
      </c>
    </row>
    <row r="23" spans="1:17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20</v>
      </c>
      <c r="H23" t="s">
        <v>21</v>
      </c>
      <c r="I23" t="s">
        <v>24</v>
      </c>
      <c r="J23" t="s">
        <v>148</v>
      </c>
      <c r="K23" t="s">
        <v>23</v>
      </c>
      <c r="L23">
        <v>532</v>
      </c>
      <c r="M23" s="10">
        <v>9.4262040999999996</v>
      </c>
      <c r="N23" s="10">
        <v>71.252885645468695</v>
      </c>
      <c r="O23" s="10">
        <v>-0.52884314345820704</v>
      </c>
      <c r="P23" s="1" t="str">
        <f>HYPERLINK(".\sm_car_250701_2310\sm_car_250701_2310_022_Ca048TrN_MaLSS_DrSt_ode23t.png","figure")</f>
        <v>figure</v>
      </c>
      <c r="Q23" t="s">
        <v>15</v>
      </c>
    </row>
    <row r="24" spans="1:17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 t="s">
        <v>148</v>
      </c>
      <c r="K24" t="s">
        <v>23</v>
      </c>
      <c r="L24">
        <v>411</v>
      </c>
      <c r="M24" s="10">
        <v>8.5886034000000002</v>
      </c>
      <c r="N24" s="10">
        <v>231.29335429993066</v>
      </c>
      <c r="O24" s="10">
        <v>9.3446067893205604E-3</v>
      </c>
      <c r="P24" s="1" t="str">
        <f>HYPERLINK(".\sm_car_250701_2310\sm_car_250701_2310_023_Ca064TrN_MaWOT_DrSt_ode23t.png","figure")</f>
        <v>figure</v>
      </c>
      <c r="Q24" t="s">
        <v>15</v>
      </c>
    </row>
    <row r="25" spans="1:17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20</v>
      </c>
      <c r="H25" t="s">
        <v>21</v>
      </c>
      <c r="I25" t="s">
        <v>24</v>
      </c>
      <c r="J25" t="s">
        <v>148</v>
      </c>
      <c r="K25" t="s">
        <v>23</v>
      </c>
      <c r="L25">
        <v>526</v>
      </c>
      <c r="M25" s="10">
        <v>9.5333462999999998</v>
      </c>
      <c r="N25" s="10">
        <v>71.251970603665541</v>
      </c>
      <c r="O25" s="10">
        <v>-0.51781248972730687</v>
      </c>
      <c r="P25" s="1" t="str">
        <f>HYPERLINK(".\sm_car_250701_2310\sm_car_250701_2310_024_Ca064TrN_MaLSS_DrSt_ode23t.png","figure")</f>
        <v>figure</v>
      </c>
      <c r="Q25" t="s">
        <v>15</v>
      </c>
    </row>
    <row r="26" spans="1:17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148</v>
      </c>
      <c r="K26" t="s">
        <v>23</v>
      </c>
      <c r="L26">
        <v>398</v>
      </c>
      <c r="M26" s="10">
        <v>8.8726897999999998</v>
      </c>
      <c r="N26" s="10">
        <v>231.28238490853892</v>
      </c>
      <c r="O26" s="10">
        <v>-2.0507259671197455E-2</v>
      </c>
      <c r="P26" s="1" t="str">
        <f>HYPERLINK(".\sm_car_250701_2310\sm_car_250701_2310_025_Ca080TrN_MaWOT_DrSt_ode23t.png","figure")</f>
        <v>figure</v>
      </c>
      <c r="Q26" t="s">
        <v>15</v>
      </c>
    </row>
    <row r="27" spans="1:17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20</v>
      </c>
      <c r="H27" t="s">
        <v>21</v>
      </c>
      <c r="I27" t="s">
        <v>24</v>
      </c>
      <c r="J27" t="s">
        <v>148</v>
      </c>
      <c r="K27" t="s">
        <v>23</v>
      </c>
      <c r="L27">
        <v>507</v>
      </c>
      <c r="M27" s="10">
        <v>10.010012</v>
      </c>
      <c r="N27" s="10">
        <v>71.24692585665106</v>
      </c>
      <c r="O27" s="10">
        <v>-0.52526631553924674</v>
      </c>
      <c r="P27" s="1" t="str">
        <f>HYPERLINK(".\sm_car_250701_2310\sm_car_250701_2310_026_Ca080TrN_MaLSS_DrSt_ode23t.png","figure")</f>
        <v>figure</v>
      </c>
      <c r="Q27" t="s">
        <v>15</v>
      </c>
    </row>
    <row r="28" spans="1:17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148</v>
      </c>
      <c r="K28" t="s">
        <v>23</v>
      </c>
      <c r="L28">
        <v>409</v>
      </c>
      <c r="M28" s="10">
        <v>6.9468690000000004</v>
      </c>
      <c r="N28" s="10">
        <v>233.07854766852083</v>
      </c>
      <c r="O28" s="10">
        <v>2.0066921471783239E-2</v>
      </c>
      <c r="P28" s="1" t="str">
        <f>HYPERLINK(".\sm_car_250701_2310\sm_car_250701_2310_027_Ca096TrN_MaWOT_DrSt_ode23t.png","figure")</f>
        <v>figure</v>
      </c>
      <c r="Q28" t="s">
        <v>15</v>
      </c>
    </row>
    <row r="29" spans="1:17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20</v>
      </c>
      <c r="H29" t="s">
        <v>21</v>
      </c>
      <c r="I29" t="s">
        <v>24</v>
      </c>
      <c r="J29" t="s">
        <v>148</v>
      </c>
      <c r="K29" t="s">
        <v>23</v>
      </c>
      <c r="L29">
        <v>522</v>
      </c>
      <c r="M29" s="10">
        <v>8.519107</v>
      </c>
      <c r="N29" s="10">
        <v>71.763515381239785</v>
      </c>
      <c r="O29" s="10">
        <v>-0.52889785164942793</v>
      </c>
      <c r="P29" s="1" t="str">
        <f>HYPERLINK(".\sm_car_250701_2310\sm_car_250701_2310_028_Ca096TrN_MaLSS_DrSt_ode23t.png","figure")</f>
        <v>figure</v>
      </c>
      <c r="Q29" t="s">
        <v>15</v>
      </c>
    </row>
    <row r="30" spans="1:17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 t="s">
        <v>148</v>
      </c>
      <c r="K30" t="s">
        <v>23</v>
      </c>
      <c r="L30">
        <v>365</v>
      </c>
      <c r="M30" s="10">
        <v>3.0846640000000001</v>
      </c>
      <c r="N30" s="10">
        <v>242.64090794805801</v>
      </c>
      <c r="O30" s="10">
        <v>0.23544464733340575</v>
      </c>
      <c r="P30" s="1" t="str">
        <f>HYPERLINK(".\sm_car_250701_2310\sm_car_250701_2310_029_Ca112TrN_MaWOT_DrSt_ode23t.png","figure")</f>
        <v>figure</v>
      </c>
      <c r="Q30" t="s">
        <v>15</v>
      </c>
    </row>
    <row r="31" spans="1:17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20</v>
      </c>
      <c r="H31" t="s">
        <v>21</v>
      </c>
      <c r="I31" t="s">
        <v>24</v>
      </c>
      <c r="J31" t="s">
        <v>148</v>
      </c>
      <c r="K31" t="s">
        <v>23</v>
      </c>
      <c r="L31">
        <v>476</v>
      </c>
      <c r="M31" s="10">
        <v>3.4689657999999999</v>
      </c>
      <c r="N31" s="10">
        <v>74.667588393919033</v>
      </c>
      <c r="O31" s="10">
        <v>-0.33772162877955775</v>
      </c>
      <c r="P31" s="1" t="str">
        <f>HYPERLINK(".\sm_car_250701_2310\sm_car_250701_2310_030_Ca112TrN_MaLSS_DrSt_ode23t.png","figure")</f>
        <v>figure</v>
      </c>
      <c r="Q31" t="s">
        <v>15</v>
      </c>
    </row>
    <row r="32" spans="1:17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25</v>
      </c>
      <c r="H32" t="s">
        <v>21</v>
      </c>
      <c r="I32" t="s">
        <v>22</v>
      </c>
      <c r="J32" t="s">
        <v>148</v>
      </c>
      <c r="K32" t="s">
        <v>23</v>
      </c>
      <c r="L32">
        <v>367</v>
      </c>
      <c r="M32" s="10">
        <v>3.2602601999999998</v>
      </c>
      <c r="N32" s="10">
        <v>241.54505842659276</v>
      </c>
      <c r="O32" s="10">
        <v>0.23184453949807429</v>
      </c>
      <c r="P32" s="1" t="str">
        <f>HYPERLINK(".\sm_car_250701_2310\sm_car_250701_2310_031_Ca113TrN_MaWOT_DrSt_ode23t.png","figure")</f>
        <v>figure</v>
      </c>
      <c r="Q32" t="s">
        <v>15</v>
      </c>
    </row>
    <row r="33" spans="1:17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25</v>
      </c>
      <c r="H33" t="s">
        <v>21</v>
      </c>
      <c r="I33" t="s">
        <v>24</v>
      </c>
      <c r="J33" t="s">
        <v>148</v>
      </c>
      <c r="K33" t="s">
        <v>23</v>
      </c>
      <c r="L33">
        <v>467</v>
      </c>
      <c r="M33" s="10">
        <v>3.6143863999999999</v>
      </c>
      <c r="N33" s="10">
        <v>74.340358610634311</v>
      </c>
      <c r="O33" s="10">
        <v>-0.33386107964305717</v>
      </c>
      <c r="P33" s="1" t="str">
        <f>HYPERLINK(".\sm_car_250701_2310\sm_car_250701_2310_032_Ca113TrN_MaLSS_DrSt_ode23t.png","figure")</f>
        <v>figure</v>
      </c>
      <c r="Q33" t="s">
        <v>15</v>
      </c>
    </row>
    <row r="34" spans="1:17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26</v>
      </c>
      <c r="H34" t="s">
        <v>21</v>
      </c>
      <c r="I34" t="s">
        <v>22</v>
      </c>
      <c r="J34" t="s">
        <v>148</v>
      </c>
      <c r="K34" t="s">
        <v>23</v>
      </c>
      <c r="L34">
        <v>381</v>
      </c>
      <c r="M34" s="10">
        <v>3.9620031</v>
      </c>
      <c r="N34" s="10">
        <v>241.51941426562738</v>
      </c>
      <c r="O34" s="10">
        <v>0.23178530795146082</v>
      </c>
      <c r="P34" s="1" t="str">
        <f>HYPERLINK(".\sm_car_250701_2310\sm_car_250701_2310_033_Ca114TrN_MaWOT_DrSt_ode23t.png","figure")</f>
        <v>figure</v>
      </c>
      <c r="Q34" t="s">
        <v>15</v>
      </c>
    </row>
    <row r="35" spans="1:17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26</v>
      </c>
      <c r="H35" t="s">
        <v>21</v>
      </c>
      <c r="I35" t="s">
        <v>24</v>
      </c>
      <c r="J35" t="s">
        <v>148</v>
      </c>
      <c r="K35" t="s">
        <v>23</v>
      </c>
      <c r="L35">
        <v>491</v>
      </c>
      <c r="M35" s="10">
        <v>4.8462196000000004</v>
      </c>
      <c r="N35" s="10">
        <v>74.361016681229927</v>
      </c>
      <c r="O35" s="10">
        <v>-0.33526525352120018</v>
      </c>
      <c r="P35" s="1" t="str">
        <f>HYPERLINK(".\sm_car_250701_2310\sm_car_250701_2310_034_Ca114TrN_MaLSS_DrSt_ode23t.png","figure")</f>
        <v>figure</v>
      </c>
      <c r="Q35" t="s">
        <v>15</v>
      </c>
    </row>
    <row r="36" spans="1:17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27</v>
      </c>
      <c r="H36" t="s">
        <v>21</v>
      </c>
      <c r="I36" t="s">
        <v>22</v>
      </c>
      <c r="J36" t="s">
        <v>148</v>
      </c>
      <c r="K36" t="s">
        <v>23</v>
      </c>
      <c r="L36">
        <v>392</v>
      </c>
      <c r="M36" s="10">
        <v>3.6335807999999998</v>
      </c>
      <c r="N36" s="10">
        <v>241.25582374534841</v>
      </c>
      <c r="O36" s="10">
        <v>0.23121955279800382</v>
      </c>
      <c r="P36" s="1" t="str">
        <f>HYPERLINK(".\sm_car_250701_2310\sm_car_250701_2310_035_Ca115TrN_MaWOT_DrSt_ode23t.png","figure")</f>
        <v>figure</v>
      </c>
      <c r="Q36" t="s">
        <v>15</v>
      </c>
    </row>
    <row r="37" spans="1:17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27</v>
      </c>
      <c r="H37" t="s">
        <v>21</v>
      </c>
      <c r="I37" t="s">
        <v>24</v>
      </c>
      <c r="J37" t="s">
        <v>148</v>
      </c>
      <c r="K37" t="s">
        <v>23</v>
      </c>
      <c r="L37">
        <v>497</v>
      </c>
      <c r="M37" s="10">
        <v>4.0027315999999997</v>
      </c>
      <c r="N37" s="10">
        <v>74.215883551116335</v>
      </c>
      <c r="O37" s="10">
        <v>-0.33169697304233292</v>
      </c>
      <c r="P37" s="1" t="str">
        <f>HYPERLINK(".\sm_car_250701_2310\sm_car_250701_2310_036_Ca115TrN_MaLSS_DrSt_ode23t.png","figure")</f>
        <v>figure</v>
      </c>
      <c r="Q37" t="s">
        <v>15</v>
      </c>
    </row>
    <row r="38" spans="1:17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20</v>
      </c>
      <c r="H38" t="s">
        <v>21</v>
      </c>
      <c r="I38" t="s">
        <v>22</v>
      </c>
      <c r="J38" t="s">
        <v>148</v>
      </c>
      <c r="K38" t="s">
        <v>23</v>
      </c>
      <c r="L38">
        <v>916</v>
      </c>
      <c r="M38" s="10">
        <v>4.7043868</v>
      </c>
      <c r="N38" s="10">
        <v>242.64549059435888</v>
      </c>
      <c r="O38" s="10">
        <v>0.236089609359078</v>
      </c>
      <c r="P38" s="1" t="str">
        <f>HYPERLINK(".\sm_car_250701_2310\sm_car_250701_2310_037_Ca116TrN_MaWOT_DrSt_ode23t.png","figure")</f>
        <v>figure</v>
      </c>
      <c r="Q38" t="s">
        <v>15</v>
      </c>
    </row>
    <row r="39" spans="1:17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20</v>
      </c>
      <c r="H39" t="s">
        <v>21</v>
      </c>
      <c r="I39" t="s">
        <v>24</v>
      </c>
      <c r="J39" t="s">
        <v>148</v>
      </c>
      <c r="K39" t="s">
        <v>23</v>
      </c>
      <c r="L39">
        <v>1051</v>
      </c>
      <c r="M39" s="10">
        <v>6.3133891000000002</v>
      </c>
      <c r="N39" s="10">
        <v>74.663070453655536</v>
      </c>
      <c r="O39" s="10">
        <v>-0.34031737401294726</v>
      </c>
      <c r="P39" s="1" t="str">
        <f>HYPERLINK(".\sm_car_250701_2310\sm_car_250701_2310_038_Ca116TrN_MaLSS_DrSt_ode23t.png","figure")</f>
        <v>figure</v>
      </c>
      <c r="Q39" t="s">
        <v>15</v>
      </c>
    </row>
    <row r="40" spans="1:17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25</v>
      </c>
      <c r="H40" t="s">
        <v>21</v>
      </c>
      <c r="I40" t="s">
        <v>22</v>
      </c>
      <c r="J40" t="s">
        <v>148</v>
      </c>
      <c r="K40" t="s">
        <v>23</v>
      </c>
      <c r="L40">
        <v>955</v>
      </c>
      <c r="M40" s="10">
        <v>5.9575050000000003</v>
      </c>
      <c r="N40" s="10">
        <v>241.5848703404221</v>
      </c>
      <c r="O40" s="10">
        <v>0.23553735536986353</v>
      </c>
      <c r="P40" s="1" t="str">
        <f>HYPERLINK(".\sm_car_250701_2310\sm_car_250701_2310_039_Ca117TrN_MaWOT_DrSt_ode23t.png","figure")</f>
        <v>figure</v>
      </c>
      <c r="Q40" t="s">
        <v>15</v>
      </c>
    </row>
    <row r="41" spans="1:17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25</v>
      </c>
      <c r="H41" t="s">
        <v>21</v>
      </c>
      <c r="I41" t="s">
        <v>24</v>
      </c>
      <c r="J41" t="s">
        <v>148</v>
      </c>
      <c r="K41" t="s">
        <v>23</v>
      </c>
      <c r="L41">
        <v>1070</v>
      </c>
      <c r="M41" s="10">
        <v>7.5974266000000004</v>
      </c>
      <c r="N41" s="10">
        <v>74.339257262781246</v>
      </c>
      <c r="O41" s="10">
        <v>-0.3376426054111249</v>
      </c>
      <c r="P41" s="1" t="str">
        <f>HYPERLINK(".\sm_car_250701_2310\sm_car_250701_2310_040_Ca117TrN_MaLSS_DrSt_ode23t.png","figure")</f>
        <v>figure</v>
      </c>
      <c r="Q41" t="s">
        <v>15</v>
      </c>
    </row>
    <row r="42" spans="1:17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26</v>
      </c>
      <c r="H42" t="s">
        <v>21</v>
      </c>
      <c r="I42" t="s">
        <v>22</v>
      </c>
      <c r="J42" t="s">
        <v>148</v>
      </c>
      <c r="K42" t="s">
        <v>23</v>
      </c>
      <c r="L42">
        <v>961</v>
      </c>
      <c r="M42" s="10">
        <v>6.4277777</v>
      </c>
      <c r="N42" s="10">
        <v>241.48903813309698</v>
      </c>
      <c r="O42" s="10">
        <v>0.23227833750645321</v>
      </c>
      <c r="P42" s="1" t="str">
        <f>HYPERLINK(".\sm_car_250701_2310\sm_car_250701_2310_041_Ca118TrN_MaWOT_DrSt_ode23t.png","figure")</f>
        <v>figure</v>
      </c>
      <c r="Q42" t="s">
        <v>15</v>
      </c>
    </row>
    <row r="43" spans="1:17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26</v>
      </c>
      <c r="H43" t="s">
        <v>21</v>
      </c>
      <c r="I43" t="s">
        <v>24</v>
      </c>
      <c r="J43" t="s">
        <v>148</v>
      </c>
      <c r="K43" t="s">
        <v>23</v>
      </c>
      <c r="L43">
        <v>1069</v>
      </c>
      <c r="M43" s="10">
        <v>8.0411128000000005</v>
      </c>
      <c r="N43" s="10">
        <v>74.338101661455127</v>
      </c>
      <c r="O43" s="10">
        <v>-0.33520571580824188</v>
      </c>
      <c r="P43" s="1" t="str">
        <f>HYPERLINK(".\sm_car_250701_2310\sm_car_250701_2310_042_Ca118TrN_MaLSS_DrSt_ode23t.png","figure")</f>
        <v>figure</v>
      </c>
      <c r="Q43" t="s">
        <v>15</v>
      </c>
    </row>
    <row r="44" spans="1:17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27</v>
      </c>
      <c r="H44" t="s">
        <v>21</v>
      </c>
      <c r="I44" t="s">
        <v>22</v>
      </c>
      <c r="J44" t="s">
        <v>148</v>
      </c>
      <c r="K44" t="s">
        <v>23</v>
      </c>
      <c r="L44">
        <v>987</v>
      </c>
      <c r="M44" s="10">
        <v>6.3789661999999998</v>
      </c>
      <c r="N44" s="10">
        <v>240.87532159900951</v>
      </c>
      <c r="O44" s="10">
        <v>0.22989608790255225</v>
      </c>
      <c r="P44" s="1" t="str">
        <f>HYPERLINK(".\sm_car_250701_2310\sm_car_250701_2310_043_Ca119TrN_MaWOT_DrSt_ode23t.png","figure")</f>
        <v>figure</v>
      </c>
      <c r="Q44" t="s">
        <v>15</v>
      </c>
    </row>
    <row r="45" spans="1:17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27</v>
      </c>
      <c r="H45" t="s">
        <v>21</v>
      </c>
      <c r="I45" t="s">
        <v>24</v>
      </c>
      <c r="J45" t="s">
        <v>148</v>
      </c>
      <c r="K45" t="s">
        <v>23</v>
      </c>
      <c r="L45">
        <v>1109</v>
      </c>
      <c r="M45" s="10">
        <v>7.3458684999999999</v>
      </c>
      <c r="N45" s="10">
        <v>74.191543558094196</v>
      </c>
      <c r="O45" s="10">
        <v>-0.33169367633956537</v>
      </c>
      <c r="P45" s="1" t="str">
        <f>HYPERLINK(".\sm_car_250701_2310\sm_car_250701_2310_044_Ca119TrN_MaLSS_DrSt_ode23t.png","figure")</f>
        <v>figure</v>
      </c>
      <c r="Q45" t="s">
        <v>15</v>
      </c>
    </row>
    <row r="46" spans="1:17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148</v>
      </c>
      <c r="K46" t="s">
        <v>23</v>
      </c>
      <c r="L46">
        <v>324</v>
      </c>
      <c r="M46" s="10">
        <v>6.6370260999999999</v>
      </c>
      <c r="N46" s="10">
        <v>99.814061262987821</v>
      </c>
      <c r="O46" s="10">
        <v>-1.7632181555593908E-2</v>
      </c>
      <c r="P46" s="1" t="str">
        <f>HYPERLINK(".\sm_car_250701_2310\sm_car_250701_2310_045_Ca128TrN_MaWOT_DrSt_ode23t.png","figure")</f>
        <v>figure</v>
      </c>
      <c r="Q46" t="s">
        <v>15</v>
      </c>
    </row>
    <row r="47" spans="1:17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148</v>
      </c>
      <c r="K47" t="s">
        <v>23</v>
      </c>
      <c r="L47">
        <v>445</v>
      </c>
      <c r="M47" s="10">
        <v>8.2892185000000005</v>
      </c>
      <c r="N47" s="10">
        <v>36.975822320565428</v>
      </c>
      <c r="O47" s="10">
        <v>-0.13066798550488262</v>
      </c>
      <c r="P47" s="1" t="str">
        <f>HYPERLINK(".\sm_car_250701_2310\sm_car_250701_2310_046_Ca128TrN_MaLSS_DrSt_ode23t.png","figure")</f>
        <v>figure</v>
      </c>
      <c r="Q47" t="s">
        <v>15</v>
      </c>
    </row>
    <row r="48" spans="1:17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148</v>
      </c>
      <c r="K48" t="s">
        <v>23</v>
      </c>
      <c r="L48">
        <v>339</v>
      </c>
      <c r="M48" s="10">
        <v>7.5678669999999997</v>
      </c>
      <c r="N48" s="10">
        <v>229.36170348245045</v>
      </c>
      <c r="O48" s="10">
        <v>6.1726062785131576E-2</v>
      </c>
      <c r="P48" s="1" t="str">
        <f>HYPERLINK(".\sm_car_250701_2310\sm_car_250701_2310_047_Ca129TrN_MaWOT_DrSt_ode23t.png","figure")</f>
        <v>figure</v>
      </c>
      <c r="Q48" t="s">
        <v>15</v>
      </c>
    </row>
    <row r="49" spans="1:17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148</v>
      </c>
      <c r="K49" t="s">
        <v>23</v>
      </c>
      <c r="L49">
        <v>483</v>
      </c>
      <c r="M49" s="10">
        <v>9.1147864999999992</v>
      </c>
      <c r="N49" s="10">
        <v>70.692903160941611</v>
      </c>
      <c r="O49" s="10">
        <v>-0.52542950625000429</v>
      </c>
      <c r="P49" s="1" t="str">
        <f>HYPERLINK(".\sm_car_250701_2310\sm_car_250701_2310_048_Ca129TrN_MaLSS_DrSt_ode23t.png","figure")</f>
        <v>figure</v>
      </c>
      <c r="Q49" t="s">
        <v>15</v>
      </c>
    </row>
    <row r="50" spans="1:17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148</v>
      </c>
      <c r="K50" t="s">
        <v>23</v>
      </c>
      <c r="L50">
        <v>800</v>
      </c>
      <c r="M50" s="10">
        <v>25.434338499999999</v>
      </c>
      <c r="N50" s="10">
        <v>217.28170793130232</v>
      </c>
      <c r="O50" s="10">
        <v>-1.5362249648371662</v>
      </c>
      <c r="P50" s="1" t="str">
        <f>HYPERLINK(".\sm_car_250701_2310\sm_car_250701_2310_049_Ca130TrN_MaWOT_DrSt_ode23t.png","figure")</f>
        <v>figure</v>
      </c>
      <c r="Q50" t="s">
        <v>15</v>
      </c>
    </row>
    <row r="51" spans="1:17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148</v>
      </c>
      <c r="K51" t="s">
        <v>23</v>
      </c>
      <c r="L51">
        <v>779</v>
      </c>
      <c r="M51" s="10">
        <v>23.666656400000001</v>
      </c>
      <c r="N51" s="10">
        <v>68.779505776194313</v>
      </c>
      <c r="O51" s="10">
        <v>-0.5440557391299784</v>
      </c>
      <c r="P51" s="1" t="str">
        <f>HYPERLINK(".\sm_car_250701_2310\sm_car_250701_2310_050_Ca130TrN_MaLSS_DrSt_ode23t.png","figure")</f>
        <v>figure</v>
      </c>
      <c r="Q51" t="s">
        <v>15</v>
      </c>
    </row>
    <row r="52" spans="1:17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148</v>
      </c>
      <c r="K52" t="s">
        <v>23</v>
      </c>
      <c r="L52">
        <v>363</v>
      </c>
      <c r="M52" s="10">
        <v>5.4763951999999998</v>
      </c>
      <c r="N52" s="10">
        <v>230.10132280490575</v>
      </c>
      <c r="O52" s="10">
        <v>-4.1828478662908848E-2</v>
      </c>
      <c r="P52" s="1" t="str">
        <f>HYPERLINK(".\sm_car_250701_2310\sm_car_250701_2310_051_Ca131TrN_MaWOT_DrSt_ode23t.png","figure")</f>
        <v>figure</v>
      </c>
      <c r="Q52" t="s">
        <v>15</v>
      </c>
    </row>
    <row r="53" spans="1:17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148</v>
      </c>
      <c r="K53" t="s">
        <v>23</v>
      </c>
      <c r="L53">
        <v>497</v>
      </c>
      <c r="M53" s="10">
        <v>6.2559608000000004</v>
      </c>
      <c r="N53" s="10">
        <v>70.962308130153446</v>
      </c>
      <c r="O53" s="10">
        <v>-0.54092331374709235</v>
      </c>
      <c r="P53" s="1" t="str">
        <f>HYPERLINK(".\sm_car_250701_2310\sm_car_250701_2310_052_Ca131TrN_MaLSS_DrSt_ode23t.png","figure")</f>
        <v>figure</v>
      </c>
      <c r="Q53" t="s">
        <v>15</v>
      </c>
    </row>
    <row r="54" spans="1:17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148</v>
      </c>
      <c r="K54" t="s">
        <v>23</v>
      </c>
      <c r="L54">
        <v>367</v>
      </c>
      <c r="M54" s="10">
        <v>5.0140986999999999</v>
      </c>
      <c r="N54" s="10">
        <v>230.40589816124253</v>
      </c>
      <c r="O54" s="10">
        <v>-9.096984734319408E-3</v>
      </c>
      <c r="P54" s="1" t="str">
        <f>HYPERLINK(".\sm_car_250701_2310\sm_car_250701_2310_053_Ca132TrN_MaWOT_DrSt_ode23t.png","figure")</f>
        <v>figure</v>
      </c>
      <c r="Q54" t="s">
        <v>15</v>
      </c>
    </row>
    <row r="55" spans="1:17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148</v>
      </c>
      <c r="K55" t="s">
        <v>23</v>
      </c>
      <c r="L55">
        <v>493</v>
      </c>
      <c r="M55" s="10">
        <v>6.1486254999999996</v>
      </c>
      <c r="N55" s="10">
        <v>70.960602131367693</v>
      </c>
      <c r="O55" s="10">
        <v>-0.53634738852393293</v>
      </c>
      <c r="P55" s="1" t="str">
        <f>HYPERLINK(".\sm_car_250701_2310\sm_car_250701_2310_054_Ca132TrN_MaLSS_DrSt_ode23t.png","figure")</f>
        <v>figure</v>
      </c>
      <c r="Q55" t="s">
        <v>15</v>
      </c>
    </row>
    <row r="56" spans="1:17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148</v>
      </c>
      <c r="K56" t="s">
        <v>23</v>
      </c>
      <c r="L56">
        <v>354</v>
      </c>
      <c r="M56" s="10">
        <v>4.8799625999999998</v>
      </c>
      <c r="N56" s="10">
        <v>230.38890124053427</v>
      </c>
      <c r="O56" s="10">
        <v>-7.5062799287146644E-3</v>
      </c>
      <c r="P56" s="1" t="str">
        <f>HYPERLINK(".\sm_car_250701_2310\sm_car_250701_2310_055_Ca133TrN_MaWOT_DrSt_ode23t.png","figure")</f>
        <v>figure</v>
      </c>
      <c r="Q56" t="s">
        <v>15</v>
      </c>
    </row>
    <row r="57" spans="1:17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148</v>
      </c>
      <c r="K57" t="s">
        <v>23</v>
      </c>
      <c r="L57">
        <v>497</v>
      </c>
      <c r="M57" s="10">
        <v>5.9111618000000004</v>
      </c>
      <c r="N57" s="10">
        <v>70.970673316838216</v>
      </c>
      <c r="O57" s="10">
        <v>-0.52834200882352278</v>
      </c>
      <c r="P57" s="1" t="str">
        <f>HYPERLINK(".\sm_car_250701_2310\sm_car_250701_2310_056_Ca133TrN_MaLSS_DrSt_ode23t.png","figure")</f>
        <v>figure</v>
      </c>
      <c r="Q57" t="s">
        <v>15</v>
      </c>
    </row>
    <row r="58" spans="1:17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148</v>
      </c>
      <c r="K58" t="s">
        <v>23</v>
      </c>
      <c r="L58">
        <v>358</v>
      </c>
      <c r="M58" s="10">
        <v>5.3475101</v>
      </c>
      <c r="N58" s="10">
        <v>230.38627969123687</v>
      </c>
      <c r="O58" s="10">
        <v>-1.2699869487549548E-2</v>
      </c>
      <c r="P58" s="1" t="str">
        <f>HYPERLINK(".\sm_car_250701_2310\sm_car_250701_2310_057_Ca134TrN_MaWOT_DrSt_ode23t.png","figure")</f>
        <v>figure</v>
      </c>
      <c r="Q58" t="s">
        <v>15</v>
      </c>
    </row>
    <row r="59" spans="1:17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148</v>
      </c>
      <c r="K59" t="s">
        <v>23</v>
      </c>
      <c r="L59">
        <v>502</v>
      </c>
      <c r="M59" s="10">
        <v>6.2387123999999998</v>
      </c>
      <c r="N59" s="10">
        <v>70.976515589972053</v>
      </c>
      <c r="O59" s="10">
        <v>-0.534342537793145</v>
      </c>
      <c r="P59" s="1" t="str">
        <f>HYPERLINK(".\sm_car_250701_2310\sm_car_250701_2310_058_Ca134TrN_MaLSS_DrSt_ode23t.png","figure")</f>
        <v>figure</v>
      </c>
      <c r="Q59" t="s">
        <v>15</v>
      </c>
    </row>
    <row r="60" spans="1:17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148</v>
      </c>
      <c r="K60" t="s">
        <v>23</v>
      </c>
      <c r="L60">
        <v>346</v>
      </c>
      <c r="M60" s="10">
        <v>4.7983789000000003</v>
      </c>
      <c r="N60" s="10">
        <v>230.39182221946751</v>
      </c>
      <c r="O60" s="10">
        <v>-1.1090319417731176E-2</v>
      </c>
      <c r="P60" s="1" t="str">
        <f>HYPERLINK(".\sm_car_250701_2310\sm_car_250701_2310_059_Ca135TrN_MaWOT_DrSt_ode23t.png","figure")</f>
        <v>figure</v>
      </c>
      <c r="Q60" t="s">
        <v>15</v>
      </c>
    </row>
    <row r="61" spans="1:17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148</v>
      </c>
      <c r="K61" t="s">
        <v>23</v>
      </c>
      <c r="L61">
        <v>490</v>
      </c>
      <c r="M61" s="10">
        <v>5.8420202999999997</v>
      </c>
      <c r="N61" s="10">
        <v>70.979964543448673</v>
      </c>
      <c r="O61" s="10">
        <v>-0.52629443401147824</v>
      </c>
      <c r="P61" s="1" t="str">
        <f>HYPERLINK(".\sm_car_250701_2310\sm_car_250701_2310_060_Ca135TrN_MaLSS_DrSt_ode23t.png","figure")</f>
        <v>figure</v>
      </c>
      <c r="Q61" t="s">
        <v>15</v>
      </c>
    </row>
    <row r="62" spans="1:17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148</v>
      </c>
      <c r="K62" t="s">
        <v>23</v>
      </c>
      <c r="L62">
        <v>363</v>
      </c>
      <c r="M62" s="10">
        <v>5.7062151999999999</v>
      </c>
      <c r="N62" s="10">
        <v>230.28749129544778</v>
      </c>
      <c r="O62" s="10">
        <v>5.7437038867938522E-2</v>
      </c>
      <c r="P62" s="1" t="str">
        <f>HYPERLINK(".\sm_car_250701_2310\sm_car_250701_2310_061_Ca136TrN_MaWOT_DrSt_ode23t.png","figure")</f>
        <v>figure</v>
      </c>
      <c r="Q62" t="s">
        <v>15</v>
      </c>
    </row>
    <row r="63" spans="1:17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148</v>
      </c>
      <c r="K63" t="s">
        <v>23</v>
      </c>
      <c r="L63">
        <v>491</v>
      </c>
      <c r="M63" s="10">
        <v>7.1945952999999996</v>
      </c>
      <c r="N63" s="10">
        <v>70.970897178997788</v>
      </c>
      <c r="O63" s="10">
        <v>-0.52998807998681552</v>
      </c>
      <c r="P63" s="1" t="str">
        <f>HYPERLINK(".\sm_car_250701_2310\sm_car_250701_2310_062_Ca136TrN_MaLSS_DrSt_ode23t.png","figure")</f>
        <v>figure</v>
      </c>
      <c r="Q63" t="s">
        <v>15</v>
      </c>
    </row>
    <row r="64" spans="1:17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148</v>
      </c>
      <c r="K64" t="s">
        <v>23</v>
      </c>
      <c r="L64">
        <v>322</v>
      </c>
      <c r="M64" s="10">
        <v>3.9604824999999999</v>
      </c>
      <c r="N64" s="10">
        <v>231.13056882651293</v>
      </c>
      <c r="O64" s="10">
        <v>0.14153927036018177</v>
      </c>
      <c r="P64" s="1" t="str">
        <f>HYPERLINK(".\sm_car_250701_2310\sm_car_250701_2310_063_Ca137TrN_MaWOT_DrSt_ode23t.png","figure")</f>
        <v>figure</v>
      </c>
      <c r="Q64" t="s">
        <v>15</v>
      </c>
    </row>
    <row r="65" spans="1:17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148</v>
      </c>
      <c r="K65" t="s">
        <v>23</v>
      </c>
      <c r="L65">
        <v>480</v>
      </c>
      <c r="M65" s="10">
        <v>4.9790146000000002</v>
      </c>
      <c r="N65" s="10">
        <v>71.239976441046863</v>
      </c>
      <c r="O65" s="10">
        <v>-0.51296852072698151</v>
      </c>
      <c r="P65" s="1" t="str">
        <f>HYPERLINK(".\sm_car_250701_2310\sm_car_250701_2310_064_Ca137TrN_MaLSS_DrSt_ode23t.png","figure")</f>
        <v>figure</v>
      </c>
      <c r="Q65" t="s">
        <v>15</v>
      </c>
    </row>
    <row r="66" spans="1:17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148</v>
      </c>
      <c r="K66" t="s">
        <v>23</v>
      </c>
      <c r="L66">
        <v>330</v>
      </c>
      <c r="M66" s="10">
        <v>6.6263262000000003</v>
      </c>
      <c r="N66" s="10">
        <v>231.04126857060766</v>
      </c>
      <c r="O66" s="10">
        <v>0.14657344627996305</v>
      </c>
      <c r="P66" s="1" t="str">
        <f>HYPERLINK(".\sm_car_250701_2310\sm_car_250701_2310_065_Ca138TrN_MaWOT_DrSt_ode23t.png","figure")</f>
        <v>figure</v>
      </c>
      <c r="Q66" t="s">
        <v>15</v>
      </c>
    </row>
    <row r="67" spans="1:17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148</v>
      </c>
      <c r="K67" t="s">
        <v>23</v>
      </c>
      <c r="L67">
        <v>495</v>
      </c>
      <c r="M67" s="10">
        <v>7.1742099000000001</v>
      </c>
      <c r="N67" s="10">
        <v>71.130252783663053</v>
      </c>
      <c r="O67" s="10">
        <v>-0.82600072700020344</v>
      </c>
      <c r="P67" s="1" t="str">
        <f>HYPERLINK(".\sm_car_250701_2310\sm_car_250701_2310_066_Ca138TrN_MaLSS_DrSt_ode23t.png","figure")</f>
        <v>figure</v>
      </c>
      <c r="Q67" t="s">
        <v>15</v>
      </c>
    </row>
    <row r="68" spans="1:17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148</v>
      </c>
      <c r="K68" t="s">
        <v>23</v>
      </c>
      <c r="L68">
        <v>652</v>
      </c>
      <c r="M68" s="10">
        <v>27.804927200000002</v>
      </c>
      <c r="N68" s="10">
        <v>405.34282971654443</v>
      </c>
      <c r="O68" s="10">
        <v>1.6363409677673066</v>
      </c>
      <c r="P68" s="1" t="str">
        <f>HYPERLINK(".\sm_car_250701_2310\sm_car_250701_2310_067_Ca139TrN_MaWOT_DrSt_ode23t.png","figure")</f>
        <v>figure</v>
      </c>
      <c r="Q68" t="s">
        <v>15</v>
      </c>
    </row>
    <row r="69" spans="1:17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148</v>
      </c>
      <c r="K69" t="s">
        <v>23</v>
      </c>
      <c r="L69">
        <v>652</v>
      </c>
      <c r="M69" s="10">
        <v>17.861272799999998</v>
      </c>
      <c r="N69" s="10">
        <v>154.37158532024651</v>
      </c>
      <c r="O69" s="10">
        <v>-0.58868509825025073</v>
      </c>
      <c r="P69" s="1" t="str">
        <f>HYPERLINK(".\sm_car_250701_2310\sm_car_250701_2310_068_Ca139TrN_MaLSS_DrSt_ode23t.png","figure")</f>
        <v>figure</v>
      </c>
      <c r="Q69" t="s">
        <v>15</v>
      </c>
    </row>
    <row r="70" spans="1:17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148</v>
      </c>
      <c r="K70" t="s">
        <v>23</v>
      </c>
      <c r="L70">
        <v>2021</v>
      </c>
      <c r="M70" s="10">
        <v>38.644615799999997</v>
      </c>
      <c r="N70" s="10">
        <v>405.28004150776576</v>
      </c>
      <c r="O70" s="10">
        <v>1.6695322531781871</v>
      </c>
      <c r="P70" s="1" t="str">
        <f>HYPERLINK(".\sm_car_250701_2310\sm_car_250701_2310_069_Ca141TrN_MaWOT_DrSt_ode23t.png","figure")</f>
        <v>figure</v>
      </c>
      <c r="Q70" t="s">
        <v>15</v>
      </c>
    </row>
    <row r="71" spans="1:17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148</v>
      </c>
      <c r="K71" t="s">
        <v>23</v>
      </c>
      <c r="L71">
        <v>1895</v>
      </c>
      <c r="M71" s="10">
        <v>36.882518900000001</v>
      </c>
      <c r="N71" s="10">
        <v>154.40028044949671</v>
      </c>
      <c r="O71" s="10">
        <v>-0.57175726874626087</v>
      </c>
      <c r="P71" s="1" t="str">
        <f>HYPERLINK(".\sm_car_250701_2310\sm_car_250701_2310_070_Ca141TrN_MaLSS_DrSt_ode23t.png","figure")</f>
        <v>figure</v>
      </c>
      <c r="Q71" t="s">
        <v>15</v>
      </c>
    </row>
    <row r="72" spans="1:17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148</v>
      </c>
      <c r="K72" t="s">
        <v>23</v>
      </c>
      <c r="L72">
        <v>353</v>
      </c>
      <c r="M72" s="10">
        <v>21.561412399999998</v>
      </c>
      <c r="N72" s="10">
        <v>95.821673801111075</v>
      </c>
      <c r="O72" s="10">
        <v>-3.1658773256693203E-2</v>
      </c>
      <c r="P72" s="1" t="str">
        <f>HYPERLINK(".\sm_car_250701_2310\sm_car_250701_2310_071_Ca143TrN_MaWOT_DrSt_ode23t.png","figure")</f>
        <v>figure</v>
      </c>
      <c r="Q72" t="s">
        <v>15</v>
      </c>
    </row>
    <row r="73" spans="1:17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148</v>
      </c>
      <c r="K73" t="s">
        <v>23</v>
      </c>
      <c r="L73">
        <v>448</v>
      </c>
      <c r="M73" s="10">
        <v>23.939485900000001</v>
      </c>
      <c r="N73" s="10">
        <v>25.014681132040707</v>
      </c>
      <c r="O73" s="10">
        <v>-5.2905397861808416E-2</v>
      </c>
      <c r="P73" s="1" t="str">
        <f>HYPERLINK(".\sm_car_250701_2310\sm_car_250701_2310_072_Ca143TrN_MaLSS_DrSt_ode23t.png","figure")</f>
        <v>figure</v>
      </c>
      <c r="Q73" t="s">
        <v>15</v>
      </c>
    </row>
    <row r="74" spans="1:17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148</v>
      </c>
      <c r="K74" t="s">
        <v>23</v>
      </c>
      <c r="L74">
        <v>346</v>
      </c>
      <c r="M74" s="10">
        <v>15.700357199999999</v>
      </c>
      <c r="N74" s="10">
        <v>114.01642847181384</v>
      </c>
      <c r="O74" s="10">
        <v>0.52977345569274503</v>
      </c>
      <c r="P74" s="1" t="str">
        <f>HYPERLINK(".\sm_car_250701_2310\sm_car_250701_2310_073_Ca144TrN_MaWOT_DrSt_ode23t.png","figure")</f>
        <v>figure</v>
      </c>
      <c r="Q74" t="s">
        <v>15</v>
      </c>
    </row>
    <row r="75" spans="1:17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148</v>
      </c>
      <c r="K75" t="s">
        <v>23</v>
      </c>
      <c r="L75">
        <v>470</v>
      </c>
      <c r="M75" s="10">
        <v>12.244282800000001</v>
      </c>
      <c r="N75" s="10">
        <v>35.600335054352918</v>
      </c>
      <c r="O75" s="10">
        <v>-3.2363959201623257E-2</v>
      </c>
      <c r="P75" s="1" t="str">
        <f>HYPERLINK(".\sm_car_250701_2310\sm_car_250701_2310_074_Ca144TrN_MaLSS_DrSt_ode23t.png","figure")</f>
        <v>figure</v>
      </c>
      <c r="Q75" t="s">
        <v>15</v>
      </c>
    </row>
    <row r="76" spans="1:17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148</v>
      </c>
      <c r="K76" t="s">
        <v>23</v>
      </c>
      <c r="L76">
        <v>2490</v>
      </c>
      <c r="M76" s="10">
        <v>27.250403899999998</v>
      </c>
      <c r="N76" s="10">
        <v>399.80498591601452</v>
      </c>
      <c r="O76" s="10">
        <v>-16.373733054599995</v>
      </c>
      <c r="P76" s="1" t="str">
        <f>HYPERLINK(".\sm_car_250701_2310\sm_car_250701_2310_075_Ca147TrN_MaWOT_DrSt_ode23t.png","figure")</f>
        <v>figure</v>
      </c>
      <c r="Q76" t="s">
        <v>15</v>
      </c>
    </row>
    <row r="77" spans="1:17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148</v>
      </c>
      <c r="K77" t="s">
        <v>23</v>
      </c>
      <c r="L77">
        <v>1300</v>
      </c>
      <c r="M77" s="10">
        <v>17.999724100000002</v>
      </c>
      <c r="N77" s="10">
        <v>151.95625666246161</v>
      </c>
      <c r="O77" s="10">
        <v>-2.3262861637696166</v>
      </c>
      <c r="P77" s="1" t="str">
        <f>HYPERLINK(".\sm_car_250701_2310\sm_car_250701_2310_076_Ca147TrN_MaLSS_DrSt_ode23t.png","figure")</f>
        <v>figure</v>
      </c>
      <c r="Q77" t="s">
        <v>15</v>
      </c>
    </row>
    <row r="78" spans="1:17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148</v>
      </c>
      <c r="K78" t="s">
        <v>23</v>
      </c>
      <c r="L78">
        <v>312</v>
      </c>
      <c r="M78" s="10">
        <v>8.2212870000000002</v>
      </c>
      <c r="N78" s="10">
        <v>229.67542025612829</v>
      </c>
      <c r="O78" s="10">
        <v>5.5980890335133957E-3</v>
      </c>
      <c r="P78" s="1" t="str">
        <f>HYPERLINK(".\sm_car_250701_2310\sm_car_250701_2310_077_Ca215TrN_MaWOT_DrSt_ode23t.png","figure")</f>
        <v>figure</v>
      </c>
      <c r="Q78" t="s">
        <v>15</v>
      </c>
    </row>
    <row r="79" spans="1:17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148</v>
      </c>
      <c r="K79" t="s">
        <v>23</v>
      </c>
      <c r="L79">
        <v>471</v>
      </c>
      <c r="M79" s="10">
        <v>8.3260570999999999</v>
      </c>
      <c r="N79" s="10">
        <v>81.26828189226714</v>
      </c>
      <c r="O79" s="10">
        <v>-0.22189443475888274</v>
      </c>
      <c r="P79" s="1" t="str">
        <f>HYPERLINK(".\sm_car_250701_2310\sm_car_250701_2310_078_Ca215TrN_MaLSS_DrSt_ode23t.png","figure")</f>
        <v>figure</v>
      </c>
      <c r="Q79" t="s">
        <v>15</v>
      </c>
    </row>
    <row r="80" spans="1:17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26</v>
      </c>
      <c r="H80" t="s">
        <v>21</v>
      </c>
      <c r="I80" t="s">
        <v>22</v>
      </c>
      <c r="J80" t="s">
        <v>148</v>
      </c>
      <c r="K80" t="s">
        <v>23</v>
      </c>
      <c r="L80">
        <v>373</v>
      </c>
      <c r="M80" s="10">
        <v>4.6106056999999998</v>
      </c>
      <c r="N80" s="10">
        <v>230.22411712835432</v>
      </c>
      <c r="O80" s="10">
        <v>0.17085345839859131</v>
      </c>
      <c r="P80" s="1" t="str">
        <f>HYPERLINK(".\sm_car_250701_2310\sm_car_250701_2310_079_Ca218TrN_MaWOT_DrSt_ode23t.png","figure")</f>
        <v>figure</v>
      </c>
      <c r="Q80" t="s">
        <v>15</v>
      </c>
    </row>
    <row r="81" spans="1:17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26</v>
      </c>
      <c r="H81" t="s">
        <v>21</v>
      </c>
      <c r="I81" t="s">
        <v>24</v>
      </c>
      <c r="J81" t="s">
        <v>148</v>
      </c>
      <c r="K81" t="s">
        <v>23</v>
      </c>
      <c r="L81">
        <v>481</v>
      </c>
      <c r="M81" s="10">
        <v>5.9102414000000003</v>
      </c>
      <c r="N81" s="10">
        <v>70.964788723088489</v>
      </c>
      <c r="O81" s="10">
        <v>-0.51904376443984857</v>
      </c>
      <c r="P81" s="1" t="str">
        <f>HYPERLINK(".\sm_car_250701_2310\sm_car_250701_2310_080_Ca218TrN_MaLSS_DrSt_ode23t.png","figure")</f>
        <v>figure</v>
      </c>
      <c r="Q81" t="s">
        <v>15</v>
      </c>
    </row>
    <row r="82" spans="1:17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26</v>
      </c>
      <c r="H82" t="s">
        <v>21</v>
      </c>
      <c r="I82" t="s">
        <v>22</v>
      </c>
      <c r="J82" t="s">
        <v>148</v>
      </c>
      <c r="K82" t="s">
        <v>23</v>
      </c>
      <c r="L82">
        <v>390</v>
      </c>
      <c r="M82" s="10">
        <v>7.1739303999999997</v>
      </c>
      <c r="N82" s="10">
        <v>229.44962048659602</v>
      </c>
      <c r="O82" s="10">
        <v>0.1715956450809871</v>
      </c>
      <c r="P82" s="1" t="str">
        <f>HYPERLINK(".\sm_car_250701_2310\sm_car_250701_2310_081_Ca219TrN_MaWOT_DrSt_ode23t.png","figure")</f>
        <v>figure</v>
      </c>
      <c r="Q82" t="s">
        <v>15</v>
      </c>
    </row>
    <row r="83" spans="1:17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26</v>
      </c>
      <c r="H83" t="s">
        <v>21</v>
      </c>
      <c r="I83" t="s">
        <v>24</v>
      </c>
      <c r="J83" t="s">
        <v>148</v>
      </c>
      <c r="K83" t="s">
        <v>23</v>
      </c>
      <c r="L83">
        <v>496</v>
      </c>
      <c r="M83" s="10">
        <v>7.8974342999999996</v>
      </c>
      <c r="N83" s="10">
        <v>70.786943112679353</v>
      </c>
      <c r="O83" s="10">
        <v>-0.55859333283835977</v>
      </c>
      <c r="P83" s="1" t="str">
        <f>HYPERLINK(".\sm_car_250701_2310\sm_car_250701_2310_082_Ca219TrN_MaLSS_DrSt_ode23t.png","figure")</f>
        <v>figure</v>
      </c>
      <c r="Q83" t="s">
        <v>15</v>
      </c>
    </row>
    <row r="84" spans="1:17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26</v>
      </c>
      <c r="H84" t="s">
        <v>21</v>
      </c>
      <c r="I84" t="s">
        <v>22</v>
      </c>
      <c r="J84" t="s">
        <v>148</v>
      </c>
      <c r="K84" t="s">
        <v>23</v>
      </c>
      <c r="L84">
        <v>929</v>
      </c>
      <c r="M84" s="10">
        <v>32.294760500000002</v>
      </c>
      <c r="N84" s="10">
        <v>223.58519380138767</v>
      </c>
      <c r="O84" s="10">
        <v>-1.2249291064213097</v>
      </c>
      <c r="P84" s="1" t="str">
        <f>HYPERLINK(".\sm_car_250701_2310\sm_car_250701_2310_083_Ca220TrN_MaWOT_DrSt_ode23t.png","figure")</f>
        <v>figure</v>
      </c>
      <c r="Q84" t="s">
        <v>15</v>
      </c>
    </row>
    <row r="85" spans="1:17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26</v>
      </c>
      <c r="H85" t="s">
        <v>21</v>
      </c>
      <c r="I85" t="s">
        <v>24</v>
      </c>
      <c r="J85" t="s">
        <v>148</v>
      </c>
      <c r="K85" t="s">
        <v>23</v>
      </c>
      <c r="L85">
        <v>1083</v>
      </c>
      <c r="M85" s="10">
        <v>39.478088200000002</v>
      </c>
      <c r="N85" s="10">
        <v>69.477583884969846</v>
      </c>
      <c r="O85" s="10">
        <v>-1.5059236700584029</v>
      </c>
      <c r="P85" s="1" t="str">
        <f>HYPERLINK(".\sm_car_250701_2310\sm_car_250701_2310_084_Ca220TrN_MaLSS_DrSt_ode23t.png","figure")</f>
        <v>figure</v>
      </c>
      <c r="Q85" t="s">
        <v>15</v>
      </c>
    </row>
    <row r="86" spans="1:17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148</v>
      </c>
      <c r="K86" t="s">
        <v>23</v>
      </c>
      <c r="L86">
        <v>468</v>
      </c>
      <c r="M86" s="10">
        <v>6.9858067999999998</v>
      </c>
      <c r="N86" s="10">
        <v>293.16432845264791</v>
      </c>
      <c r="O86" s="10">
        <v>5.2423235952798494E-5</v>
      </c>
      <c r="P86" s="1" t="str">
        <f>HYPERLINK(".\sm_car_250701_2310\sm_car_250701_2310_085_Ca223TrN_MaWOT_DrSt_ode23t.png","figure")</f>
        <v>figure</v>
      </c>
      <c r="Q86" t="s">
        <v>15</v>
      </c>
    </row>
    <row r="87" spans="1:17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148</v>
      </c>
      <c r="K87" t="s">
        <v>23</v>
      </c>
      <c r="L87">
        <v>647</v>
      </c>
      <c r="M87" s="10">
        <v>7.2114967999999999</v>
      </c>
      <c r="N87" s="10">
        <v>103.53157620195991</v>
      </c>
      <c r="O87" s="10">
        <v>-0.15335018436426809</v>
      </c>
      <c r="P87" s="1" t="str">
        <f>HYPERLINK(".\sm_car_250701_2310\sm_car_250701_2310_086_Ca223TrN_MaLSS_DrSt_ode23t.png","figure")</f>
        <v>figure</v>
      </c>
      <c r="Q87" t="s">
        <v>15</v>
      </c>
    </row>
    <row r="88" spans="1:17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148</v>
      </c>
      <c r="K88" t="s">
        <v>23</v>
      </c>
      <c r="L88">
        <v>747</v>
      </c>
      <c r="M88" s="10">
        <v>22.322921300000001</v>
      </c>
      <c r="N88" s="10">
        <v>406.94392168000553</v>
      </c>
      <c r="O88" s="10">
        <v>-13.457258837425021</v>
      </c>
      <c r="P88" s="1" t="str">
        <f>HYPERLINK(".\sm_car_250701_2310\sm_car_250701_2310_087_Ca227TrN_MaWOT_DrSt_ode23t.png","figure")</f>
        <v>figure</v>
      </c>
      <c r="Q88" t="s">
        <v>15</v>
      </c>
    </row>
    <row r="89" spans="1:17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148</v>
      </c>
      <c r="K89" t="s">
        <v>23</v>
      </c>
      <c r="L89">
        <v>727</v>
      </c>
      <c r="M89" s="10">
        <v>15.2143382</v>
      </c>
      <c r="N89" s="10">
        <v>155.20160126970839</v>
      </c>
      <c r="O89" s="10">
        <v>-2.8824287443583754</v>
      </c>
      <c r="P89" s="1" t="str">
        <f>HYPERLINK(".\sm_car_250701_2310\sm_car_250701_2310_088_Ca227TrN_MaLSS_DrSt_ode23t.png","figure")</f>
        <v>figure</v>
      </c>
      <c r="Q89" t="s">
        <v>15</v>
      </c>
    </row>
    <row r="90" spans="1:17" x14ac:dyDescent="0.25">
      <c r="A90">
        <v>89</v>
      </c>
      <c r="B90">
        <v>8</v>
      </c>
      <c r="C90" t="s">
        <v>16</v>
      </c>
      <c r="D90" t="s">
        <v>17</v>
      </c>
      <c r="E90" t="s">
        <v>49</v>
      </c>
      <c r="F90" t="s">
        <v>19</v>
      </c>
      <c r="G90" t="s">
        <v>20</v>
      </c>
      <c r="H90" t="s">
        <v>21</v>
      </c>
      <c r="I90" t="s">
        <v>22</v>
      </c>
      <c r="J90" t="s">
        <v>148</v>
      </c>
      <c r="K90" t="s">
        <v>23</v>
      </c>
      <c r="L90">
        <v>382</v>
      </c>
      <c r="M90" s="10">
        <v>10.3619691</v>
      </c>
      <c r="N90" s="10">
        <v>231.31978471892802</v>
      </c>
      <c r="O90" s="10">
        <v>1.0394596207732492E-3</v>
      </c>
      <c r="P90" s="1" t="str">
        <f>HYPERLINK(".\sm_car_250701_2310\sm_car_250701_2310_089_Ca008TrN_MaWOT_DrSt_ode23t_1.png","figure")</f>
        <v>figure</v>
      </c>
      <c r="Q90" t="s">
        <v>15</v>
      </c>
    </row>
    <row r="91" spans="1:17" x14ac:dyDescent="0.25">
      <c r="A91">
        <v>90</v>
      </c>
      <c r="B91">
        <v>8</v>
      </c>
      <c r="C91" t="s">
        <v>16</v>
      </c>
      <c r="D91" t="s">
        <v>17</v>
      </c>
      <c r="E91" t="s">
        <v>49</v>
      </c>
      <c r="F91" t="s">
        <v>19</v>
      </c>
      <c r="G91" t="s">
        <v>20</v>
      </c>
      <c r="H91" t="s">
        <v>21</v>
      </c>
      <c r="I91" t="s">
        <v>24</v>
      </c>
      <c r="J91" t="s">
        <v>148</v>
      </c>
      <c r="K91" t="s">
        <v>23</v>
      </c>
      <c r="L91">
        <v>556</v>
      </c>
      <c r="M91" s="10">
        <v>12.690898499999999</v>
      </c>
      <c r="N91" s="10">
        <v>71.256587613707282</v>
      </c>
      <c r="O91" s="10">
        <v>-0.53995846386788471</v>
      </c>
      <c r="P91" s="1" t="str">
        <f>HYPERLINK(".\sm_car_250701_2310\sm_car_250701_2310_090_Ca008TrN_MaLSS_DrSt_ode23t_1.png","figure")</f>
        <v>figure</v>
      </c>
      <c r="Q91" t="s">
        <v>15</v>
      </c>
    </row>
    <row r="92" spans="1:17" x14ac:dyDescent="0.25">
      <c r="A92">
        <v>91</v>
      </c>
      <c r="B92">
        <v>13</v>
      </c>
      <c r="C92" t="s">
        <v>16</v>
      </c>
      <c r="D92" t="s">
        <v>17</v>
      </c>
      <c r="E92" t="s">
        <v>49</v>
      </c>
      <c r="F92" t="s">
        <v>28</v>
      </c>
      <c r="G92" t="s">
        <v>25</v>
      </c>
      <c r="H92" t="s">
        <v>21</v>
      </c>
      <c r="I92" t="s">
        <v>22</v>
      </c>
      <c r="J92" t="s">
        <v>148</v>
      </c>
      <c r="K92" t="s">
        <v>23</v>
      </c>
      <c r="L92">
        <v>840</v>
      </c>
      <c r="M92" s="10">
        <v>12.762685400000001</v>
      </c>
      <c r="N92" s="10">
        <v>230.32945596886307</v>
      </c>
      <c r="O92" s="10">
        <v>-1.217315426962424E-2</v>
      </c>
      <c r="P92" s="1" t="str">
        <f>HYPERLINK(".\sm_car_250701_2310\sm_car_250701_2310_091_Ca013TrN_MaWOT_DrSt_ode23t_1.png","figure")</f>
        <v>figure</v>
      </c>
      <c r="Q92" t="s">
        <v>15</v>
      </c>
    </row>
    <row r="93" spans="1:17" x14ac:dyDescent="0.25">
      <c r="A93">
        <v>92</v>
      </c>
      <c r="B93">
        <v>13</v>
      </c>
      <c r="C93" t="s">
        <v>16</v>
      </c>
      <c r="D93" t="s">
        <v>17</v>
      </c>
      <c r="E93" t="s">
        <v>49</v>
      </c>
      <c r="F93" t="s">
        <v>28</v>
      </c>
      <c r="G93" t="s">
        <v>25</v>
      </c>
      <c r="H93" t="s">
        <v>21</v>
      </c>
      <c r="I93" t="s">
        <v>24</v>
      </c>
      <c r="J93" t="s">
        <v>148</v>
      </c>
      <c r="K93" t="s">
        <v>23</v>
      </c>
      <c r="L93">
        <v>1005</v>
      </c>
      <c r="M93" s="10">
        <v>15.7634066</v>
      </c>
      <c r="N93" s="10">
        <v>70.956998456429673</v>
      </c>
      <c r="O93" s="10">
        <v>-0.53819342432266781</v>
      </c>
      <c r="P93" s="1" t="str">
        <f>HYPERLINK(".\sm_car_250701_2310\sm_car_250701_2310_092_Ca013TrN_MaLSS_DrSt_ode23t_1.png","figure")</f>
        <v>figure</v>
      </c>
      <c r="Q93" t="s">
        <v>15</v>
      </c>
    </row>
    <row r="94" spans="1:17" x14ac:dyDescent="0.25">
      <c r="A94">
        <v>93</v>
      </c>
      <c r="B94">
        <v>120</v>
      </c>
      <c r="C94" t="s">
        <v>16</v>
      </c>
      <c r="D94" t="s">
        <v>35</v>
      </c>
      <c r="E94" t="s">
        <v>49</v>
      </c>
      <c r="F94" t="s">
        <v>19</v>
      </c>
      <c r="G94" t="s">
        <v>20</v>
      </c>
      <c r="H94" t="s">
        <v>21</v>
      </c>
      <c r="I94" t="s">
        <v>22</v>
      </c>
      <c r="J94" t="s">
        <v>148</v>
      </c>
      <c r="K94" t="s">
        <v>23</v>
      </c>
      <c r="L94">
        <v>409</v>
      </c>
      <c r="M94" s="10">
        <v>3.6275719999999998</v>
      </c>
      <c r="N94" s="10">
        <v>242.69176861264364</v>
      </c>
      <c r="O94" s="10">
        <v>0.23531217076053165</v>
      </c>
      <c r="P94" s="1" t="str">
        <f>HYPERLINK(".\sm_car_250701_2310\sm_car_250701_2310_093_Ca120TrN_MaWOT_DrSt_ode23t_1.png","figure")</f>
        <v>figure</v>
      </c>
      <c r="Q94" t="s">
        <v>15</v>
      </c>
    </row>
    <row r="95" spans="1:17" x14ac:dyDescent="0.25">
      <c r="A95">
        <v>94</v>
      </c>
      <c r="B95">
        <v>120</v>
      </c>
      <c r="C95" t="s">
        <v>16</v>
      </c>
      <c r="D95" t="s">
        <v>35</v>
      </c>
      <c r="E95" t="s">
        <v>49</v>
      </c>
      <c r="F95" t="s">
        <v>19</v>
      </c>
      <c r="G95" t="s">
        <v>20</v>
      </c>
      <c r="H95" t="s">
        <v>21</v>
      </c>
      <c r="I95" t="s">
        <v>24</v>
      </c>
      <c r="J95" t="s">
        <v>148</v>
      </c>
      <c r="K95" t="s">
        <v>23</v>
      </c>
      <c r="L95">
        <v>532</v>
      </c>
      <c r="M95" s="10">
        <v>4.1851662999999997</v>
      </c>
      <c r="N95" s="10">
        <v>74.671499220145861</v>
      </c>
      <c r="O95" s="10">
        <v>-0.3387734755925863</v>
      </c>
      <c r="P95" s="1" t="str">
        <f>HYPERLINK(".\sm_car_250701_2310\sm_car_250701_2310_094_Ca120TrN_MaLSS_DrSt_ode23t_1.png","figure")</f>
        <v>figure</v>
      </c>
      <c r="Q95" t="s">
        <v>15</v>
      </c>
    </row>
    <row r="96" spans="1:17" x14ac:dyDescent="0.25">
      <c r="A96">
        <v>95</v>
      </c>
      <c r="B96">
        <v>126</v>
      </c>
      <c r="C96" t="s">
        <v>16</v>
      </c>
      <c r="D96" t="s">
        <v>35</v>
      </c>
      <c r="E96" t="s">
        <v>49</v>
      </c>
      <c r="F96" t="s">
        <v>28</v>
      </c>
      <c r="G96" t="s">
        <v>26</v>
      </c>
      <c r="H96" t="s">
        <v>21</v>
      </c>
      <c r="I96" t="s">
        <v>22</v>
      </c>
      <c r="J96" t="s">
        <v>148</v>
      </c>
      <c r="K96" t="s">
        <v>23</v>
      </c>
      <c r="L96">
        <v>1023</v>
      </c>
      <c r="M96" s="10">
        <v>6.0173465000000004</v>
      </c>
      <c r="N96" s="10">
        <v>241.41538965392758</v>
      </c>
      <c r="O96" s="10">
        <v>0.23234207581680558</v>
      </c>
      <c r="P96" s="1" t="str">
        <f>HYPERLINK(".\sm_car_250701_2310\sm_car_250701_2310_095_Ca126TrN_MaWOT_DrSt_ode23t_1.png","figure")</f>
        <v>figure</v>
      </c>
      <c r="Q96" t="s">
        <v>15</v>
      </c>
    </row>
    <row r="97" spans="1:17" x14ac:dyDescent="0.25">
      <c r="A97">
        <v>96</v>
      </c>
      <c r="B97">
        <v>126</v>
      </c>
      <c r="C97" t="s">
        <v>16</v>
      </c>
      <c r="D97" t="s">
        <v>35</v>
      </c>
      <c r="E97" t="s">
        <v>49</v>
      </c>
      <c r="F97" t="s">
        <v>28</v>
      </c>
      <c r="G97" t="s">
        <v>26</v>
      </c>
      <c r="H97" t="s">
        <v>21</v>
      </c>
      <c r="I97" t="s">
        <v>24</v>
      </c>
      <c r="J97" t="s">
        <v>148</v>
      </c>
      <c r="K97" t="s">
        <v>23</v>
      </c>
      <c r="L97">
        <v>1158</v>
      </c>
      <c r="M97" s="10">
        <v>6.6903474999999997</v>
      </c>
      <c r="N97" s="10">
        <v>74.340124689586219</v>
      </c>
      <c r="O97" s="10">
        <v>-0.33571118407388223</v>
      </c>
      <c r="P97" s="1" t="str">
        <f>HYPERLINK(".\sm_car_250701_2310\sm_car_250701_2310_096_Ca126TrN_MaLSS_DrSt_ode23t_1.png","figure")</f>
        <v>figure</v>
      </c>
      <c r="Q97" t="s">
        <v>15</v>
      </c>
    </row>
    <row r="98" spans="1:17" x14ac:dyDescent="0.25">
      <c r="A98">
        <v>97</v>
      </c>
      <c r="B98">
        <v>127</v>
      </c>
      <c r="C98" t="s">
        <v>16</v>
      </c>
      <c r="D98" t="s">
        <v>35</v>
      </c>
      <c r="E98" t="s">
        <v>49</v>
      </c>
      <c r="F98" t="s">
        <v>28</v>
      </c>
      <c r="G98" t="s">
        <v>27</v>
      </c>
      <c r="H98" t="s">
        <v>21</v>
      </c>
      <c r="I98" t="s">
        <v>22</v>
      </c>
      <c r="J98" t="s">
        <v>148</v>
      </c>
      <c r="K98" t="s">
        <v>23</v>
      </c>
      <c r="L98">
        <v>1041</v>
      </c>
      <c r="M98" s="10">
        <v>5.9303476000000002</v>
      </c>
      <c r="N98" s="10">
        <v>241.06693080256633</v>
      </c>
      <c r="O98" s="10">
        <v>0.2310241859701124</v>
      </c>
      <c r="P98" s="1" t="str">
        <f>HYPERLINK(".\sm_car_250701_2310\sm_car_250701_2310_097_Ca127TrN_MaWOT_DrSt_ode23t_1.png","figure")</f>
        <v>figure</v>
      </c>
      <c r="Q98" t="s">
        <v>15</v>
      </c>
    </row>
    <row r="99" spans="1:17" x14ac:dyDescent="0.25">
      <c r="A99">
        <v>98</v>
      </c>
      <c r="B99">
        <v>127</v>
      </c>
      <c r="C99" t="s">
        <v>16</v>
      </c>
      <c r="D99" t="s">
        <v>35</v>
      </c>
      <c r="E99" t="s">
        <v>49</v>
      </c>
      <c r="F99" t="s">
        <v>28</v>
      </c>
      <c r="G99" t="s">
        <v>27</v>
      </c>
      <c r="H99" t="s">
        <v>21</v>
      </c>
      <c r="I99" t="s">
        <v>24</v>
      </c>
      <c r="J99" t="s">
        <v>148</v>
      </c>
      <c r="K99" t="s">
        <v>23</v>
      </c>
      <c r="L99">
        <v>1170</v>
      </c>
      <c r="M99" s="10">
        <v>6.8140900000000002</v>
      </c>
      <c r="N99" s="10">
        <v>74.194403727746163</v>
      </c>
      <c r="O99" s="10">
        <v>-0.33329568436763163</v>
      </c>
      <c r="P99" s="1" t="str">
        <f>HYPERLINK(".\sm_car_250701_2310\sm_car_250701_2310_098_Ca127TrN_MaLSS_DrSt_ode23t_1.png","figure")</f>
        <v>figure</v>
      </c>
      <c r="Q99" t="s">
        <v>15</v>
      </c>
    </row>
    <row r="100" spans="1:17" x14ac:dyDescent="0.25">
      <c r="A100">
        <v>99</v>
      </c>
      <c r="B100">
        <v>145</v>
      </c>
      <c r="C100" t="s">
        <v>46</v>
      </c>
      <c r="D100" t="s">
        <v>17</v>
      </c>
      <c r="E100" t="s">
        <v>50</v>
      </c>
      <c r="F100" t="s">
        <v>19</v>
      </c>
      <c r="G100" t="s">
        <v>26</v>
      </c>
      <c r="H100" t="s">
        <v>21</v>
      </c>
      <c r="I100" t="s">
        <v>22</v>
      </c>
      <c r="J100" t="s">
        <v>148</v>
      </c>
      <c r="K100" t="s">
        <v>23</v>
      </c>
      <c r="L100">
        <v>355</v>
      </c>
      <c r="M100" s="10">
        <v>15.590920000000001</v>
      </c>
      <c r="N100" s="10">
        <v>95.763190305917007</v>
      </c>
      <c r="O100" s="10">
        <v>-3.2503290073543287E-2</v>
      </c>
      <c r="P100" s="1" t="str">
        <f>HYPERLINK(".\sm_car_250701_2310\sm_car_250701_2310_099_Ca145TrN_MaWOT_DrSt_ode23t_1.png","figure")</f>
        <v>figure</v>
      </c>
      <c r="Q100" t="s">
        <v>15</v>
      </c>
    </row>
    <row r="101" spans="1:17" x14ac:dyDescent="0.25">
      <c r="A101">
        <v>100</v>
      </c>
      <c r="B101">
        <v>145</v>
      </c>
      <c r="C101" t="s">
        <v>46</v>
      </c>
      <c r="D101" t="s">
        <v>17</v>
      </c>
      <c r="E101" t="s">
        <v>50</v>
      </c>
      <c r="F101" t="s">
        <v>19</v>
      </c>
      <c r="G101" t="s">
        <v>26</v>
      </c>
      <c r="H101" t="s">
        <v>21</v>
      </c>
      <c r="I101" t="s">
        <v>24</v>
      </c>
      <c r="J101" t="s">
        <v>148</v>
      </c>
      <c r="K101" t="s">
        <v>23</v>
      </c>
      <c r="L101">
        <v>463</v>
      </c>
      <c r="M101" s="10">
        <v>17.036724899999999</v>
      </c>
      <c r="N101" s="10">
        <v>25.00357142466428</v>
      </c>
      <c r="O101" s="10">
        <v>-4.9851827421342497E-2</v>
      </c>
      <c r="P101" s="1" t="str">
        <f>HYPERLINK(".\sm_car_250701_2310\sm_car_250701_2310_100_Ca145TrN_MaLSS_DrSt_ode23t_1.png","figure")</f>
        <v>figure</v>
      </c>
      <c r="Q101" t="s">
        <v>15</v>
      </c>
    </row>
    <row r="102" spans="1:17" x14ac:dyDescent="0.25">
      <c r="A102">
        <v>101</v>
      </c>
      <c r="B102">
        <v>184</v>
      </c>
      <c r="C102" t="s">
        <v>105</v>
      </c>
      <c r="D102" t="s">
        <v>120</v>
      </c>
      <c r="E102" t="s">
        <v>49</v>
      </c>
      <c r="F102" t="s">
        <v>19</v>
      </c>
      <c r="G102" t="s">
        <v>20</v>
      </c>
      <c r="H102" t="s">
        <v>21</v>
      </c>
      <c r="I102" t="s">
        <v>22</v>
      </c>
      <c r="J102" t="s">
        <v>148</v>
      </c>
      <c r="K102" t="s">
        <v>23</v>
      </c>
      <c r="L102">
        <v>311</v>
      </c>
      <c r="M102" s="10">
        <v>15.5880245</v>
      </c>
      <c r="N102" s="10">
        <v>294.64546055066154</v>
      </c>
      <c r="O102" s="10">
        <v>5.9485018793192866E-4</v>
      </c>
      <c r="P102" s="1" t="str">
        <f>HYPERLINK(".\sm_car_250701_2310\sm_car_250701_2310_101_Ca184TrN_MaWOT_DrSt_ode23t_1.png","figure")</f>
        <v>figure</v>
      </c>
      <c r="Q102" t="s">
        <v>15</v>
      </c>
    </row>
    <row r="103" spans="1:17" x14ac:dyDescent="0.25">
      <c r="A103">
        <v>102</v>
      </c>
      <c r="B103">
        <v>184</v>
      </c>
      <c r="C103" t="s">
        <v>105</v>
      </c>
      <c r="D103" t="s">
        <v>120</v>
      </c>
      <c r="E103" t="s">
        <v>49</v>
      </c>
      <c r="F103" t="s">
        <v>19</v>
      </c>
      <c r="G103" t="s">
        <v>20</v>
      </c>
      <c r="H103" t="s">
        <v>21</v>
      </c>
      <c r="I103" t="s">
        <v>24</v>
      </c>
      <c r="J103" t="s">
        <v>148</v>
      </c>
      <c r="K103" t="s">
        <v>23</v>
      </c>
      <c r="L103">
        <v>481</v>
      </c>
      <c r="M103" s="10">
        <v>11.3868337</v>
      </c>
      <c r="N103" s="10">
        <v>103.56281476907209</v>
      </c>
      <c r="O103" s="10">
        <v>-0.21255854813123123</v>
      </c>
      <c r="P103" s="1" t="str">
        <f>HYPERLINK(".\sm_car_250701_2310\sm_car_250701_2310_102_Ca184TrN_MaLSS_DrSt_ode23t_1.png","figure")</f>
        <v>figure</v>
      </c>
      <c r="Q103" t="s">
        <v>15</v>
      </c>
    </row>
    <row r="104" spans="1:17" x14ac:dyDescent="0.25">
      <c r="A104">
        <v>103</v>
      </c>
      <c r="B104">
        <v>217</v>
      </c>
      <c r="C104" t="s">
        <v>45</v>
      </c>
      <c r="D104" t="s">
        <v>17</v>
      </c>
      <c r="E104" t="s">
        <v>107</v>
      </c>
      <c r="F104" t="s">
        <v>119</v>
      </c>
      <c r="G104" t="s">
        <v>26</v>
      </c>
      <c r="H104" t="s">
        <v>21</v>
      </c>
      <c r="I104" t="s">
        <v>22</v>
      </c>
      <c r="J104" t="s">
        <v>148</v>
      </c>
      <c r="K104" t="s">
        <v>23</v>
      </c>
      <c r="L104">
        <v>730</v>
      </c>
      <c r="M104" s="10">
        <v>31.268892699999999</v>
      </c>
      <c r="N104" s="10">
        <v>278.53758847351867</v>
      </c>
      <c r="O104" s="10">
        <v>0.73464819476723753</v>
      </c>
      <c r="P104" s="1" t="str">
        <f>HYPERLINK(".\sm_car_250701_2310\sm_car_250701_2310_103_Ca217TrN_MaWOT_DrSt_ode23t_1.png","figure")</f>
        <v>figure</v>
      </c>
      <c r="Q104" t="s">
        <v>15</v>
      </c>
    </row>
    <row r="105" spans="1:17" x14ac:dyDescent="0.25">
      <c r="A105">
        <v>104</v>
      </c>
      <c r="B105">
        <v>217</v>
      </c>
      <c r="C105" t="s">
        <v>45</v>
      </c>
      <c r="D105" t="s">
        <v>17</v>
      </c>
      <c r="E105" t="s">
        <v>107</v>
      </c>
      <c r="F105" t="s">
        <v>119</v>
      </c>
      <c r="G105" t="s">
        <v>26</v>
      </c>
      <c r="H105" t="s">
        <v>21</v>
      </c>
      <c r="I105" t="s">
        <v>24</v>
      </c>
      <c r="J105" t="s">
        <v>148</v>
      </c>
      <c r="K105" t="s">
        <v>23</v>
      </c>
      <c r="L105">
        <v>855</v>
      </c>
      <c r="M105" s="10">
        <v>37.305570699999997</v>
      </c>
      <c r="N105" s="10">
        <v>110.06649911149103</v>
      </c>
      <c r="O105" s="10">
        <v>-0.35830147743820601</v>
      </c>
      <c r="P105" s="1" t="str">
        <f>HYPERLINK(".\sm_car_250701_2310\sm_car_250701_2310_104_Ca217TrN_MaLSS_DrSt_ode23t_1.png","figure")</f>
        <v>figure</v>
      </c>
      <c r="Q105" t="s">
        <v>15</v>
      </c>
    </row>
    <row r="106" spans="1:17" x14ac:dyDescent="0.25">
      <c r="A106">
        <v>105</v>
      </c>
      <c r="B106">
        <v>12</v>
      </c>
      <c r="C106" t="s">
        <v>16</v>
      </c>
      <c r="D106" t="s">
        <v>17</v>
      </c>
      <c r="E106" t="s">
        <v>49</v>
      </c>
      <c r="F106" t="s">
        <v>28</v>
      </c>
      <c r="G106" t="s">
        <v>20</v>
      </c>
      <c r="H106" t="s">
        <v>21</v>
      </c>
      <c r="I106" t="s">
        <v>53</v>
      </c>
      <c r="J106" t="s">
        <v>148</v>
      </c>
      <c r="K106" t="s">
        <v>23</v>
      </c>
      <c r="L106">
        <v>673</v>
      </c>
      <c r="M106" s="10">
        <v>9.6937066000000005</v>
      </c>
      <c r="N106" s="10">
        <v>253.32376196960405</v>
      </c>
      <c r="O106" s="10">
        <v>4.7612128553940369E-2</v>
      </c>
      <c r="P106" s="1" t="str">
        <f>HYPERLINK(".\sm_car_250701_2310\sm_car_250701_2310_105_Ca012TrN_MaDLC_DrSt_ode23t_1.png","figure")</f>
        <v>figure</v>
      </c>
      <c r="Q106" t="s">
        <v>15</v>
      </c>
    </row>
    <row r="107" spans="1:17" x14ac:dyDescent="0.25">
      <c r="A107">
        <v>106</v>
      </c>
      <c r="B107">
        <v>12</v>
      </c>
      <c r="C107" t="s">
        <v>16</v>
      </c>
      <c r="D107" t="s">
        <v>17</v>
      </c>
      <c r="E107" t="s">
        <v>49</v>
      </c>
      <c r="F107" t="s">
        <v>28</v>
      </c>
      <c r="G107" t="s">
        <v>20</v>
      </c>
      <c r="H107" t="s">
        <v>21</v>
      </c>
      <c r="I107" t="s">
        <v>54</v>
      </c>
      <c r="J107" t="s">
        <v>148</v>
      </c>
      <c r="K107" t="s">
        <v>23</v>
      </c>
      <c r="L107">
        <v>928</v>
      </c>
      <c r="M107" s="10">
        <v>14.900722399999999</v>
      </c>
      <c r="N107" s="10">
        <v>74.803378420356452</v>
      </c>
      <c r="O107" s="10">
        <v>0.71987889792356108</v>
      </c>
      <c r="P107" s="1" t="str">
        <f>HYPERLINK(".\sm_car_250701_2310\sm_car_250701_2310_106_Ca012TrN_MaIPA_DrSt_ode23t_1.png","figure")</f>
        <v>figure</v>
      </c>
      <c r="Q107" t="s">
        <v>15</v>
      </c>
    </row>
    <row r="108" spans="1:17" x14ac:dyDescent="0.25">
      <c r="A108">
        <v>107</v>
      </c>
      <c r="B108">
        <v>142</v>
      </c>
      <c r="C108" t="s">
        <v>45</v>
      </c>
      <c r="D108" t="s">
        <v>17</v>
      </c>
      <c r="E108" t="s">
        <v>49</v>
      </c>
      <c r="F108" t="s">
        <v>28</v>
      </c>
      <c r="G108" t="s">
        <v>26</v>
      </c>
      <c r="H108" t="s">
        <v>21</v>
      </c>
      <c r="I108" t="s">
        <v>53</v>
      </c>
      <c r="J108" t="s">
        <v>148</v>
      </c>
      <c r="K108" t="s">
        <v>23</v>
      </c>
      <c r="L108">
        <v>713</v>
      </c>
      <c r="M108" s="10">
        <v>14.7819193</v>
      </c>
      <c r="N108" s="10">
        <v>253.25858759359738</v>
      </c>
      <c r="O108" s="10">
        <v>-7.8199424545166707E-3</v>
      </c>
      <c r="P108" s="1" t="str">
        <f>HYPERLINK(".\sm_car_250701_2310\sm_car_250701_2310_107_Ca142TrN_MaDLC_DrSt_ode23t_1.png","figure")</f>
        <v>figure</v>
      </c>
      <c r="Q108" t="s">
        <v>15</v>
      </c>
    </row>
    <row r="109" spans="1:17" x14ac:dyDescent="0.25">
      <c r="A109">
        <v>108</v>
      </c>
      <c r="B109">
        <v>142</v>
      </c>
      <c r="C109" t="s">
        <v>45</v>
      </c>
      <c r="D109" t="s">
        <v>17</v>
      </c>
      <c r="E109" t="s">
        <v>49</v>
      </c>
      <c r="F109" t="s">
        <v>28</v>
      </c>
      <c r="G109" t="s">
        <v>26</v>
      </c>
      <c r="H109" t="s">
        <v>21</v>
      </c>
      <c r="I109" t="s">
        <v>54</v>
      </c>
      <c r="J109" t="s">
        <v>148</v>
      </c>
      <c r="K109" t="s">
        <v>23</v>
      </c>
      <c r="L109">
        <v>1514</v>
      </c>
      <c r="M109" s="10">
        <v>41.141770800000003</v>
      </c>
      <c r="N109" s="10">
        <v>83.364975879386066</v>
      </c>
      <c r="O109" s="10">
        <v>0.85104323035071494</v>
      </c>
      <c r="P109" s="1" t="str">
        <f>HYPERLINK(".\sm_car_250701_2310\sm_car_250701_2310_108_Ca142TrN_MaIPA_DrSt_ode23t_1.png","figure")</f>
        <v>figure</v>
      </c>
      <c r="Q109" t="s">
        <v>15</v>
      </c>
    </row>
    <row r="110" spans="1:17" x14ac:dyDescent="0.25">
      <c r="A110">
        <v>109</v>
      </c>
      <c r="B110">
        <v>145</v>
      </c>
      <c r="C110" t="s">
        <v>46</v>
      </c>
      <c r="D110" t="s">
        <v>17</v>
      </c>
      <c r="E110" t="s">
        <v>50</v>
      </c>
      <c r="F110" t="s">
        <v>19</v>
      </c>
      <c r="G110" t="s">
        <v>26</v>
      </c>
      <c r="H110" t="s">
        <v>21</v>
      </c>
      <c r="I110" t="s">
        <v>53</v>
      </c>
      <c r="J110" t="s">
        <v>148</v>
      </c>
      <c r="K110" t="s">
        <v>23</v>
      </c>
      <c r="L110">
        <v>441</v>
      </c>
      <c r="M110" s="10">
        <v>16.557175000000001</v>
      </c>
      <c r="N110" s="10">
        <v>255.43283777532213</v>
      </c>
      <c r="O110" s="10">
        <v>6.7691528765625453E-2</v>
      </c>
      <c r="P110" s="1" t="str">
        <f>HYPERLINK(".\sm_car_250701_2310\sm_car_250701_2310_109_Ca145TrN_MaDLC_DrSt_ode23t_1.png","figure")</f>
        <v>figure</v>
      </c>
      <c r="Q110" t="s">
        <v>15</v>
      </c>
    </row>
    <row r="111" spans="1:17" x14ac:dyDescent="0.25">
      <c r="A111">
        <v>110</v>
      </c>
      <c r="B111">
        <v>145</v>
      </c>
      <c r="C111" t="s">
        <v>46</v>
      </c>
      <c r="D111" t="s">
        <v>17</v>
      </c>
      <c r="E111" t="s">
        <v>50</v>
      </c>
      <c r="F111" t="s">
        <v>19</v>
      </c>
      <c r="G111" t="s">
        <v>26</v>
      </c>
      <c r="H111" t="s">
        <v>21</v>
      </c>
      <c r="I111" t="s">
        <v>54</v>
      </c>
      <c r="J111" t="s">
        <v>148</v>
      </c>
      <c r="K111" t="s">
        <v>23</v>
      </c>
      <c r="L111">
        <v>316</v>
      </c>
      <c r="M111" s="10">
        <v>12.512993700000001</v>
      </c>
      <c r="N111" s="10">
        <v>28.088186829286883</v>
      </c>
      <c r="O111" s="10">
        <v>1.5899913059596607E-2</v>
      </c>
      <c r="P111" s="1" t="str">
        <f>HYPERLINK(".\sm_car_250701_2310\sm_car_250701_2310_110_Ca145TrN_MaIPA_DrSt_ode23t_1.png","figure")</f>
        <v>figure</v>
      </c>
      <c r="Q111" t="s">
        <v>15</v>
      </c>
    </row>
    <row r="112" spans="1:17" x14ac:dyDescent="0.25">
      <c r="A112">
        <v>111</v>
      </c>
      <c r="B112">
        <v>184</v>
      </c>
      <c r="C112" t="s">
        <v>105</v>
      </c>
      <c r="D112" t="s">
        <v>120</v>
      </c>
      <c r="E112" t="s">
        <v>49</v>
      </c>
      <c r="F112" t="s">
        <v>19</v>
      </c>
      <c r="G112" t="s">
        <v>20</v>
      </c>
      <c r="H112" t="s">
        <v>21</v>
      </c>
      <c r="I112" t="s">
        <v>53</v>
      </c>
      <c r="J112" t="s">
        <v>148</v>
      </c>
      <c r="K112" t="s">
        <v>23</v>
      </c>
      <c r="L112">
        <v>378</v>
      </c>
      <c r="M112" s="10">
        <v>10.5113368</v>
      </c>
      <c r="N112" s="10">
        <v>257.0375503451869</v>
      </c>
      <c r="O112" s="10">
        <v>7.8745447557690973E-3</v>
      </c>
      <c r="P112" s="1" t="str">
        <f>HYPERLINK(".\sm_car_250701_2310\sm_car_250701_2310_111_Ca184TrN_MaDLC_DrSt_ode23t_1.png","figure")</f>
        <v>figure</v>
      </c>
      <c r="Q112" t="s">
        <v>15</v>
      </c>
    </row>
    <row r="113" spans="1:17" x14ac:dyDescent="0.25">
      <c r="A113">
        <v>112</v>
      </c>
      <c r="B113">
        <v>184</v>
      </c>
      <c r="C113" t="s">
        <v>105</v>
      </c>
      <c r="D113" t="s">
        <v>120</v>
      </c>
      <c r="E113" t="s">
        <v>49</v>
      </c>
      <c r="F113" t="s">
        <v>19</v>
      </c>
      <c r="G113" t="s">
        <v>20</v>
      </c>
      <c r="H113" t="s">
        <v>21</v>
      </c>
      <c r="I113" t="s">
        <v>54</v>
      </c>
      <c r="J113" t="s">
        <v>148</v>
      </c>
      <c r="K113" t="s">
        <v>23</v>
      </c>
      <c r="L113">
        <v>316</v>
      </c>
      <c r="M113" s="10">
        <v>12.6704811</v>
      </c>
      <c r="N113" s="10">
        <v>55.272298865534218</v>
      </c>
      <c r="O113" s="10">
        <v>5.8677306534421622E-3</v>
      </c>
      <c r="P113" s="1" t="str">
        <f>HYPERLINK(".\sm_car_250701_2310\sm_car_250701_2310_112_Ca184TrN_MaIPA_DrSt_ode23t_1.png","figure")</f>
        <v>figure</v>
      </c>
      <c r="Q113" t="s">
        <v>15</v>
      </c>
    </row>
    <row r="114" spans="1:17" x14ac:dyDescent="0.25">
      <c r="A114">
        <v>113</v>
      </c>
      <c r="B114">
        <v>204</v>
      </c>
      <c r="C114" t="s">
        <v>105</v>
      </c>
      <c r="D114" t="s">
        <v>106</v>
      </c>
      <c r="E114" t="s">
        <v>18</v>
      </c>
      <c r="F114" t="s">
        <v>19</v>
      </c>
      <c r="G114" t="s">
        <v>20</v>
      </c>
      <c r="H114" t="s">
        <v>21</v>
      </c>
      <c r="I114" t="s">
        <v>53</v>
      </c>
      <c r="J114" t="s">
        <v>148</v>
      </c>
      <c r="K114" t="s">
        <v>23</v>
      </c>
      <c r="L114">
        <v>1853</v>
      </c>
      <c r="M114" s="10">
        <v>28.208669799999999</v>
      </c>
      <c r="N114" s="10">
        <v>254.02866518365659</v>
      </c>
      <c r="O114" s="10">
        <v>1.8037934857675353E-2</v>
      </c>
      <c r="P114" s="1" t="str">
        <f>HYPERLINK(".\sm_car_250701_2310\sm_car_250701_2310_113_Ca204TrN_MaDLC_DrSt_ode23t_1.png","figure")</f>
        <v>figure</v>
      </c>
      <c r="Q114" t="s">
        <v>15</v>
      </c>
    </row>
    <row r="115" spans="1:17" x14ac:dyDescent="0.25">
      <c r="A115">
        <v>114</v>
      </c>
      <c r="B115">
        <v>204</v>
      </c>
      <c r="C115" t="s">
        <v>105</v>
      </c>
      <c r="D115" t="s">
        <v>106</v>
      </c>
      <c r="E115" t="s">
        <v>18</v>
      </c>
      <c r="F115" t="s">
        <v>19</v>
      </c>
      <c r="G115" t="s">
        <v>20</v>
      </c>
      <c r="H115" t="s">
        <v>21</v>
      </c>
      <c r="I115" t="s">
        <v>54</v>
      </c>
      <c r="J115" t="s">
        <v>148</v>
      </c>
      <c r="K115" t="s">
        <v>23</v>
      </c>
      <c r="L115">
        <v>663</v>
      </c>
      <c r="M115" s="10">
        <v>11.4547934</v>
      </c>
      <c r="N115" s="10">
        <v>26.034582908336471</v>
      </c>
      <c r="O115" s="10">
        <v>9.6641497332310318E-3</v>
      </c>
      <c r="P115" s="1" t="str">
        <f>HYPERLINK(".\sm_car_250701_2310\sm_car_250701_2310_114_Ca204TrN_MaIPA_DrSt_ode23t_1.png","figure")</f>
        <v>figure</v>
      </c>
      <c r="Q115" t="s">
        <v>15</v>
      </c>
    </row>
    <row r="116" spans="1:17" x14ac:dyDescent="0.25">
      <c r="A116">
        <v>115</v>
      </c>
      <c r="B116">
        <v>12</v>
      </c>
      <c r="C116" t="s">
        <v>16</v>
      </c>
      <c r="D116" t="s">
        <v>17</v>
      </c>
      <c r="E116" t="s">
        <v>49</v>
      </c>
      <c r="F116" t="s">
        <v>28</v>
      </c>
      <c r="G116" t="s">
        <v>20</v>
      </c>
      <c r="H116" t="s">
        <v>21</v>
      </c>
      <c r="I116" t="s">
        <v>55</v>
      </c>
      <c r="J116" t="s">
        <v>148</v>
      </c>
      <c r="K116" t="s">
        <v>23</v>
      </c>
      <c r="L116">
        <v>2380</v>
      </c>
      <c r="M116" s="10">
        <v>24.743374899999999</v>
      </c>
      <c r="N116" s="10">
        <v>-2.1094032259422552E-2</v>
      </c>
      <c r="O116" s="10">
        <v>-0.64540964260682188</v>
      </c>
      <c r="P116" s="1" t="str">
        <f>HYPERLINK(".\sm_car_250701_2310\sm_car_250701_2310_115_Ca012TrN_MaMPK_DrSt_ode23t_1.png","figure")</f>
        <v>figure</v>
      </c>
      <c r="Q116" t="s">
        <v>15</v>
      </c>
    </row>
    <row r="117" spans="1:17" x14ac:dyDescent="0.25">
      <c r="A117">
        <v>116</v>
      </c>
      <c r="B117">
        <v>12</v>
      </c>
      <c r="C117" t="s">
        <v>16</v>
      </c>
      <c r="D117" t="s">
        <v>17</v>
      </c>
      <c r="E117" t="s">
        <v>49</v>
      </c>
      <c r="F117" t="s">
        <v>28</v>
      </c>
      <c r="G117" t="s">
        <v>20</v>
      </c>
      <c r="H117" t="s">
        <v>21</v>
      </c>
      <c r="I117" t="s">
        <v>55</v>
      </c>
      <c r="J117" t="s">
        <v>149</v>
      </c>
      <c r="K117" t="s">
        <v>23</v>
      </c>
      <c r="L117">
        <v>2197</v>
      </c>
      <c r="M117" s="10">
        <v>22.2858588</v>
      </c>
      <c r="N117" s="10">
        <v>-9.8921400560057215E-3</v>
      </c>
      <c r="O117" s="10">
        <v>-4.0003483208863065E-2</v>
      </c>
      <c r="P117" s="1" t="str">
        <f>HYPERLINK(".\sm_car_250701_2310\sm_car_250701_2310_116_Ca012TrN_MaMPK_DrSt_ode23t_1.png","figure")</f>
        <v>figure</v>
      </c>
      <c r="Q117" t="s">
        <v>15</v>
      </c>
    </row>
    <row r="118" spans="1:17" x14ac:dyDescent="0.25">
      <c r="A118">
        <v>117</v>
      </c>
      <c r="B118">
        <v>12</v>
      </c>
      <c r="C118" t="s">
        <v>16</v>
      </c>
      <c r="D118" t="s">
        <v>17</v>
      </c>
      <c r="E118" t="s">
        <v>49</v>
      </c>
      <c r="F118" t="s">
        <v>28</v>
      </c>
      <c r="G118" t="s">
        <v>20</v>
      </c>
      <c r="H118" t="s">
        <v>21</v>
      </c>
      <c r="I118" t="s">
        <v>56</v>
      </c>
      <c r="J118" t="s">
        <v>148</v>
      </c>
      <c r="K118" t="s">
        <v>23</v>
      </c>
      <c r="L118">
        <v>1847</v>
      </c>
      <c r="M118" s="10">
        <v>34.765522400000002</v>
      </c>
      <c r="N118" s="10">
        <v>0.77330324331869349</v>
      </c>
      <c r="O118" s="10">
        <v>-0.33099541879886862</v>
      </c>
      <c r="P118" s="1" t="str">
        <f>HYPERLINK(".\sm_car_250701_2310\sm_car_250701_2310_117_Ca012TrN_MaMPC_DrSt_ode23t_1.png","figure")</f>
        <v>figure</v>
      </c>
      <c r="Q118" t="s">
        <v>15</v>
      </c>
    </row>
    <row r="119" spans="1:17" x14ac:dyDescent="0.25">
      <c r="A119">
        <v>118</v>
      </c>
      <c r="B119">
        <v>12</v>
      </c>
      <c r="C119" t="s">
        <v>16</v>
      </c>
      <c r="D119" t="s">
        <v>17</v>
      </c>
      <c r="E119" t="s">
        <v>49</v>
      </c>
      <c r="F119" t="s">
        <v>28</v>
      </c>
      <c r="G119" t="s">
        <v>20</v>
      </c>
      <c r="H119" t="s">
        <v>21</v>
      </c>
      <c r="I119" t="s">
        <v>56</v>
      </c>
      <c r="J119" t="s">
        <v>149</v>
      </c>
      <c r="K119" t="s">
        <v>23</v>
      </c>
      <c r="L119">
        <v>1797</v>
      </c>
      <c r="M119" s="10">
        <v>32.149698999999998</v>
      </c>
      <c r="N119" s="10">
        <v>0.78146616147417625</v>
      </c>
      <c r="O119" s="10">
        <v>0.10867436160193027</v>
      </c>
      <c r="P119" s="1" t="str">
        <f>HYPERLINK(".\sm_car_250701_2310\sm_car_250701_2310_118_Ca012TrN_MaMPC_DrSt_ode23t_1.png","figure")</f>
        <v>figure</v>
      </c>
      <c r="Q119" t="s">
        <v>15</v>
      </c>
    </row>
    <row r="120" spans="1:17" x14ac:dyDescent="0.25">
      <c r="A120">
        <v>119</v>
      </c>
      <c r="B120">
        <v>142</v>
      </c>
      <c r="C120" t="s">
        <v>45</v>
      </c>
      <c r="D120" t="s">
        <v>17</v>
      </c>
      <c r="E120" t="s">
        <v>49</v>
      </c>
      <c r="F120" t="s">
        <v>28</v>
      </c>
      <c r="G120" t="s">
        <v>26</v>
      </c>
      <c r="H120" t="s">
        <v>21</v>
      </c>
      <c r="I120" t="s">
        <v>55</v>
      </c>
      <c r="J120" t="s">
        <v>148</v>
      </c>
      <c r="K120" t="s">
        <v>23</v>
      </c>
      <c r="L120">
        <v>2359</v>
      </c>
      <c r="M120" s="10">
        <v>82.7931411</v>
      </c>
      <c r="N120" s="10">
        <v>-1.975284806478915E-2</v>
      </c>
      <c r="O120" s="10">
        <v>-0.56107359216268216</v>
      </c>
      <c r="P120" s="1" t="str">
        <f>HYPERLINK(".\sm_car_250701_2310\sm_car_250701_2310_119_Ca142TrN_MaMPK_DrSt_ode23t_1.png","figure")</f>
        <v>figure</v>
      </c>
      <c r="Q120" t="s">
        <v>15</v>
      </c>
    </row>
    <row r="121" spans="1:17" x14ac:dyDescent="0.25">
      <c r="A121">
        <v>120</v>
      </c>
      <c r="B121">
        <v>142</v>
      </c>
      <c r="C121" t="s">
        <v>45</v>
      </c>
      <c r="D121" t="s">
        <v>17</v>
      </c>
      <c r="E121" t="s">
        <v>49</v>
      </c>
      <c r="F121" t="s">
        <v>28</v>
      </c>
      <c r="G121" t="s">
        <v>26</v>
      </c>
      <c r="H121" t="s">
        <v>21</v>
      </c>
      <c r="I121" t="s">
        <v>55</v>
      </c>
      <c r="J121" t="s">
        <v>149</v>
      </c>
      <c r="K121" t="s">
        <v>23</v>
      </c>
      <c r="L121">
        <v>2734</v>
      </c>
      <c r="M121" s="10">
        <v>72.744591200000002</v>
      </c>
      <c r="N121" s="10">
        <v>-9.6461119825898556E-3</v>
      </c>
      <c r="O121" s="10">
        <v>-7.9434141763175772E-2</v>
      </c>
      <c r="P121" s="1" t="str">
        <f>HYPERLINK(".\sm_car_250701_2310\sm_car_250701_2310_120_Ca142TrN_MaMPK_DrSt_ode23t_1.png","figure")</f>
        <v>figure</v>
      </c>
      <c r="Q121" t="s">
        <v>15</v>
      </c>
    </row>
    <row r="122" spans="1:17" x14ac:dyDescent="0.25">
      <c r="A122">
        <v>121</v>
      </c>
      <c r="B122">
        <v>142</v>
      </c>
      <c r="C122" t="s">
        <v>45</v>
      </c>
      <c r="D122" t="s">
        <v>17</v>
      </c>
      <c r="E122" t="s">
        <v>49</v>
      </c>
      <c r="F122" t="s">
        <v>28</v>
      </c>
      <c r="G122" t="s">
        <v>26</v>
      </c>
      <c r="H122" t="s">
        <v>21</v>
      </c>
      <c r="I122" t="s">
        <v>56</v>
      </c>
      <c r="J122" t="s">
        <v>148</v>
      </c>
      <c r="K122" t="s">
        <v>23</v>
      </c>
      <c r="L122">
        <v>-1</v>
      </c>
      <c r="M122" s="10">
        <v>736.24620110000001</v>
      </c>
      <c r="N122" s="10">
        <v>0</v>
      </c>
      <c r="O122" s="10">
        <v>0</v>
      </c>
      <c r="P122" t="s">
        <v>154</v>
      </c>
      <c r="Q122" t="s">
        <v>155</v>
      </c>
    </row>
    <row r="123" spans="1:17" x14ac:dyDescent="0.25">
      <c r="A123">
        <v>122</v>
      </c>
      <c r="B123">
        <v>142</v>
      </c>
      <c r="C123" t="s">
        <v>45</v>
      </c>
      <c r="D123" t="s">
        <v>17</v>
      </c>
      <c r="E123" t="s">
        <v>49</v>
      </c>
      <c r="F123" t="s">
        <v>28</v>
      </c>
      <c r="G123" t="s">
        <v>26</v>
      </c>
      <c r="H123" t="s">
        <v>21</v>
      </c>
      <c r="I123" t="s">
        <v>56</v>
      </c>
      <c r="J123" t="s">
        <v>149</v>
      </c>
      <c r="K123" t="s">
        <v>23</v>
      </c>
      <c r="L123">
        <v>2199</v>
      </c>
      <c r="M123" s="10">
        <v>58.164329899999998</v>
      </c>
      <c r="N123" s="10">
        <v>-392.30240470094913</v>
      </c>
      <c r="O123" s="10">
        <v>179.21889563770998</v>
      </c>
      <c r="P123" s="1" t="str">
        <f>HYPERLINK(".\sm_car_250701_2310\sm_car_250701_2310_122_Ca142TrN_MaMPC_DrSt_ode23t_1.png","figure")</f>
        <v>figure</v>
      </c>
      <c r="Q123" t="s">
        <v>15</v>
      </c>
    </row>
    <row r="124" spans="1:17" x14ac:dyDescent="0.25">
      <c r="A124">
        <v>123</v>
      </c>
      <c r="B124">
        <v>116</v>
      </c>
      <c r="C124" t="s">
        <v>16</v>
      </c>
      <c r="D124" t="s">
        <v>35</v>
      </c>
      <c r="E124" t="s">
        <v>18</v>
      </c>
      <c r="F124" t="s">
        <v>28</v>
      </c>
      <c r="G124" t="s">
        <v>20</v>
      </c>
      <c r="H124" t="s">
        <v>21</v>
      </c>
      <c r="I124" t="s">
        <v>55</v>
      </c>
      <c r="J124" t="s">
        <v>148</v>
      </c>
      <c r="K124" t="s">
        <v>23</v>
      </c>
      <c r="L124">
        <v>2503</v>
      </c>
      <c r="M124" s="10">
        <v>14.927536</v>
      </c>
      <c r="N124" s="10">
        <v>-1.6039204930111808E-2</v>
      </c>
      <c r="O124" s="10">
        <v>-0.54199274654389573</v>
      </c>
      <c r="P124" s="1" t="str">
        <f>HYPERLINK(".\sm_car_250701_2310\sm_car_250701_2310_123_Ca116TrN_MaMPK_DrSt_ode23t_1.png","figure")</f>
        <v>figure</v>
      </c>
      <c r="Q124" t="s">
        <v>15</v>
      </c>
    </row>
    <row r="125" spans="1:17" x14ac:dyDescent="0.25">
      <c r="A125">
        <v>124</v>
      </c>
      <c r="B125">
        <v>116</v>
      </c>
      <c r="C125" t="s">
        <v>16</v>
      </c>
      <c r="D125" t="s">
        <v>35</v>
      </c>
      <c r="E125" t="s">
        <v>18</v>
      </c>
      <c r="F125" t="s">
        <v>28</v>
      </c>
      <c r="G125" t="s">
        <v>20</v>
      </c>
      <c r="H125" t="s">
        <v>21</v>
      </c>
      <c r="I125" t="s">
        <v>55</v>
      </c>
      <c r="J125" t="s">
        <v>149</v>
      </c>
      <c r="K125" t="s">
        <v>23</v>
      </c>
      <c r="L125">
        <v>2512</v>
      </c>
      <c r="M125" s="10">
        <v>13.836676499999999</v>
      </c>
      <c r="N125" s="10">
        <v>-1.7617515370324868E-2</v>
      </c>
      <c r="O125" s="10">
        <v>-0.53233654516293161</v>
      </c>
      <c r="P125" s="1" t="str">
        <f>HYPERLINK(".\sm_car_250701_2310\sm_car_250701_2310_124_Ca116TrN_MaMPK_DrSt_ode23t_1.png","figure")</f>
        <v>figure</v>
      </c>
      <c r="Q125" t="s">
        <v>15</v>
      </c>
    </row>
    <row r="126" spans="1:17" x14ac:dyDescent="0.25">
      <c r="A126">
        <v>125</v>
      </c>
      <c r="B126">
        <v>116</v>
      </c>
      <c r="C126" t="s">
        <v>16</v>
      </c>
      <c r="D126" t="s">
        <v>35</v>
      </c>
      <c r="E126" t="s">
        <v>18</v>
      </c>
      <c r="F126" t="s">
        <v>28</v>
      </c>
      <c r="G126" t="s">
        <v>20</v>
      </c>
      <c r="H126" t="s">
        <v>21</v>
      </c>
      <c r="I126" t="s">
        <v>56</v>
      </c>
      <c r="J126" t="s">
        <v>148</v>
      </c>
      <c r="K126" t="s">
        <v>23</v>
      </c>
      <c r="L126">
        <v>1883</v>
      </c>
      <c r="M126" s="10">
        <v>15.7016712</v>
      </c>
      <c r="N126" s="10">
        <v>0.78325412615216727</v>
      </c>
      <c r="O126" s="10">
        <v>-0.36330827227291129</v>
      </c>
      <c r="P126" s="1" t="str">
        <f>HYPERLINK(".\sm_car_250701_2310\sm_car_250701_2310_125_Ca116TrN_MaMPC_DrSt_ode23t_1.png","figure")</f>
        <v>figure</v>
      </c>
      <c r="Q126" t="s">
        <v>15</v>
      </c>
    </row>
    <row r="127" spans="1:17" x14ac:dyDescent="0.25">
      <c r="A127">
        <v>126</v>
      </c>
      <c r="B127">
        <v>116</v>
      </c>
      <c r="C127" t="s">
        <v>16</v>
      </c>
      <c r="D127" t="s">
        <v>35</v>
      </c>
      <c r="E127" t="s">
        <v>18</v>
      </c>
      <c r="F127" t="s">
        <v>28</v>
      </c>
      <c r="G127" t="s">
        <v>20</v>
      </c>
      <c r="H127" t="s">
        <v>21</v>
      </c>
      <c r="I127" t="s">
        <v>56</v>
      </c>
      <c r="J127" t="s">
        <v>149</v>
      </c>
      <c r="K127" t="s">
        <v>23</v>
      </c>
      <c r="L127">
        <v>1777</v>
      </c>
      <c r="M127" s="10">
        <v>15.6250515</v>
      </c>
      <c r="N127" s="10">
        <v>0.78648429712315959</v>
      </c>
      <c r="O127" s="10">
        <v>0.44888365116383555</v>
      </c>
      <c r="P127" s="1" t="str">
        <f>HYPERLINK(".\sm_car_250701_2310\sm_car_250701_2310_126_Ca116TrN_MaMPC_DrSt_ode23t_1.png","figure")</f>
        <v>figure</v>
      </c>
      <c r="Q127" t="s">
        <v>15</v>
      </c>
    </row>
    <row r="128" spans="1:17" x14ac:dyDescent="0.25">
      <c r="A128">
        <v>127</v>
      </c>
      <c r="B128">
        <v>143</v>
      </c>
      <c r="C128" t="s">
        <v>46</v>
      </c>
      <c r="D128" t="s">
        <v>17</v>
      </c>
      <c r="E128" t="s">
        <v>47</v>
      </c>
      <c r="F128" t="s">
        <v>19</v>
      </c>
      <c r="G128" t="s">
        <v>26</v>
      </c>
      <c r="H128" t="s">
        <v>21</v>
      </c>
      <c r="I128" t="s">
        <v>55</v>
      </c>
      <c r="J128" t="s">
        <v>148</v>
      </c>
      <c r="K128" t="s">
        <v>23</v>
      </c>
      <c r="L128">
        <v>2268</v>
      </c>
      <c r="M128" s="10">
        <v>56.801839899999997</v>
      </c>
      <c r="N128" s="10">
        <v>-1.6633831219371717E-2</v>
      </c>
      <c r="O128" s="10">
        <v>-0.40404789992353957</v>
      </c>
      <c r="P128" s="1" t="str">
        <f>HYPERLINK(".\sm_car_250701_2310\sm_car_250701_2310_127_Ca143TrN_MaMPK_DrSt_ode23t_1.png","figure")</f>
        <v>figure</v>
      </c>
      <c r="Q128" t="s">
        <v>15</v>
      </c>
    </row>
    <row r="129" spans="1:17" x14ac:dyDescent="0.25">
      <c r="A129">
        <v>128</v>
      </c>
      <c r="B129">
        <v>143</v>
      </c>
      <c r="C129" t="s">
        <v>46</v>
      </c>
      <c r="D129" t="s">
        <v>17</v>
      </c>
      <c r="E129" t="s">
        <v>47</v>
      </c>
      <c r="F129" t="s">
        <v>19</v>
      </c>
      <c r="G129" t="s">
        <v>26</v>
      </c>
      <c r="H129" t="s">
        <v>21</v>
      </c>
      <c r="I129" t="s">
        <v>55</v>
      </c>
      <c r="J129" t="s">
        <v>149</v>
      </c>
      <c r="K129" t="s">
        <v>23</v>
      </c>
      <c r="L129">
        <v>1901</v>
      </c>
      <c r="M129" s="10">
        <v>48.8919523</v>
      </c>
      <c r="N129" s="10">
        <v>-1.1663129198568753E-2</v>
      </c>
      <c r="O129" s="10">
        <v>-9.5390403300167029E-2</v>
      </c>
      <c r="P129" s="1" t="str">
        <f>HYPERLINK(".\sm_car_250701_2310\sm_car_250701_2310_128_Ca143TrN_MaMPK_DrSt_ode23t_1.png","figure")</f>
        <v>figure</v>
      </c>
      <c r="Q129" t="s">
        <v>15</v>
      </c>
    </row>
    <row r="130" spans="1:17" x14ac:dyDescent="0.25">
      <c r="A130">
        <v>129</v>
      </c>
      <c r="B130">
        <v>143</v>
      </c>
      <c r="C130" t="s">
        <v>46</v>
      </c>
      <c r="D130" t="s">
        <v>17</v>
      </c>
      <c r="E130" t="s">
        <v>47</v>
      </c>
      <c r="F130" t="s">
        <v>19</v>
      </c>
      <c r="G130" t="s">
        <v>26</v>
      </c>
      <c r="H130" t="s">
        <v>21</v>
      </c>
      <c r="I130" t="s">
        <v>56</v>
      </c>
      <c r="J130" t="s">
        <v>148</v>
      </c>
      <c r="K130" t="s">
        <v>23</v>
      </c>
      <c r="L130">
        <v>2367</v>
      </c>
      <c r="M130" s="10">
        <v>89.666130199999998</v>
      </c>
      <c r="N130" s="10">
        <v>0.78850161293818033</v>
      </c>
      <c r="O130" s="10">
        <v>-0.27212974211218061</v>
      </c>
      <c r="P130" s="1" t="str">
        <f>HYPERLINK(".\sm_car_250701_2310\sm_car_250701_2310_129_Ca143TrN_MaMPC_DrSt_ode23t_1.png","figure")</f>
        <v>figure</v>
      </c>
      <c r="Q130" t="s">
        <v>15</v>
      </c>
    </row>
    <row r="131" spans="1:17" x14ac:dyDescent="0.25">
      <c r="A131">
        <v>130</v>
      </c>
      <c r="B131">
        <v>143</v>
      </c>
      <c r="C131" t="s">
        <v>46</v>
      </c>
      <c r="D131" t="s">
        <v>17</v>
      </c>
      <c r="E131" t="s">
        <v>47</v>
      </c>
      <c r="F131" t="s">
        <v>19</v>
      </c>
      <c r="G131" t="s">
        <v>26</v>
      </c>
      <c r="H131" t="s">
        <v>21</v>
      </c>
      <c r="I131" t="s">
        <v>56</v>
      </c>
      <c r="J131" t="s">
        <v>149</v>
      </c>
      <c r="K131" t="s">
        <v>23</v>
      </c>
      <c r="L131">
        <v>2089</v>
      </c>
      <c r="M131" s="10">
        <v>83.355140599999999</v>
      </c>
      <c r="N131" s="10">
        <v>0.78910402761358256</v>
      </c>
      <c r="O131" s="10">
        <v>-0.15202846904960651</v>
      </c>
      <c r="P131" s="1" t="str">
        <f>HYPERLINK(".\sm_car_250701_2310\sm_car_250701_2310_130_Ca143TrN_MaMPC_DrSt_ode23t_1.png","figure")</f>
        <v>figure</v>
      </c>
      <c r="Q131" t="s">
        <v>15</v>
      </c>
    </row>
    <row r="132" spans="1:17" x14ac:dyDescent="0.25">
      <c r="A132">
        <v>131</v>
      </c>
      <c r="B132">
        <v>166</v>
      </c>
      <c r="C132" t="s">
        <v>45</v>
      </c>
      <c r="D132" t="s">
        <v>57</v>
      </c>
      <c r="E132" t="s">
        <v>18</v>
      </c>
      <c r="F132" t="s">
        <v>19</v>
      </c>
      <c r="G132" t="s">
        <v>26</v>
      </c>
      <c r="H132" t="s">
        <v>21</v>
      </c>
      <c r="I132" t="s">
        <v>55</v>
      </c>
      <c r="J132" t="s">
        <v>148</v>
      </c>
      <c r="K132" t="s">
        <v>23</v>
      </c>
      <c r="L132">
        <v>2804</v>
      </c>
      <c r="M132" s="10">
        <v>53.231161</v>
      </c>
      <c r="N132" s="10">
        <v>-1.5741771564216495E-3</v>
      </c>
      <c r="O132" s="10">
        <v>-0.57285824685142317</v>
      </c>
      <c r="P132" s="1" t="str">
        <f>HYPERLINK(".\sm_car_250701_2310\sm_car_250701_2310_131_Ca166TrN_MaMPK_DrSt_ode23t_1.png","figure")</f>
        <v>figure</v>
      </c>
      <c r="Q132" t="s">
        <v>15</v>
      </c>
    </row>
    <row r="133" spans="1:17" x14ac:dyDescent="0.25">
      <c r="A133">
        <v>132</v>
      </c>
      <c r="B133">
        <v>166</v>
      </c>
      <c r="C133" t="s">
        <v>45</v>
      </c>
      <c r="D133" t="s">
        <v>57</v>
      </c>
      <c r="E133" t="s">
        <v>18</v>
      </c>
      <c r="F133" t="s">
        <v>19</v>
      </c>
      <c r="G133" t="s">
        <v>26</v>
      </c>
      <c r="H133" t="s">
        <v>21</v>
      </c>
      <c r="I133" t="s">
        <v>55</v>
      </c>
      <c r="J133" t="s">
        <v>149</v>
      </c>
      <c r="K133" t="s">
        <v>23</v>
      </c>
      <c r="L133">
        <v>3517</v>
      </c>
      <c r="M133" s="10">
        <v>54.194673999999999</v>
      </c>
      <c r="N133" s="10">
        <v>-1.0994443454877503E-2</v>
      </c>
      <c r="O133" s="10">
        <v>-8.4421112155262268E-2</v>
      </c>
      <c r="P133" s="1" t="str">
        <f>HYPERLINK(".\sm_car_250701_2310\sm_car_250701_2310_132_Ca166TrN_MaMPK_DrSt_ode23t_1.png","figure")</f>
        <v>figure</v>
      </c>
      <c r="Q133" t="s">
        <v>15</v>
      </c>
    </row>
    <row r="134" spans="1:17" x14ac:dyDescent="0.25">
      <c r="A134">
        <v>133</v>
      </c>
      <c r="B134">
        <v>166</v>
      </c>
      <c r="C134" t="s">
        <v>45</v>
      </c>
      <c r="D134" t="s">
        <v>57</v>
      </c>
      <c r="E134" t="s">
        <v>18</v>
      </c>
      <c r="F134" t="s">
        <v>19</v>
      </c>
      <c r="G134" t="s">
        <v>26</v>
      </c>
      <c r="H134" t="s">
        <v>21</v>
      </c>
      <c r="I134" t="s">
        <v>56</v>
      </c>
      <c r="J134" t="s">
        <v>148</v>
      </c>
      <c r="K134" t="s">
        <v>23</v>
      </c>
      <c r="L134">
        <v>2170</v>
      </c>
      <c r="M134" s="10">
        <v>62.054194699999996</v>
      </c>
      <c r="N134" s="10">
        <v>0.7652126512604891</v>
      </c>
      <c r="O134" s="10">
        <v>-0.36179798480766401</v>
      </c>
      <c r="P134" s="1" t="str">
        <f>HYPERLINK(".\sm_car_250701_2310\sm_car_250701_2310_133_Ca166TrN_MaMPC_DrSt_ode23t_1.png","figure")</f>
        <v>figure</v>
      </c>
      <c r="Q134" t="s">
        <v>15</v>
      </c>
    </row>
    <row r="135" spans="1:17" x14ac:dyDescent="0.25">
      <c r="A135">
        <v>134</v>
      </c>
      <c r="B135">
        <v>166</v>
      </c>
      <c r="C135" t="s">
        <v>45</v>
      </c>
      <c r="D135" t="s">
        <v>57</v>
      </c>
      <c r="E135" t="s">
        <v>18</v>
      </c>
      <c r="F135" t="s">
        <v>19</v>
      </c>
      <c r="G135" t="s">
        <v>26</v>
      </c>
      <c r="H135" t="s">
        <v>21</v>
      </c>
      <c r="I135" t="s">
        <v>56</v>
      </c>
      <c r="J135" t="s">
        <v>149</v>
      </c>
      <c r="K135" t="s">
        <v>23</v>
      </c>
      <c r="L135">
        <v>-1</v>
      </c>
      <c r="M135" s="10">
        <v>60.710857699999998</v>
      </c>
      <c r="N135" s="10">
        <v>0</v>
      </c>
      <c r="O135" s="10">
        <v>0</v>
      </c>
      <c r="P135" t="s">
        <v>154</v>
      </c>
      <c r="Q135" t="s">
        <v>155</v>
      </c>
    </row>
    <row r="136" spans="1:17" x14ac:dyDescent="0.25">
      <c r="A136">
        <v>135</v>
      </c>
      <c r="B136">
        <v>169</v>
      </c>
      <c r="C136" t="s">
        <v>45</v>
      </c>
      <c r="D136" t="s">
        <v>58</v>
      </c>
      <c r="E136" t="s">
        <v>49</v>
      </c>
      <c r="F136" t="s">
        <v>19</v>
      </c>
      <c r="G136" t="s">
        <v>26</v>
      </c>
      <c r="H136" t="s">
        <v>21</v>
      </c>
      <c r="I136" t="s">
        <v>55</v>
      </c>
      <c r="J136" t="s">
        <v>148</v>
      </c>
      <c r="K136" t="s">
        <v>23</v>
      </c>
      <c r="L136">
        <v>2679</v>
      </c>
      <c r="M136" s="10">
        <v>40.9902978</v>
      </c>
      <c r="N136" s="10">
        <v>-1.4550330425153815E-2</v>
      </c>
      <c r="O136" s="10">
        <v>-0.57354792569128521</v>
      </c>
      <c r="P136" s="1" t="str">
        <f>HYPERLINK(".\sm_car_250701_2310\sm_car_250701_2310_135_Ca169TrN_MaMPK_DrSt_ode23t_1.png","figure")</f>
        <v>figure</v>
      </c>
      <c r="Q136" t="s">
        <v>15</v>
      </c>
    </row>
    <row r="137" spans="1:17" x14ac:dyDescent="0.25">
      <c r="A137">
        <v>136</v>
      </c>
      <c r="B137">
        <v>169</v>
      </c>
      <c r="C137" t="s">
        <v>45</v>
      </c>
      <c r="D137" t="s">
        <v>58</v>
      </c>
      <c r="E137" t="s">
        <v>49</v>
      </c>
      <c r="F137" t="s">
        <v>19</v>
      </c>
      <c r="G137" t="s">
        <v>26</v>
      </c>
      <c r="H137" t="s">
        <v>21</v>
      </c>
      <c r="I137" t="s">
        <v>55</v>
      </c>
      <c r="J137" t="s">
        <v>149</v>
      </c>
      <c r="K137" t="s">
        <v>23</v>
      </c>
      <c r="L137">
        <v>3488</v>
      </c>
      <c r="M137" s="10">
        <v>48.996346799999998</v>
      </c>
      <c r="N137" s="10">
        <v>-1.0859225743441892E-2</v>
      </c>
      <c r="O137" s="10">
        <v>-8.3753133610026773E-2</v>
      </c>
      <c r="P137" s="1" t="str">
        <f>HYPERLINK(".\sm_car_250701_2310\sm_car_250701_2310_136_Ca169TrN_MaMPK_DrSt_ode23t_1.png","figure")</f>
        <v>figure</v>
      </c>
      <c r="Q137" t="s">
        <v>15</v>
      </c>
    </row>
    <row r="138" spans="1:17" x14ac:dyDescent="0.25">
      <c r="A138">
        <v>137</v>
      </c>
      <c r="B138">
        <v>169</v>
      </c>
      <c r="C138" t="s">
        <v>45</v>
      </c>
      <c r="D138" t="s">
        <v>58</v>
      </c>
      <c r="E138" t="s">
        <v>49</v>
      </c>
      <c r="F138" t="s">
        <v>19</v>
      </c>
      <c r="G138" t="s">
        <v>26</v>
      </c>
      <c r="H138" t="s">
        <v>21</v>
      </c>
      <c r="I138" t="s">
        <v>56</v>
      </c>
      <c r="J138" t="s">
        <v>148</v>
      </c>
      <c r="K138" t="s">
        <v>23</v>
      </c>
      <c r="L138">
        <v>-1</v>
      </c>
      <c r="M138" s="10">
        <v>17.346862900000001</v>
      </c>
      <c r="N138" s="10">
        <v>0</v>
      </c>
      <c r="O138" s="10">
        <v>0</v>
      </c>
      <c r="P138" t="s">
        <v>154</v>
      </c>
      <c r="Q138" t="s">
        <v>155</v>
      </c>
    </row>
    <row r="139" spans="1:17" x14ac:dyDescent="0.25">
      <c r="A139">
        <v>138</v>
      </c>
      <c r="B139">
        <v>169</v>
      </c>
      <c r="C139" t="s">
        <v>45</v>
      </c>
      <c r="D139" t="s">
        <v>58</v>
      </c>
      <c r="E139" t="s">
        <v>49</v>
      </c>
      <c r="F139" t="s">
        <v>19</v>
      </c>
      <c r="G139" t="s">
        <v>26</v>
      </c>
      <c r="H139" t="s">
        <v>21</v>
      </c>
      <c r="I139" t="s">
        <v>56</v>
      </c>
      <c r="J139" t="s">
        <v>149</v>
      </c>
      <c r="K139" t="s">
        <v>23</v>
      </c>
      <c r="L139">
        <v>-1</v>
      </c>
      <c r="M139" s="10">
        <v>18.106379799999999</v>
      </c>
      <c r="N139" s="10">
        <v>0</v>
      </c>
      <c r="O139" s="10">
        <v>0</v>
      </c>
      <c r="P139" t="s">
        <v>154</v>
      </c>
      <c r="Q139" t="s">
        <v>155</v>
      </c>
    </row>
    <row r="140" spans="1:17" x14ac:dyDescent="0.25">
      <c r="A140">
        <v>139</v>
      </c>
      <c r="B140">
        <v>184</v>
      </c>
      <c r="C140" t="s">
        <v>105</v>
      </c>
      <c r="D140" t="s">
        <v>120</v>
      </c>
      <c r="E140" t="s">
        <v>49</v>
      </c>
      <c r="F140" t="s">
        <v>19</v>
      </c>
      <c r="G140" t="s">
        <v>20</v>
      </c>
      <c r="H140" t="s">
        <v>21</v>
      </c>
      <c r="I140" t="s">
        <v>55</v>
      </c>
      <c r="J140" t="s">
        <v>148</v>
      </c>
      <c r="K140" t="s">
        <v>23</v>
      </c>
      <c r="L140">
        <v>2088</v>
      </c>
      <c r="M140" s="10">
        <v>59.357907699999998</v>
      </c>
      <c r="N140" s="10">
        <v>-2.2080143460188717E-2</v>
      </c>
      <c r="O140" s="10">
        <v>-0.74399565954887781</v>
      </c>
      <c r="P140" s="1" t="str">
        <f>HYPERLINK(".\sm_car_250701_2310\sm_car_250701_2310_139_Ca184TrN_MaMPK_DrSt_ode23t_1.png","figure")</f>
        <v>figure</v>
      </c>
      <c r="Q140" t="s">
        <v>15</v>
      </c>
    </row>
    <row r="141" spans="1:17" x14ac:dyDescent="0.25">
      <c r="A141">
        <v>140</v>
      </c>
      <c r="B141">
        <v>184</v>
      </c>
      <c r="C141" t="s">
        <v>105</v>
      </c>
      <c r="D141" t="s">
        <v>120</v>
      </c>
      <c r="E141" t="s">
        <v>49</v>
      </c>
      <c r="F141" t="s">
        <v>19</v>
      </c>
      <c r="G141" t="s">
        <v>20</v>
      </c>
      <c r="H141" t="s">
        <v>21</v>
      </c>
      <c r="I141" t="s">
        <v>55</v>
      </c>
      <c r="J141" t="s">
        <v>149</v>
      </c>
      <c r="K141" t="s">
        <v>23</v>
      </c>
      <c r="L141">
        <v>2179</v>
      </c>
      <c r="M141" s="10">
        <v>60.827377400000003</v>
      </c>
      <c r="N141" s="10">
        <v>-9.6115414799592819E-3</v>
      </c>
      <c r="O141" s="10">
        <v>-3.0358761442720553E-2</v>
      </c>
      <c r="P141" s="1" t="str">
        <f>HYPERLINK(".\sm_car_250701_2310\sm_car_250701_2310_140_Ca184TrN_MaMPK_DrSt_ode23t_1.png","figure")</f>
        <v>figure</v>
      </c>
      <c r="Q141" t="s">
        <v>15</v>
      </c>
    </row>
    <row r="142" spans="1:17" x14ac:dyDescent="0.25">
      <c r="A142">
        <v>141</v>
      </c>
      <c r="B142">
        <v>184</v>
      </c>
      <c r="C142" t="s">
        <v>105</v>
      </c>
      <c r="D142" t="s">
        <v>120</v>
      </c>
      <c r="E142" t="s">
        <v>49</v>
      </c>
      <c r="F142" t="s">
        <v>19</v>
      </c>
      <c r="G142" t="s">
        <v>20</v>
      </c>
      <c r="H142" t="s">
        <v>21</v>
      </c>
      <c r="I142" t="s">
        <v>56</v>
      </c>
      <c r="J142" t="s">
        <v>148</v>
      </c>
      <c r="K142" t="s">
        <v>23</v>
      </c>
      <c r="L142">
        <v>2294</v>
      </c>
      <c r="M142" s="10">
        <v>60.590466200000002</v>
      </c>
      <c r="N142" s="10">
        <v>0.78376548883241526</v>
      </c>
      <c r="O142" s="10">
        <v>-0.33836896418520268</v>
      </c>
      <c r="P142" s="1" t="str">
        <f>HYPERLINK(".\sm_car_250701_2310\sm_car_250701_2310_141_Ca184TrN_MaMPC_DrSt_ode23t_1.png","figure")</f>
        <v>figure</v>
      </c>
      <c r="Q142" t="s">
        <v>15</v>
      </c>
    </row>
    <row r="143" spans="1:17" x14ac:dyDescent="0.25">
      <c r="A143">
        <v>142</v>
      </c>
      <c r="B143">
        <v>184</v>
      </c>
      <c r="C143" t="s">
        <v>105</v>
      </c>
      <c r="D143" t="s">
        <v>120</v>
      </c>
      <c r="E143" t="s">
        <v>49</v>
      </c>
      <c r="F143" t="s">
        <v>19</v>
      </c>
      <c r="G143" t="s">
        <v>20</v>
      </c>
      <c r="H143" t="s">
        <v>21</v>
      </c>
      <c r="I143" t="s">
        <v>56</v>
      </c>
      <c r="J143" t="s">
        <v>149</v>
      </c>
      <c r="K143" t="s">
        <v>23</v>
      </c>
      <c r="L143">
        <v>2286</v>
      </c>
      <c r="M143" s="10">
        <v>62.984716300000002</v>
      </c>
      <c r="N143" s="10">
        <v>0.78292931208445893</v>
      </c>
      <c r="O143" s="10">
        <v>-8.2781661141543159E-2</v>
      </c>
      <c r="P143" s="1" t="str">
        <f>HYPERLINK(".\sm_car_250701_2310\sm_car_250701_2310_142_Ca184TrN_MaMPC_DrSt_ode23t_1.png","figure")</f>
        <v>figure</v>
      </c>
      <c r="Q143" t="s">
        <v>15</v>
      </c>
    </row>
    <row r="144" spans="1:17" x14ac:dyDescent="0.25">
      <c r="A144">
        <v>143</v>
      </c>
      <c r="B144">
        <v>195</v>
      </c>
      <c r="C144" t="s">
        <v>45</v>
      </c>
      <c r="D144" t="s">
        <v>58</v>
      </c>
      <c r="E144" t="s">
        <v>107</v>
      </c>
      <c r="F144" t="s">
        <v>19</v>
      </c>
      <c r="G144" t="s">
        <v>26</v>
      </c>
      <c r="H144" t="s">
        <v>21</v>
      </c>
      <c r="I144" t="s">
        <v>55</v>
      </c>
      <c r="J144" t="s">
        <v>148</v>
      </c>
      <c r="K144" t="s">
        <v>23</v>
      </c>
      <c r="L144">
        <v>2677</v>
      </c>
      <c r="M144" s="10">
        <v>42.071198099999997</v>
      </c>
      <c r="N144" s="10">
        <v>-1.4455886911572249E-2</v>
      </c>
      <c r="O144" s="10">
        <v>-0.57358126190458125</v>
      </c>
      <c r="P144" s="1" t="str">
        <f>HYPERLINK(".\sm_car_250701_2310\sm_car_250701_2310_143_Ca195TrN_MaMPK_DrSt_ode23t_1.png","figure")</f>
        <v>figure</v>
      </c>
      <c r="Q144" t="s">
        <v>15</v>
      </c>
    </row>
    <row r="145" spans="1:17" x14ac:dyDescent="0.25">
      <c r="A145">
        <v>144</v>
      </c>
      <c r="B145">
        <v>195</v>
      </c>
      <c r="C145" t="s">
        <v>45</v>
      </c>
      <c r="D145" t="s">
        <v>58</v>
      </c>
      <c r="E145" t="s">
        <v>107</v>
      </c>
      <c r="F145" t="s">
        <v>19</v>
      </c>
      <c r="G145" t="s">
        <v>26</v>
      </c>
      <c r="H145" t="s">
        <v>21</v>
      </c>
      <c r="I145" t="s">
        <v>55</v>
      </c>
      <c r="J145" t="s">
        <v>149</v>
      </c>
      <c r="K145" t="s">
        <v>23</v>
      </c>
      <c r="L145">
        <v>3468</v>
      </c>
      <c r="M145" s="10">
        <v>46.295388000000003</v>
      </c>
      <c r="N145" s="10">
        <v>-1.1529012141046124E-2</v>
      </c>
      <c r="O145" s="10">
        <v>-8.3711540826328201E-2</v>
      </c>
      <c r="P145" s="1" t="str">
        <f>HYPERLINK(".\sm_car_250701_2310\sm_car_250701_2310_144_Ca195TrN_MaMPK_DrSt_ode23t_1.png","figure")</f>
        <v>figure</v>
      </c>
      <c r="Q145" t="s">
        <v>15</v>
      </c>
    </row>
    <row r="146" spans="1:17" x14ac:dyDescent="0.25">
      <c r="A146">
        <v>145</v>
      </c>
      <c r="B146">
        <v>195</v>
      </c>
      <c r="C146" t="s">
        <v>45</v>
      </c>
      <c r="D146" t="s">
        <v>58</v>
      </c>
      <c r="E146" t="s">
        <v>107</v>
      </c>
      <c r="F146" t="s">
        <v>19</v>
      </c>
      <c r="G146" t="s">
        <v>26</v>
      </c>
      <c r="H146" t="s">
        <v>21</v>
      </c>
      <c r="I146" t="s">
        <v>56</v>
      </c>
      <c r="J146" t="s">
        <v>148</v>
      </c>
      <c r="K146" t="s">
        <v>23</v>
      </c>
      <c r="L146">
        <v>-1</v>
      </c>
      <c r="M146" s="10">
        <v>22.33624</v>
      </c>
      <c r="N146" s="10">
        <v>0</v>
      </c>
      <c r="O146" s="10">
        <v>0</v>
      </c>
      <c r="P146" t="s">
        <v>154</v>
      </c>
      <c r="Q146" t="s">
        <v>155</v>
      </c>
    </row>
    <row r="147" spans="1:17" x14ac:dyDescent="0.25">
      <c r="A147">
        <v>146</v>
      </c>
      <c r="B147">
        <v>195</v>
      </c>
      <c r="C147" t="s">
        <v>45</v>
      </c>
      <c r="D147" t="s">
        <v>58</v>
      </c>
      <c r="E147" t="s">
        <v>107</v>
      </c>
      <c r="F147" t="s">
        <v>19</v>
      </c>
      <c r="G147" t="s">
        <v>26</v>
      </c>
      <c r="H147" t="s">
        <v>21</v>
      </c>
      <c r="I147" t="s">
        <v>56</v>
      </c>
      <c r="J147" t="s">
        <v>149</v>
      </c>
      <c r="K147" t="s">
        <v>23</v>
      </c>
      <c r="L147">
        <v>-1</v>
      </c>
      <c r="M147" s="10">
        <v>14.579586000000001</v>
      </c>
      <c r="N147" s="10">
        <v>0</v>
      </c>
      <c r="O147" s="10">
        <v>0</v>
      </c>
      <c r="P147" t="s">
        <v>154</v>
      </c>
      <c r="Q147" t="s">
        <v>155</v>
      </c>
    </row>
    <row r="148" spans="1:17" x14ac:dyDescent="0.25">
      <c r="A148">
        <v>147</v>
      </c>
      <c r="B148">
        <v>198</v>
      </c>
      <c r="C148" t="s">
        <v>105</v>
      </c>
      <c r="D148" t="s">
        <v>120</v>
      </c>
      <c r="E148" t="s">
        <v>107</v>
      </c>
      <c r="F148" t="s">
        <v>19</v>
      </c>
      <c r="G148" t="s">
        <v>20</v>
      </c>
      <c r="H148" t="s">
        <v>21</v>
      </c>
      <c r="I148" t="s">
        <v>55</v>
      </c>
      <c r="J148" t="s">
        <v>148</v>
      </c>
      <c r="K148" t="s">
        <v>23</v>
      </c>
      <c r="L148">
        <v>2135</v>
      </c>
      <c r="M148" s="10">
        <v>37.331136999999998</v>
      </c>
      <c r="N148" s="10">
        <v>-2.1195099753740579E-2</v>
      </c>
      <c r="O148" s="10">
        <v>-0.74406369785981408</v>
      </c>
      <c r="P148" s="1" t="str">
        <f>HYPERLINK(".\sm_car_250701_2310\sm_car_250701_2310_147_Ca198TrN_MaMPK_DrSt_ode23t_1.png","figure")</f>
        <v>figure</v>
      </c>
      <c r="Q148" t="s">
        <v>15</v>
      </c>
    </row>
    <row r="149" spans="1:17" x14ac:dyDescent="0.25">
      <c r="A149">
        <v>148</v>
      </c>
      <c r="B149">
        <v>198</v>
      </c>
      <c r="C149" t="s">
        <v>105</v>
      </c>
      <c r="D149" t="s">
        <v>120</v>
      </c>
      <c r="E149" t="s">
        <v>107</v>
      </c>
      <c r="F149" t="s">
        <v>19</v>
      </c>
      <c r="G149" t="s">
        <v>20</v>
      </c>
      <c r="H149" t="s">
        <v>21</v>
      </c>
      <c r="I149" t="s">
        <v>55</v>
      </c>
      <c r="J149" t="s">
        <v>149</v>
      </c>
      <c r="K149" t="s">
        <v>23</v>
      </c>
      <c r="L149">
        <v>2478</v>
      </c>
      <c r="M149" s="10">
        <v>41.165810399999998</v>
      </c>
      <c r="N149" s="10">
        <v>-9.9136705937010045E-3</v>
      </c>
      <c r="O149" s="10">
        <v>-3.0879225758577485E-2</v>
      </c>
      <c r="P149" s="1" t="str">
        <f>HYPERLINK(".\sm_car_250701_2310\sm_car_250701_2310_148_Ca198TrN_MaMPK_DrSt_ode23t_1.png","figure")</f>
        <v>figure</v>
      </c>
      <c r="Q149" t="s">
        <v>15</v>
      </c>
    </row>
    <row r="150" spans="1:17" x14ac:dyDescent="0.25">
      <c r="A150">
        <v>149</v>
      </c>
      <c r="B150">
        <v>198</v>
      </c>
      <c r="C150" t="s">
        <v>105</v>
      </c>
      <c r="D150" t="s">
        <v>120</v>
      </c>
      <c r="E150" t="s">
        <v>107</v>
      </c>
      <c r="F150" t="s">
        <v>19</v>
      </c>
      <c r="G150" t="s">
        <v>20</v>
      </c>
      <c r="H150" t="s">
        <v>21</v>
      </c>
      <c r="I150" t="s">
        <v>56</v>
      </c>
      <c r="J150" t="s">
        <v>148</v>
      </c>
      <c r="K150" t="s">
        <v>23</v>
      </c>
      <c r="L150">
        <v>2322</v>
      </c>
      <c r="M150" s="10">
        <v>41.2029943</v>
      </c>
      <c r="N150" s="10">
        <v>0.78838163214616053</v>
      </c>
      <c r="O150" s="10">
        <v>-0.33834838051388855</v>
      </c>
      <c r="P150" s="1" t="str">
        <f>HYPERLINK(".\sm_car_250701_2310\sm_car_250701_2310_149_Ca198TrN_MaMPC_DrSt_ode23t_1.png","figure")</f>
        <v>figure</v>
      </c>
      <c r="Q150" t="s">
        <v>15</v>
      </c>
    </row>
    <row r="151" spans="1:17" x14ac:dyDescent="0.25">
      <c r="A151">
        <v>150</v>
      </c>
      <c r="B151">
        <v>198</v>
      </c>
      <c r="C151" t="s">
        <v>105</v>
      </c>
      <c r="D151" t="s">
        <v>120</v>
      </c>
      <c r="E151" t="s">
        <v>107</v>
      </c>
      <c r="F151" t="s">
        <v>19</v>
      </c>
      <c r="G151" t="s">
        <v>20</v>
      </c>
      <c r="H151" t="s">
        <v>21</v>
      </c>
      <c r="I151" t="s">
        <v>56</v>
      </c>
      <c r="J151" t="s">
        <v>149</v>
      </c>
      <c r="K151" t="s">
        <v>23</v>
      </c>
      <c r="L151">
        <v>2405</v>
      </c>
      <c r="M151" s="10">
        <v>41.711145100000003</v>
      </c>
      <c r="N151" s="10">
        <v>0.78904438435059987</v>
      </c>
      <c r="O151" s="10">
        <v>-8.2441868652040187E-2</v>
      </c>
      <c r="P151" s="1" t="str">
        <f>HYPERLINK(".\sm_car_250701_2310\sm_car_250701_2310_150_Ca198TrN_MaMPC_DrSt_ode23t_1.png","figure")</f>
        <v>figure</v>
      </c>
      <c r="Q151" t="s">
        <v>15</v>
      </c>
    </row>
    <row r="152" spans="1:17" x14ac:dyDescent="0.25">
      <c r="A152">
        <v>151</v>
      </c>
      <c r="B152">
        <v>151</v>
      </c>
      <c r="C152" t="s">
        <v>16</v>
      </c>
      <c r="D152" t="s">
        <v>17</v>
      </c>
      <c r="E152" t="s">
        <v>18</v>
      </c>
      <c r="F152" t="s">
        <v>19</v>
      </c>
      <c r="G152" t="s">
        <v>59</v>
      </c>
      <c r="H152" t="s">
        <v>21</v>
      </c>
      <c r="I152" t="s">
        <v>24</v>
      </c>
      <c r="J152" t="s">
        <v>148</v>
      </c>
      <c r="K152" t="s">
        <v>23</v>
      </c>
      <c r="L152">
        <v>490</v>
      </c>
      <c r="M152" s="10">
        <v>11.958228099999999</v>
      </c>
      <c r="N152" s="10">
        <v>72.558726519601265</v>
      </c>
      <c r="O152" s="10">
        <v>-0.80375738528869656</v>
      </c>
      <c r="P152" s="1" t="str">
        <f>HYPERLINK(".\sm_car_250701_2310\sm_car_250701_2310_151_Ca151TrN_MaLSS_DrSt_ode23t_1.png","figure")</f>
        <v>figure</v>
      </c>
      <c r="Q152" t="s">
        <v>15</v>
      </c>
    </row>
    <row r="153" spans="1:17" x14ac:dyDescent="0.25">
      <c r="A153">
        <v>152</v>
      </c>
      <c r="B153">
        <v>152</v>
      </c>
      <c r="C153" t="s">
        <v>16</v>
      </c>
      <c r="D153" t="s">
        <v>17</v>
      </c>
      <c r="E153" t="s">
        <v>18</v>
      </c>
      <c r="F153" t="s">
        <v>19</v>
      </c>
      <c r="G153" t="s">
        <v>60</v>
      </c>
      <c r="H153" t="s">
        <v>21</v>
      </c>
      <c r="I153" t="s">
        <v>24</v>
      </c>
      <c r="J153" t="s">
        <v>148</v>
      </c>
      <c r="K153" t="s">
        <v>23</v>
      </c>
      <c r="L153">
        <v>526</v>
      </c>
      <c r="M153" s="10">
        <v>12.663536499999999</v>
      </c>
      <c r="N153" s="10">
        <v>70.960569189103424</v>
      </c>
      <c r="O153" s="10">
        <v>-0.52803158816223184</v>
      </c>
      <c r="P153" s="1" t="str">
        <f>HYPERLINK(".\sm_car_250701_2310\sm_car_250701_2310_152_Ca152TrN_MaLSS_DrSt_ode23t_1.png","figure")</f>
        <v>figure</v>
      </c>
      <c r="Q153" t="s">
        <v>15</v>
      </c>
    </row>
    <row r="154" spans="1:17" x14ac:dyDescent="0.25">
      <c r="A154">
        <v>153</v>
      </c>
      <c r="B154">
        <v>153</v>
      </c>
      <c r="C154" t="s">
        <v>16</v>
      </c>
      <c r="D154" t="s">
        <v>17</v>
      </c>
      <c r="E154" t="s">
        <v>18</v>
      </c>
      <c r="F154" t="s">
        <v>19</v>
      </c>
      <c r="G154" t="s">
        <v>61</v>
      </c>
      <c r="H154" t="s">
        <v>21</v>
      </c>
      <c r="I154" t="s">
        <v>24</v>
      </c>
      <c r="J154" t="s">
        <v>148</v>
      </c>
      <c r="K154" t="s">
        <v>23</v>
      </c>
      <c r="L154">
        <v>551</v>
      </c>
      <c r="M154" s="10">
        <v>14.0125504</v>
      </c>
      <c r="N154" s="10">
        <v>70.797312958870762</v>
      </c>
      <c r="O154" s="10">
        <v>-0.87003279709096748</v>
      </c>
      <c r="P154" s="1" t="str">
        <f>HYPERLINK(".\sm_car_250701_2310\sm_car_250701_2310_153_Ca153TrN_MaLSS_DrSt_ode23t_1.png","figure")</f>
        <v>figure</v>
      </c>
      <c r="Q154" t="s">
        <v>15</v>
      </c>
    </row>
    <row r="155" spans="1:17" x14ac:dyDescent="0.25">
      <c r="A155">
        <v>154</v>
      </c>
      <c r="B155">
        <v>154</v>
      </c>
      <c r="C155" t="s">
        <v>16</v>
      </c>
      <c r="D155" t="s">
        <v>17</v>
      </c>
      <c r="E155" t="s">
        <v>18</v>
      </c>
      <c r="F155" t="s">
        <v>19</v>
      </c>
      <c r="G155" t="s">
        <v>108</v>
      </c>
      <c r="H155" t="s">
        <v>21</v>
      </c>
      <c r="I155" t="s">
        <v>24</v>
      </c>
      <c r="J155" t="s">
        <v>148</v>
      </c>
      <c r="K155" t="s">
        <v>23</v>
      </c>
      <c r="L155">
        <v>484</v>
      </c>
      <c r="M155" s="10">
        <v>15.779670100000001</v>
      </c>
      <c r="N155" s="10">
        <v>70.988739560601132</v>
      </c>
      <c r="O155" s="10">
        <v>-0.35951995211654802</v>
      </c>
      <c r="P155" s="1" t="str">
        <f>HYPERLINK(".\sm_car_250701_2310\sm_car_250701_2310_154_Ca154TrN_MaLSS_DrSt_ode23t_1.png","figure")</f>
        <v>figure</v>
      </c>
      <c r="Q155" t="s">
        <v>15</v>
      </c>
    </row>
    <row r="156" spans="1:17" x14ac:dyDescent="0.25">
      <c r="A156">
        <v>155</v>
      </c>
      <c r="B156">
        <v>155</v>
      </c>
      <c r="C156" t="s">
        <v>16</v>
      </c>
      <c r="D156" t="s">
        <v>17</v>
      </c>
      <c r="E156" t="s">
        <v>18</v>
      </c>
      <c r="F156" t="s">
        <v>19</v>
      </c>
      <c r="G156" t="s">
        <v>62</v>
      </c>
      <c r="H156" t="s">
        <v>21</v>
      </c>
      <c r="I156" t="s">
        <v>24</v>
      </c>
      <c r="J156" t="s">
        <v>148</v>
      </c>
      <c r="K156" t="s">
        <v>23</v>
      </c>
      <c r="L156">
        <v>548</v>
      </c>
      <c r="M156" s="10">
        <v>18.955098</v>
      </c>
      <c r="N156" s="10">
        <v>70.833065422272966</v>
      </c>
      <c r="O156" s="10">
        <v>-0.84756545609604028</v>
      </c>
      <c r="P156" s="1" t="str">
        <f>HYPERLINK(".\sm_car_250701_2310\sm_car_250701_2310_155_Ca155TrN_MaLSS_DrSt_ode23t_1.png","figure")</f>
        <v>figure</v>
      </c>
      <c r="Q156" t="s">
        <v>15</v>
      </c>
    </row>
    <row r="157" spans="1:17" x14ac:dyDescent="0.25">
      <c r="A157">
        <v>156</v>
      </c>
      <c r="B157">
        <v>4</v>
      </c>
      <c r="C157" t="s">
        <v>16</v>
      </c>
      <c r="D157" t="s">
        <v>17</v>
      </c>
      <c r="E157" t="s">
        <v>18</v>
      </c>
      <c r="F157" t="s">
        <v>28</v>
      </c>
      <c r="G157" t="s">
        <v>20</v>
      </c>
      <c r="H157" t="s">
        <v>21</v>
      </c>
      <c r="I157" t="s">
        <v>22</v>
      </c>
      <c r="J157" t="s">
        <v>148</v>
      </c>
      <c r="K157" t="s">
        <v>63</v>
      </c>
      <c r="L157">
        <v>3247</v>
      </c>
      <c r="M157" s="10">
        <v>8.9792093000000008</v>
      </c>
      <c r="N157" s="10">
        <v>231.38224683871496</v>
      </c>
      <c r="O157" s="10">
        <v>2.2339937171260366E-3</v>
      </c>
      <c r="P157" s="1" t="str">
        <f>HYPERLINK(".\sm_car_250701_2310\sm_car_250701_2310_156_Ca004TrN_MaWOT_DrSt_ode3_1.png","figure")</f>
        <v>figure</v>
      </c>
      <c r="Q157" t="s">
        <v>15</v>
      </c>
    </row>
    <row r="158" spans="1:17" x14ac:dyDescent="0.25">
      <c r="A158">
        <v>157</v>
      </c>
      <c r="B158">
        <v>4</v>
      </c>
      <c r="C158" t="s">
        <v>16</v>
      </c>
      <c r="D158" t="s">
        <v>17</v>
      </c>
      <c r="E158" t="s">
        <v>18</v>
      </c>
      <c r="F158" t="s">
        <v>28</v>
      </c>
      <c r="G158" t="s">
        <v>20</v>
      </c>
      <c r="H158" t="s">
        <v>21</v>
      </c>
      <c r="I158" t="s">
        <v>24</v>
      </c>
      <c r="J158" t="s">
        <v>148</v>
      </c>
      <c r="K158" t="s">
        <v>63</v>
      </c>
      <c r="L158">
        <v>2564</v>
      </c>
      <c r="M158" s="10">
        <v>7.1274300000000004</v>
      </c>
      <c r="N158" s="10">
        <v>71.251895399548502</v>
      </c>
      <c r="O158" s="10">
        <v>-0.54030571140992245</v>
      </c>
      <c r="P158" s="1" t="str">
        <f>HYPERLINK(".\sm_car_250701_2310\sm_car_250701_2310_157_Ca004TrN_MaLSS_DrSt_ode3_1.png","figure")</f>
        <v>figure</v>
      </c>
      <c r="Q158" t="s">
        <v>15</v>
      </c>
    </row>
    <row r="159" spans="1:17" x14ac:dyDescent="0.25">
      <c r="A159">
        <v>158</v>
      </c>
      <c r="B159">
        <v>4</v>
      </c>
      <c r="C159" t="s">
        <v>16</v>
      </c>
      <c r="D159" t="s">
        <v>17</v>
      </c>
      <c r="E159" t="s">
        <v>18</v>
      </c>
      <c r="F159" t="s">
        <v>28</v>
      </c>
      <c r="G159" t="s">
        <v>20</v>
      </c>
      <c r="H159" t="s">
        <v>21</v>
      </c>
      <c r="I159" t="s">
        <v>64</v>
      </c>
      <c r="J159" t="s">
        <v>148</v>
      </c>
      <c r="K159" t="s">
        <v>63</v>
      </c>
      <c r="L159">
        <v>2562</v>
      </c>
      <c r="M159" s="10">
        <v>7.2649284999999999</v>
      </c>
      <c r="N159" s="10">
        <v>63.784285151621532</v>
      </c>
      <c r="O159" s="10">
        <v>-25.042725609682812</v>
      </c>
      <c r="P159" s="1" t="str">
        <f>HYPERLINK(".\sm_car_250701_2310\sm_car_250701_2310_158_Ca004TrN_MaTUR_DrSt_ode3_1.png","figure")</f>
        <v>figure</v>
      </c>
      <c r="Q159" t="s">
        <v>15</v>
      </c>
    </row>
    <row r="160" spans="1:17" x14ac:dyDescent="0.25">
      <c r="A160">
        <v>159</v>
      </c>
      <c r="B160">
        <v>116</v>
      </c>
      <c r="C160" t="s">
        <v>16</v>
      </c>
      <c r="D160" t="s">
        <v>35</v>
      </c>
      <c r="E160" t="s">
        <v>18</v>
      </c>
      <c r="F160" t="s">
        <v>28</v>
      </c>
      <c r="G160" t="s">
        <v>20</v>
      </c>
      <c r="H160" t="s">
        <v>21</v>
      </c>
      <c r="I160" t="s">
        <v>22</v>
      </c>
      <c r="J160" t="s">
        <v>148</v>
      </c>
      <c r="K160" t="s">
        <v>63</v>
      </c>
      <c r="L160">
        <v>3244</v>
      </c>
      <c r="M160" s="10">
        <v>4.0992609</v>
      </c>
      <c r="N160" s="10">
        <v>242.69607452341987</v>
      </c>
      <c r="O160" s="10">
        <v>0.23635446031101723</v>
      </c>
      <c r="P160" s="1" t="str">
        <f>HYPERLINK(".\sm_car_250701_2310\sm_car_250701_2310_159_Ca116TrN_MaWOT_DrSt_ode3_1.png","figure")</f>
        <v>figure</v>
      </c>
      <c r="Q160" t="s">
        <v>15</v>
      </c>
    </row>
    <row r="161" spans="1:17" x14ac:dyDescent="0.25">
      <c r="A161">
        <v>160</v>
      </c>
      <c r="B161">
        <v>116</v>
      </c>
      <c r="C161" t="s">
        <v>16</v>
      </c>
      <c r="D161" t="s">
        <v>35</v>
      </c>
      <c r="E161" t="s">
        <v>18</v>
      </c>
      <c r="F161" t="s">
        <v>28</v>
      </c>
      <c r="G161" t="s">
        <v>20</v>
      </c>
      <c r="H161" t="s">
        <v>21</v>
      </c>
      <c r="I161" t="s">
        <v>24</v>
      </c>
      <c r="J161" t="s">
        <v>148</v>
      </c>
      <c r="K161" t="s">
        <v>63</v>
      </c>
      <c r="L161">
        <v>2564</v>
      </c>
      <c r="M161" s="10">
        <v>3.2975091000000001</v>
      </c>
      <c r="N161" s="10">
        <v>74.657190781644118</v>
      </c>
      <c r="O161" s="10">
        <v>-0.34075824439014252</v>
      </c>
      <c r="P161" s="1" t="str">
        <f>HYPERLINK(".\sm_car_250701_2310\sm_car_250701_2310_160_Ca116TrN_MaLSS_DrSt_ode3_1.png","figure")</f>
        <v>figure</v>
      </c>
      <c r="Q161" t="s">
        <v>15</v>
      </c>
    </row>
    <row r="162" spans="1:17" x14ac:dyDescent="0.25">
      <c r="A162">
        <v>161</v>
      </c>
      <c r="B162">
        <v>116</v>
      </c>
      <c r="C162" t="s">
        <v>16</v>
      </c>
      <c r="D162" t="s">
        <v>35</v>
      </c>
      <c r="E162" t="s">
        <v>18</v>
      </c>
      <c r="F162" t="s">
        <v>28</v>
      </c>
      <c r="G162" t="s">
        <v>20</v>
      </c>
      <c r="H162" t="s">
        <v>21</v>
      </c>
      <c r="I162" t="s">
        <v>64</v>
      </c>
      <c r="J162" t="s">
        <v>148</v>
      </c>
      <c r="K162" t="s">
        <v>63</v>
      </c>
      <c r="L162">
        <v>2563</v>
      </c>
      <c r="M162" s="10">
        <v>3.2634386000000002</v>
      </c>
      <c r="N162" s="10">
        <v>71.322015477791922</v>
      </c>
      <c r="O162" s="10">
        <v>-17.59032913116118</v>
      </c>
      <c r="P162" s="1" t="str">
        <f>HYPERLINK(".\sm_car_250701_2310\sm_car_250701_2310_161_Ca116TrN_MaTUR_DrSt_ode3_1.png","figure")</f>
        <v>figure</v>
      </c>
      <c r="Q162" t="s">
        <v>15</v>
      </c>
    </row>
    <row r="163" spans="1:17" x14ac:dyDescent="0.25">
      <c r="A163">
        <v>162</v>
      </c>
      <c r="B163">
        <v>124</v>
      </c>
      <c r="C163" t="s">
        <v>16</v>
      </c>
      <c r="D163" t="s">
        <v>35</v>
      </c>
      <c r="E163" t="s">
        <v>49</v>
      </c>
      <c r="F163" t="s">
        <v>28</v>
      </c>
      <c r="G163" t="s">
        <v>20</v>
      </c>
      <c r="H163" t="s">
        <v>21</v>
      </c>
      <c r="I163" t="s">
        <v>22</v>
      </c>
      <c r="J163" t="s">
        <v>148</v>
      </c>
      <c r="K163" t="s">
        <v>63</v>
      </c>
      <c r="L163">
        <v>3244</v>
      </c>
      <c r="M163" s="10">
        <v>2.2761016000000001</v>
      </c>
      <c r="N163" s="10">
        <v>242.87242715534205</v>
      </c>
      <c r="O163" s="10">
        <v>0.23615864655911284</v>
      </c>
      <c r="P163" s="1" t="str">
        <f>HYPERLINK(".\sm_car_250701_2310\sm_car_250701_2310_162_Ca124TrN_MaWOT_DrSt_ode3_1.png","figure")</f>
        <v>figure</v>
      </c>
      <c r="Q163" t="s">
        <v>15</v>
      </c>
    </row>
    <row r="164" spans="1:17" x14ac:dyDescent="0.25">
      <c r="A164">
        <v>163</v>
      </c>
      <c r="B164">
        <v>124</v>
      </c>
      <c r="C164" t="s">
        <v>16</v>
      </c>
      <c r="D164" t="s">
        <v>35</v>
      </c>
      <c r="E164" t="s">
        <v>49</v>
      </c>
      <c r="F164" t="s">
        <v>28</v>
      </c>
      <c r="G164" t="s">
        <v>20</v>
      </c>
      <c r="H164" t="s">
        <v>21</v>
      </c>
      <c r="I164" t="s">
        <v>24</v>
      </c>
      <c r="J164" t="s">
        <v>148</v>
      </c>
      <c r="K164" t="s">
        <v>63</v>
      </c>
      <c r="L164">
        <v>2565</v>
      </c>
      <c r="M164" s="10">
        <v>1.8204328999999999</v>
      </c>
      <c r="N164" s="10">
        <v>74.796106047599508</v>
      </c>
      <c r="O164" s="10">
        <v>-0.34233746651595287</v>
      </c>
      <c r="P164" s="1" t="str">
        <f>HYPERLINK(".\sm_car_250701_2310\sm_car_250701_2310_163_Ca124TrN_MaLSS_DrSt_ode3_1.png","figure")</f>
        <v>figure</v>
      </c>
      <c r="Q164" t="s">
        <v>15</v>
      </c>
    </row>
    <row r="165" spans="1:17" x14ac:dyDescent="0.25">
      <c r="A165">
        <v>164</v>
      </c>
      <c r="B165">
        <v>124</v>
      </c>
      <c r="C165" t="s">
        <v>16</v>
      </c>
      <c r="D165" t="s">
        <v>35</v>
      </c>
      <c r="E165" t="s">
        <v>49</v>
      </c>
      <c r="F165" t="s">
        <v>28</v>
      </c>
      <c r="G165" t="s">
        <v>20</v>
      </c>
      <c r="H165" t="s">
        <v>21</v>
      </c>
      <c r="I165" t="s">
        <v>64</v>
      </c>
      <c r="J165" t="s">
        <v>148</v>
      </c>
      <c r="K165" t="s">
        <v>63</v>
      </c>
      <c r="L165">
        <v>2564</v>
      </c>
      <c r="M165" s="10">
        <v>2.0278315</v>
      </c>
      <c r="N165" s="10">
        <v>71.447408139703924</v>
      </c>
      <c r="O165" s="10">
        <v>-17.636376353758362</v>
      </c>
      <c r="P165" s="1" t="str">
        <f>HYPERLINK(".\sm_car_250701_2310\sm_car_250701_2310_164_Ca124TrN_MaTUR_DrSt_ode3_1.png","figure")</f>
        <v>figure</v>
      </c>
      <c r="Q165" t="s">
        <v>15</v>
      </c>
    </row>
    <row r="166" spans="1:17" x14ac:dyDescent="0.25">
      <c r="A166">
        <v>165</v>
      </c>
      <c r="B166">
        <v>141</v>
      </c>
      <c r="C166" t="s">
        <v>45</v>
      </c>
      <c r="D166" t="s">
        <v>17</v>
      </c>
      <c r="E166" t="s">
        <v>18</v>
      </c>
      <c r="F166" t="s">
        <v>28</v>
      </c>
      <c r="G166" t="s">
        <v>26</v>
      </c>
      <c r="H166" t="s">
        <v>21</v>
      </c>
      <c r="I166" t="s">
        <v>22</v>
      </c>
      <c r="J166" t="s">
        <v>148</v>
      </c>
      <c r="K166" t="s">
        <v>63</v>
      </c>
      <c r="L166">
        <v>3837</v>
      </c>
      <c r="M166" s="10">
        <v>12.5618692</v>
      </c>
      <c r="N166" s="10">
        <v>405.26699926711569</v>
      </c>
      <c r="O166" s="10">
        <v>1.5961569011224264</v>
      </c>
      <c r="P166" s="1" t="str">
        <f>HYPERLINK(".\sm_car_250701_2310\sm_car_250701_2310_165_Ca141TrN_MaWOT_DrSt_ode3_1.png","figure")</f>
        <v>figure</v>
      </c>
      <c r="Q166" t="s">
        <v>15</v>
      </c>
    </row>
    <row r="167" spans="1:17" x14ac:dyDescent="0.25">
      <c r="A167">
        <v>166</v>
      </c>
      <c r="B167">
        <v>141</v>
      </c>
      <c r="C167" t="s">
        <v>45</v>
      </c>
      <c r="D167" t="s">
        <v>17</v>
      </c>
      <c r="E167" t="s">
        <v>18</v>
      </c>
      <c r="F167" t="s">
        <v>28</v>
      </c>
      <c r="G167" t="s">
        <v>26</v>
      </c>
      <c r="H167" t="s">
        <v>21</v>
      </c>
      <c r="I167" t="s">
        <v>24</v>
      </c>
      <c r="J167" t="s">
        <v>148</v>
      </c>
      <c r="K167" t="s">
        <v>63</v>
      </c>
      <c r="L167">
        <v>3192</v>
      </c>
      <c r="M167" s="10">
        <v>10.763833200000001</v>
      </c>
      <c r="N167" s="10">
        <v>154.45726063782425</v>
      </c>
      <c r="O167" s="10">
        <v>-0.58045901058984573</v>
      </c>
      <c r="P167" s="1" t="str">
        <f>HYPERLINK(".\sm_car_250701_2310\sm_car_250701_2310_166_Ca141TrN_MaLSS_DrSt_ode3_1.png","figure")</f>
        <v>figure</v>
      </c>
      <c r="Q167" t="s">
        <v>15</v>
      </c>
    </row>
    <row r="168" spans="1:17" x14ac:dyDescent="0.25">
      <c r="A168">
        <v>167</v>
      </c>
      <c r="B168">
        <v>141</v>
      </c>
      <c r="C168" t="s">
        <v>45</v>
      </c>
      <c r="D168" t="s">
        <v>17</v>
      </c>
      <c r="E168" t="s">
        <v>18</v>
      </c>
      <c r="F168" t="s">
        <v>28</v>
      </c>
      <c r="G168" t="s">
        <v>26</v>
      </c>
      <c r="H168" t="s">
        <v>21</v>
      </c>
      <c r="I168" t="s">
        <v>64</v>
      </c>
      <c r="J168" t="s">
        <v>148</v>
      </c>
      <c r="K168" t="s">
        <v>63</v>
      </c>
      <c r="L168">
        <v>3160</v>
      </c>
      <c r="M168" s="10">
        <v>10.3397536</v>
      </c>
      <c r="N168" s="10">
        <v>98.352619066296825</v>
      </c>
      <c r="O168" s="10">
        <v>-87.51063161317019</v>
      </c>
      <c r="P168" s="1" t="str">
        <f>HYPERLINK(".\sm_car_250701_2310\sm_car_250701_2310_167_Ca141TrN_MaTUR_DrSt_ode3_1.png","figure")</f>
        <v>figure</v>
      </c>
      <c r="Q168" t="s">
        <v>15</v>
      </c>
    </row>
    <row r="169" spans="1:17" x14ac:dyDescent="0.25">
      <c r="A169">
        <v>168</v>
      </c>
      <c r="B169">
        <v>145</v>
      </c>
      <c r="C169" t="s">
        <v>46</v>
      </c>
      <c r="D169" t="s">
        <v>17</v>
      </c>
      <c r="E169" t="s">
        <v>50</v>
      </c>
      <c r="F169" t="s">
        <v>19</v>
      </c>
      <c r="G169" t="s">
        <v>26</v>
      </c>
      <c r="H169" t="s">
        <v>21</v>
      </c>
      <c r="I169" t="s">
        <v>22</v>
      </c>
      <c r="J169" t="s">
        <v>148</v>
      </c>
      <c r="K169" t="s">
        <v>63</v>
      </c>
      <c r="L169">
        <v>2856</v>
      </c>
      <c r="M169" s="10">
        <v>7.9278345999999997</v>
      </c>
      <c r="N169" s="10">
        <v>96.143293584542477</v>
      </c>
      <c r="O169" s="10">
        <v>8.6318522634519414E-4</v>
      </c>
      <c r="P169" s="1" t="str">
        <f>HYPERLINK(".\sm_car_250701_2310\sm_car_250701_2310_168_Ca145TrN_MaWOT_DrSt_ode3_1.png","figure")</f>
        <v>figure</v>
      </c>
      <c r="Q169" t="s">
        <v>15</v>
      </c>
    </row>
    <row r="170" spans="1:17" x14ac:dyDescent="0.25">
      <c r="A170">
        <v>169</v>
      </c>
      <c r="B170">
        <v>145</v>
      </c>
      <c r="C170" t="s">
        <v>46</v>
      </c>
      <c r="D170" t="s">
        <v>17</v>
      </c>
      <c r="E170" t="s">
        <v>50</v>
      </c>
      <c r="F170" t="s">
        <v>19</v>
      </c>
      <c r="G170" t="s">
        <v>26</v>
      </c>
      <c r="H170" t="s">
        <v>21</v>
      </c>
      <c r="I170" t="s">
        <v>24</v>
      </c>
      <c r="J170" t="s">
        <v>148</v>
      </c>
      <c r="K170" t="s">
        <v>63</v>
      </c>
      <c r="L170">
        <v>2385</v>
      </c>
      <c r="M170" s="10">
        <v>6.4481441999999998</v>
      </c>
      <c r="N170" s="10">
        <v>25.351601817833707</v>
      </c>
      <c r="O170" s="10">
        <v>-4.1368589281911311E-2</v>
      </c>
      <c r="P170" s="1" t="str">
        <f>HYPERLINK(".\sm_car_250701_2310\sm_car_250701_2310_169_Ca145TrN_MaLSS_DrSt_ode3_1.png","figure")</f>
        <v>figure</v>
      </c>
      <c r="Q170" t="s">
        <v>15</v>
      </c>
    </row>
    <row r="171" spans="1:17" x14ac:dyDescent="0.25">
      <c r="A171">
        <v>170</v>
      </c>
      <c r="B171">
        <v>145</v>
      </c>
      <c r="C171" t="s">
        <v>46</v>
      </c>
      <c r="D171" t="s">
        <v>17</v>
      </c>
      <c r="E171" t="s">
        <v>50</v>
      </c>
      <c r="F171" t="s">
        <v>19</v>
      </c>
      <c r="G171" t="s">
        <v>26</v>
      </c>
      <c r="H171" t="s">
        <v>21</v>
      </c>
      <c r="I171" t="s">
        <v>64</v>
      </c>
      <c r="J171" t="s">
        <v>148</v>
      </c>
      <c r="K171" t="s">
        <v>63</v>
      </c>
      <c r="L171">
        <v>2381</v>
      </c>
      <c r="M171" s="10">
        <v>6.7165514999999996</v>
      </c>
      <c r="N171" s="10">
        <v>25.137842847097982</v>
      </c>
      <c r="O171" s="10">
        <v>-2.6089117989709583</v>
      </c>
      <c r="P171" s="1" t="str">
        <f>HYPERLINK(".\sm_car_250701_2310\sm_car_250701_2310_170_Ca145TrN_MaTUR_DrSt_ode3_1.png","figure")</f>
        <v>figure</v>
      </c>
      <c r="Q171" t="s">
        <v>15</v>
      </c>
    </row>
    <row r="172" spans="1:17" x14ac:dyDescent="0.25">
      <c r="A172">
        <v>171</v>
      </c>
      <c r="B172">
        <v>199</v>
      </c>
      <c r="C172" t="s">
        <v>46</v>
      </c>
      <c r="D172" t="s">
        <v>17</v>
      </c>
      <c r="E172" t="s">
        <v>109</v>
      </c>
      <c r="F172" t="s">
        <v>19</v>
      </c>
      <c r="G172" t="s">
        <v>26</v>
      </c>
      <c r="H172" t="s">
        <v>21</v>
      </c>
      <c r="I172" t="s">
        <v>22</v>
      </c>
      <c r="J172" t="s">
        <v>148</v>
      </c>
      <c r="K172" t="s">
        <v>63</v>
      </c>
      <c r="L172">
        <v>2856</v>
      </c>
      <c r="M172" s="10">
        <v>8.7497995999999993</v>
      </c>
      <c r="N172" s="10">
        <v>96.874498520697102</v>
      </c>
      <c r="O172" s="10">
        <v>0.14711541262466793</v>
      </c>
      <c r="P172" s="1" t="str">
        <f>HYPERLINK(".\sm_car_250701_2310\sm_car_250701_2310_171_Ca199TrN_MaWOT_DrSt_ode3_1.png","figure")</f>
        <v>figure</v>
      </c>
      <c r="Q172" t="s">
        <v>15</v>
      </c>
    </row>
    <row r="173" spans="1:17" x14ac:dyDescent="0.25">
      <c r="A173">
        <v>172</v>
      </c>
      <c r="B173">
        <v>199</v>
      </c>
      <c r="C173" t="s">
        <v>46</v>
      </c>
      <c r="D173" t="s">
        <v>17</v>
      </c>
      <c r="E173" t="s">
        <v>109</v>
      </c>
      <c r="F173" t="s">
        <v>19</v>
      </c>
      <c r="G173" t="s">
        <v>26</v>
      </c>
      <c r="H173" t="s">
        <v>21</v>
      </c>
      <c r="I173" t="s">
        <v>24</v>
      </c>
      <c r="J173" t="s">
        <v>148</v>
      </c>
      <c r="K173" t="s">
        <v>63</v>
      </c>
      <c r="L173">
        <v>2387</v>
      </c>
      <c r="M173" s="10">
        <v>7.4039650999999997</v>
      </c>
      <c r="N173" s="10">
        <v>25.965300865011024</v>
      </c>
      <c r="O173" s="10">
        <v>-2.8433107238327707E-2</v>
      </c>
      <c r="P173" s="1" t="str">
        <f>HYPERLINK(".\sm_car_250701_2310\sm_car_250701_2310_172_Ca199TrN_MaLSS_DrSt_ode3_1.png","figure")</f>
        <v>figure</v>
      </c>
      <c r="Q173" t="s">
        <v>15</v>
      </c>
    </row>
    <row r="174" spans="1:17" x14ac:dyDescent="0.25">
      <c r="A174">
        <v>173</v>
      </c>
      <c r="B174">
        <v>199</v>
      </c>
      <c r="C174" t="s">
        <v>46</v>
      </c>
      <c r="D174" t="s">
        <v>17</v>
      </c>
      <c r="E174" t="s">
        <v>109</v>
      </c>
      <c r="F174" t="s">
        <v>19</v>
      </c>
      <c r="G174" t="s">
        <v>26</v>
      </c>
      <c r="H174" t="s">
        <v>21</v>
      </c>
      <c r="I174" t="s">
        <v>64</v>
      </c>
      <c r="J174" t="s">
        <v>148</v>
      </c>
      <c r="K174" t="s">
        <v>63</v>
      </c>
      <c r="L174">
        <v>2381</v>
      </c>
      <c r="M174" s="10">
        <v>7.4224806000000001</v>
      </c>
      <c r="N174" s="10">
        <v>25.753072775503231</v>
      </c>
      <c r="O174" s="10">
        <v>-2.6780294853401752</v>
      </c>
      <c r="P174" s="1" t="str">
        <f>HYPERLINK(".\sm_car_250701_2310\sm_car_250701_2310_173_Ca199TrN_MaTUR_DrSt_ode3_1.png","figure")</f>
        <v>figure</v>
      </c>
      <c r="Q174" t="s">
        <v>15</v>
      </c>
    </row>
    <row r="175" spans="1:17" x14ac:dyDescent="0.25">
      <c r="A175">
        <v>174</v>
      </c>
      <c r="B175">
        <v>139</v>
      </c>
      <c r="C175" t="s">
        <v>45</v>
      </c>
      <c r="D175" t="s">
        <v>17</v>
      </c>
      <c r="E175" t="s">
        <v>18</v>
      </c>
      <c r="F175" t="s">
        <v>19</v>
      </c>
      <c r="G175" t="s">
        <v>26</v>
      </c>
      <c r="H175" t="s">
        <v>21</v>
      </c>
      <c r="I175" t="s">
        <v>53</v>
      </c>
      <c r="J175" t="s">
        <v>148</v>
      </c>
      <c r="K175" t="s">
        <v>23</v>
      </c>
      <c r="L175">
        <v>513</v>
      </c>
      <c r="M175" s="10">
        <v>11.113073399999999</v>
      </c>
      <c r="N175" s="10">
        <v>256.91141707701053</v>
      </c>
      <c r="O175" s="10">
        <v>-5.7601337968753441E-3</v>
      </c>
      <c r="P175" s="1" t="str">
        <f>HYPERLINK(".\sm_car_250701_2310\sm_car_250701_2310_174_Ca139TrN_MaDLC_DrSt_ode23t_1.png","figure")</f>
        <v>figure</v>
      </c>
      <c r="Q175" t="s">
        <v>15</v>
      </c>
    </row>
    <row r="176" spans="1:17" x14ac:dyDescent="0.25">
      <c r="A176">
        <v>175</v>
      </c>
      <c r="B176">
        <v>139</v>
      </c>
      <c r="C176" t="s">
        <v>45</v>
      </c>
      <c r="D176" t="s">
        <v>17</v>
      </c>
      <c r="E176" t="s">
        <v>18</v>
      </c>
      <c r="F176" t="s">
        <v>19</v>
      </c>
      <c r="G176" t="s">
        <v>26</v>
      </c>
      <c r="H176" t="s">
        <v>65</v>
      </c>
      <c r="I176" t="s">
        <v>53</v>
      </c>
      <c r="J176" t="s">
        <v>148</v>
      </c>
      <c r="K176" t="s">
        <v>23</v>
      </c>
      <c r="L176">
        <v>821</v>
      </c>
      <c r="M176" s="10">
        <v>28.612674599999998</v>
      </c>
      <c r="N176" s="10">
        <v>253.57186451274453</v>
      </c>
      <c r="O176" s="10">
        <v>1.116145109522515E-2</v>
      </c>
      <c r="P176" s="1" t="str">
        <f>HYPERLINK(".\sm_car_250701_2310\sm_car_250701_2310_175_Ca139TrE_MaDLC_DrSt_ode23t_1.png","figure")</f>
        <v>figure</v>
      </c>
      <c r="Q176" t="s">
        <v>15</v>
      </c>
    </row>
    <row r="177" spans="1:17" x14ac:dyDescent="0.25">
      <c r="A177">
        <v>176</v>
      </c>
      <c r="B177">
        <v>139</v>
      </c>
      <c r="C177" t="s">
        <v>45</v>
      </c>
      <c r="D177" t="s">
        <v>17</v>
      </c>
      <c r="E177" t="s">
        <v>18</v>
      </c>
      <c r="F177" t="s">
        <v>19</v>
      </c>
      <c r="G177" t="s">
        <v>26</v>
      </c>
      <c r="H177" t="s">
        <v>66</v>
      </c>
      <c r="I177" t="s">
        <v>53</v>
      </c>
      <c r="J177" t="s">
        <v>148</v>
      </c>
      <c r="K177" t="s">
        <v>23</v>
      </c>
      <c r="L177">
        <v>1048</v>
      </c>
      <c r="M177" s="10">
        <v>41.381298299999997</v>
      </c>
      <c r="N177" s="10">
        <v>255.30598196600977</v>
      </c>
      <c r="O177" s="10">
        <v>-6.7250324898009417E-3</v>
      </c>
      <c r="P177" s="1" t="str">
        <f>HYPERLINK(".\sm_car_250701_2310\sm_car_250701_2310_176_Ca139TrT_MaDLC_DrSt_ode23t_1.png","figure")</f>
        <v>figure</v>
      </c>
      <c r="Q177" t="s">
        <v>15</v>
      </c>
    </row>
    <row r="178" spans="1:17" x14ac:dyDescent="0.25">
      <c r="A178">
        <v>177</v>
      </c>
      <c r="B178">
        <v>139</v>
      </c>
      <c r="C178" t="s">
        <v>45</v>
      </c>
      <c r="D178" t="s">
        <v>17</v>
      </c>
      <c r="E178" t="s">
        <v>18</v>
      </c>
      <c r="F178" t="s">
        <v>19</v>
      </c>
      <c r="G178" t="s">
        <v>26</v>
      </c>
      <c r="H178" t="s">
        <v>65</v>
      </c>
      <c r="I178" t="s">
        <v>53</v>
      </c>
      <c r="J178" t="s">
        <v>148</v>
      </c>
      <c r="K178" t="s">
        <v>23</v>
      </c>
      <c r="L178">
        <v>925</v>
      </c>
      <c r="M178" s="10">
        <v>23.780898199999999</v>
      </c>
      <c r="N178" s="10">
        <v>253.43612811755929</v>
      </c>
      <c r="O178" s="10">
        <v>5.8448310967387229E-3</v>
      </c>
      <c r="P178" s="1" t="str">
        <f>HYPERLINK(".\sm_car_250701_2310\sm_car_250701_2310_177_Ca139TrE_MaDLC_DrSt_ode23t_1.png","figure")</f>
        <v>figure</v>
      </c>
      <c r="Q178" t="s">
        <v>15</v>
      </c>
    </row>
    <row r="179" spans="1:17" x14ac:dyDescent="0.25">
      <c r="A179">
        <v>178</v>
      </c>
      <c r="B179">
        <v>2</v>
      </c>
      <c r="C179" t="s">
        <v>16</v>
      </c>
      <c r="D179" t="s">
        <v>17</v>
      </c>
      <c r="E179" t="s">
        <v>18</v>
      </c>
      <c r="F179" t="s">
        <v>19</v>
      </c>
      <c r="G179" t="s">
        <v>26</v>
      </c>
      <c r="H179" t="s">
        <v>21</v>
      </c>
      <c r="I179" t="s">
        <v>53</v>
      </c>
      <c r="J179" t="s">
        <v>148</v>
      </c>
      <c r="K179" t="s">
        <v>23</v>
      </c>
      <c r="L179">
        <v>524</v>
      </c>
      <c r="M179" s="10">
        <v>7.8835189000000003</v>
      </c>
      <c r="N179" s="10">
        <v>253.81289356123244</v>
      </c>
      <c r="O179" s="10">
        <v>4.5165970458065363E-2</v>
      </c>
      <c r="P179" s="1" t="str">
        <f>HYPERLINK(".\sm_car_250701_2310\sm_car_250701_2310_178_Ca002TrN_MaDLC_DrSt_ode23t_1.png","figure")</f>
        <v>figure</v>
      </c>
      <c r="Q179" t="s">
        <v>15</v>
      </c>
    </row>
    <row r="180" spans="1:17" x14ac:dyDescent="0.25">
      <c r="A180">
        <v>179</v>
      </c>
      <c r="B180">
        <v>2</v>
      </c>
      <c r="C180" t="s">
        <v>16</v>
      </c>
      <c r="D180" t="s">
        <v>17</v>
      </c>
      <c r="E180" t="s">
        <v>18</v>
      </c>
      <c r="F180" t="s">
        <v>19</v>
      </c>
      <c r="G180" t="s">
        <v>26</v>
      </c>
      <c r="H180" t="s">
        <v>65</v>
      </c>
      <c r="I180" t="s">
        <v>53</v>
      </c>
      <c r="J180" t="s">
        <v>148</v>
      </c>
      <c r="K180" t="s">
        <v>23</v>
      </c>
      <c r="L180">
        <v>560</v>
      </c>
      <c r="M180" s="10">
        <v>15.604091499999999</v>
      </c>
      <c r="N180" s="10">
        <v>255.73205805519342</v>
      </c>
      <c r="O180" s="10">
        <v>3.8950207598366315E-2</v>
      </c>
      <c r="P180" s="1" t="str">
        <f>HYPERLINK(".\sm_car_250701_2310\sm_car_250701_2310_179_Ca002TrE_MaDLC_DrSt_ode23t_1.png","figure")</f>
        <v>figure</v>
      </c>
      <c r="Q180" t="s">
        <v>15</v>
      </c>
    </row>
    <row r="181" spans="1:17" x14ac:dyDescent="0.25">
      <c r="A181">
        <v>180</v>
      </c>
      <c r="B181">
        <v>2</v>
      </c>
      <c r="C181" t="s">
        <v>16</v>
      </c>
      <c r="D181" t="s">
        <v>17</v>
      </c>
      <c r="E181" t="s">
        <v>18</v>
      </c>
      <c r="F181" t="s">
        <v>19</v>
      </c>
      <c r="G181" t="s">
        <v>26</v>
      </c>
      <c r="H181" t="s">
        <v>66</v>
      </c>
      <c r="I181" t="s">
        <v>53</v>
      </c>
      <c r="J181" t="s">
        <v>148</v>
      </c>
      <c r="K181" t="s">
        <v>23</v>
      </c>
      <c r="L181">
        <v>858</v>
      </c>
      <c r="M181" s="10">
        <v>24.841984700000001</v>
      </c>
      <c r="N181" s="10">
        <v>254.24679791333784</v>
      </c>
      <c r="O181" s="10">
        <v>4.3628634176395842E-2</v>
      </c>
      <c r="P181" s="1" t="str">
        <f>HYPERLINK(".\sm_car_250701_2310\sm_car_250701_2310_180_Ca002TrT_MaDLC_DrSt_ode23t_1.png","figure")</f>
        <v>figure</v>
      </c>
      <c r="Q181" t="s">
        <v>15</v>
      </c>
    </row>
    <row r="182" spans="1:17" x14ac:dyDescent="0.25">
      <c r="A182">
        <v>181</v>
      </c>
      <c r="B182">
        <v>2</v>
      </c>
      <c r="C182" t="s">
        <v>16</v>
      </c>
      <c r="D182" t="s">
        <v>17</v>
      </c>
      <c r="E182" t="s">
        <v>18</v>
      </c>
      <c r="F182" t="s">
        <v>19</v>
      </c>
      <c r="G182" t="s">
        <v>26</v>
      </c>
      <c r="H182" t="s">
        <v>65</v>
      </c>
      <c r="I182" t="s">
        <v>53</v>
      </c>
      <c r="J182" t="s">
        <v>148</v>
      </c>
      <c r="K182" t="s">
        <v>23</v>
      </c>
      <c r="L182">
        <v>553</v>
      </c>
      <c r="M182" s="10">
        <v>11.546816</v>
      </c>
      <c r="N182" s="10">
        <v>253.48123313831167</v>
      </c>
      <c r="O182" s="10">
        <v>4.6894265070837715E-2</v>
      </c>
      <c r="P182" s="1" t="str">
        <f>HYPERLINK(".\sm_car_250701_2310\sm_car_250701_2310_181_Ca002TrE_MaDLC_DrSt_ode23t_1.png","figure")</f>
        <v>figure</v>
      </c>
      <c r="Q182" t="s">
        <v>15</v>
      </c>
    </row>
    <row r="183" spans="1:17" x14ac:dyDescent="0.25">
      <c r="A183">
        <v>182</v>
      </c>
      <c r="B183">
        <v>145</v>
      </c>
      <c r="C183" t="s">
        <v>46</v>
      </c>
      <c r="D183" t="s">
        <v>17</v>
      </c>
      <c r="E183" t="s">
        <v>50</v>
      </c>
      <c r="F183" t="s">
        <v>19</v>
      </c>
      <c r="G183" t="s">
        <v>26</v>
      </c>
      <c r="H183" t="s">
        <v>21</v>
      </c>
      <c r="I183" t="s">
        <v>53</v>
      </c>
      <c r="J183" t="s">
        <v>148</v>
      </c>
      <c r="K183" t="s">
        <v>23</v>
      </c>
      <c r="L183">
        <v>441</v>
      </c>
      <c r="M183" s="10">
        <v>17.192703300000002</v>
      </c>
      <c r="N183" s="10">
        <v>255.43283777532213</v>
      </c>
      <c r="O183" s="10">
        <v>6.7691528765625453E-2</v>
      </c>
      <c r="P183" s="1" t="str">
        <f>HYPERLINK(".\sm_car_250701_2310\sm_car_250701_2310_182_Ca145TrN_MaDLC_DrSt_ode23t_1.png","figure")</f>
        <v>figure</v>
      </c>
      <c r="Q183" t="s">
        <v>15</v>
      </c>
    </row>
    <row r="184" spans="1:17" x14ac:dyDescent="0.25">
      <c r="A184">
        <v>183</v>
      </c>
      <c r="B184">
        <v>145</v>
      </c>
      <c r="C184" t="s">
        <v>46</v>
      </c>
      <c r="D184" t="s">
        <v>17</v>
      </c>
      <c r="E184" t="s">
        <v>50</v>
      </c>
      <c r="F184" t="s">
        <v>19</v>
      </c>
      <c r="G184" t="s">
        <v>26</v>
      </c>
      <c r="H184" t="s">
        <v>65</v>
      </c>
      <c r="I184" t="s">
        <v>53</v>
      </c>
      <c r="J184" t="s">
        <v>148</v>
      </c>
      <c r="K184" t="s">
        <v>23</v>
      </c>
      <c r="L184">
        <v>565</v>
      </c>
      <c r="M184" s="10">
        <v>33.092694299999998</v>
      </c>
      <c r="N184" s="10">
        <v>253.91974483835241</v>
      </c>
      <c r="O184" s="10">
        <v>7.5385086031548365E-2</v>
      </c>
      <c r="P184" s="1" t="str">
        <f>HYPERLINK(".\sm_car_250701_2310\sm_car_250701_2310_183_Ca145TrE_MaDLC_DrSt_ode23t_1.png","figure")</f>
        <v>figure</v>
      </c>
      <c r="Q184" t="s">
        <v>15</v>
      </c>
    </row>
    <row r="185" spans="1:17" x14ac:dyDescent="0.25">
      <c r="A185">
        <v>184</v>
      </c>
      <c r="B185">
        <v>145</v>
      </c>
      <c r="C185" t="s">
        <v>46</v>
      </c>
      <c r="D185" t="s">
        <v>17</v>
      </c>
      <c r="E185" t="s">
        <v>50</v>
      </c>
      <c r="F185" t="s">
        <v>19</v>
      </c>
      <c r="G185" t="s">
        <v>26</v>
      </c>
      <c r="H185" t="s">
        <v>66</v>
      </c>
      <c r="I185" t="s">
        <v>53</v>
      </c>
      <c r="J185" t="s">
        <v>148</v>
      </c>
      <c r="K185" t="s">
        <v>23</v>
      </c>
      <c r="L185">
        <v>738</v>
      </c>
      <c r="M185" s="10">
        <v>42.253330200000001</v>
      </c>
      <c r="N185" s="10">
        <v>254.3930920374691</v>
      </c>
      <c r="O185" s="10">
        <v>7.2692125050249246E-2</v>
      </c>
      <c r="P185" s="1" t="str">
        <f>HYPERLINK(".\sm_car_250701_2310\sm_car_250701_2310_184_Ca145TrT_MaDLC_DrSt_ode23t_1.png","figure")</f>
        <v>figure</v>
      </c>
      <c r="Q185" t="s">
        <v>15</v>
      </c>
    </row>
    <row r="186" spans="1:17" x14ac:dyDescent="0.25">
      <c r="A186">
        <v>185</v>
      </c>
      <c r="B186">
        <v>145</v>
      </c>
      <c r="C186" t="s">
        <v>46</v>
      </c>
      <c r="D186" t="s">
        <v>17</v>
      </c>
      <c r="E186" t="s">
        <v>50</v>
      </c>
      <c r="F186" t="s">
        <v>19</v>
      </c>
      <c r="G186" t="s">
        <v>26</v>
      </c>
      <c r="H186" t="s">
        <v>65</v>
      </c>
      <c r="I186" t="s">
        <v>53</v>
      </c>
      <c r="J186" t="s">
        <v>148</v>
      </c>
      <c r="K186" t="s">
        <v>23</v>
      </c>
      <c r="L186">
        <v>560</v>
      </c>
      <c r="M186" s="10">
        <v>28.2150094</v>
      </c>
      <c r="N186" s="10">
        <v>256.0086739849296</v>
      </c>
      <c r="O186" s="10">
        <v>6.5957368933635241E-2</v>
      </c>
      <c r="P186" s="1" t="str">
        <f>HYPERLINK(".\sm_car_250701_2310\sm_car_250701_2310_185_Ca145TrE_MaDLC_DrSt_ode23t_1.png","figure")</f>
        <v>figure</v>
      </c>
      <c r="Q186" t="s">
        <v>15</v>
      </c>
    </row>
    <row r="187" spans="1:17" x14ac:dyDescent="0.25">
      <c r="A187">
        <v>186</v>
      </c>
      <c r="B187">
        <v>199</v>
      </c>
      <c r="C187" t="s">
        <v>46</v>
      </c>
      <c r="D187" t="s">
        <v>17</v>
      </c>
      <c r="E187" t="s">
        <v>109</v>
      </c>
      <c r="F187" t="s">
        <v>19</v>
      </c>
      <c r="G187" t="s">
        <v>26</v>
      </c>
      <c r="H187" t="s">
        <v>21</v>
      </c>
      <c r="I187" t="s">
        <v>53</v>
      </c>
      <c r="J187" t="s">
        <v>148</v>
      </c>
      <c r="K187" t="s">
        <v>23</v>
      </c>
      <c r="L187">
        <v>454</v>
      </c>
      <c r="M187" s="10">
        <v>6.8748804999999997</v>
      </c>
      <c r="N187" s="10">
        <v>254.39673326706423</v>
      </c>
      <c r="O187" s="10">
        <v>7.2494739006235154E-2</v>
      </c>
      <c r="P187" s="1" t="str">
        <f>HYPERLINK(".\sm_car_250701_2310\sm_car_250701_2310_186_Ca199TrN_MaDLC_DrSt_ode23t_1.png","figure")</f>
        <v>figure</v>
      </c>
      <c r="Q187" t="s">
        <v>15</v>
      </c>
    </row>
    <row r="188" spans="1:17" x14ac:dyDescent="0.25">
      <c r="A188">
        <v>187</v>
      </c>
      <c r="B188">
        <v>199</v>
      </c>
      <c r="C188" t="s">
        <v>46</v>
      </c>
      <c r="D188" t="s">
        <v>17</v>
      </c>
      <c r="E188" t="s">
        <v>109</v>
      </c>
      <c r="F188" t="s">
        <v>19</v>
      </c>
      <c r="G188" t="s">
        <v>26</v>
      </c>
      <c r="H188" t="s">
        <v>65</v>
      </c>
      <c r="I188" t="s">
        <v>53</v>
      </c>
      <c r="J188" t="s">
        <v>148</v>
      </c>
      <c r="K188" t="s">
        <v>23</v>
      </c>
      <c r="L188">
        <v>564</v>
      </c>
      <c r="M188" s="10">
        <v>18.865358100000002</v>
      </c>
      <c r="N188" s="10">
        <v>256.05721511823447</v>
      </c>
      <c r="O188" s="10">
        <v>6.5589057880080404E-2</v>
      </c>
      <c r="P188" s="1" t="str">
        <f>HYPERLINK(".\sm_car_250701_2310\sm_car_250701_2310_187_Ca199TrE_MaDLC_DrSt_ode23t_1.png","figure")</f>
        <v>figure</v>
      </c>
      <c r="Q188" t="s">
        <v>15</v>
      </c>
    </row>
    <row r="189" spans="1:17" x14ac:dyDescent="0.25">
      <c r="A189">
        <v>188</v>
      </c>
      <c r="B189">
        <v>199</v>
      </c>
      <c r="C189" t="s">
        <v>46</v>
      </c>
      <c r="D189" t="s">
        <v>17</v>
      </c>
      <c r="E189" t="s">
        <v>109</v>
      </c>
      <c r="F189" t="s">
        <v>19</v>
      </c>
      <c r="G189" t="s">
        <v>26</v>
      </c>
      <c r="H189" t="s">
        <v>66</v>
      </c>
      <c r="I189" t="s">
        <v>53</v>
      </c>
      <c r="J189" t="s">
        <v>148</v>
      </c>
      <c r="K189" t="s">
        <v>23</v>
      </c>
      <c r="L189">
        <v>750</v>
      </c>
      <c r="M189" s="10">
        <v>19.001178299999999</v>
      </c>
      <c r="N189" s="10">
        <v>255.53086338520376</v>
      </c>
      <c r="O189" s="10">
        <v>6.7562903706654964E-2</v>
      </c>
      <c r="P189" s="1" t="str">
        <f>HYPERLINK(".\sm_car_250701_2310\sm_car_250701_2310_188_Ca199TrT_MaDLC_DrSt_ode23t_1.png","figure")</f>
        <v>figure</v>
      </c>
      <c r="Q189" t="s">
        <v>15</v>
      </c>
    </row>
    <row r="190" spans="1:17" x14ac:dyDescent="0.25">
      <c r="A190">
        <v>189</v>
      </c>
      <c r="B190">
        <v>199</v>
      </c>
      <c r="C190" t="s">
        <v>46</v>
      </c>
      <c r="D190" t="s">
        <v>17</v>
      </c>
      <c r="E190" t="s">
        <v>109</v>
      </c>
      <c r="F190" t="s">
        <v>19</v>
      </c>
      <c r="G190" t="s">
        <v>26</v>
      </c>
      <c r="H190" t="s">
        <v>65</v>
      </c>
      <c r="I190" t="s">
        <v>53</v>
      </c>
      <c r="J190" t="s">
        <v>148</v>
      </c>
      <c r="K190" t="s">
        <v>23</v>
      </c>
      <c r="L190">
        <v>563</v>
      </c>
      <c r="M190" s="10">
        <v>13.668279999999999</v>
      </c>
      <c r="N190" s="10">
        <v>254.82317913780213</v>
      </c>
      <c r="O190" s="10">
        <v>7.0985809335469607E-2</v>
      </c>
      <c r="P190" s="1" t="str">
        <f>HYPERLINK(".\sm_car_250701_2310\sm_car_250701_2310_189_Ca199TrE_MaDLC_DrSt_ode23t_1.png","figure")</f>
        <v>figure</v>
      </c>
      <c r="Q190" t="s">
        <v>15</v>
      </c>
    </row>
    <row r="191" spans="1:17" x14ac:dyDescent="0.25">
      <c r="A191">
        <v>190</v>
      </c>
      <c r="B191">
        <v>189</v>
      </c>
      <c r="C191" t="s">
        <v>45</v>
      </c>
      <c r="D191" t="s">
        <v>17</v>
      </c>
      <c r="E191" t="s">
        <v>107</v>
      </c>
      <c r="F191" t="s">
        <v>19</v>
      </c>
      <c r="G191" t="s">
        <v>26</v>
      </c>
      <c r="H191" t="s">
        <v>65</v>
      </c>
      <c r="I191" t="s">
        <v>67</v>
      </c>
      <c r="J191" t="s">
        <v>148</v>
      </c>
      <c r="K191" t="s">
        <v>23</v>
      </c>
      <c r="L191">
        <v>389</v>
      </c>
      <c r="M191" s="10">
        <v>9.0661018999999996</v>
      </c>
      <c r="N191" s="10">
        <v>271.24496355242263</v>
      </c>
      <c r="O191" s="10">
        <v>1.4589722080668999E-3</v>
      </c>
      <c r="P191" s="1" t="str">
        <f>HYPERLINK(".\sm_car_250701_2310\sm_car_250701_2310_190_Ca189TrE_MaTRD_DrSt_ode23t_1.png","figure")</f>
        <v>figure</v>
      </c>
      <c r="Q191" t="s">
        <v>15</v>
      </c>
    </row>
    <row r="192" spans="1:17" x14ac:dyDescent="0.25">
      <c r="A192">
        <v>191</v>
      </c>
      <c r="B192">
        <v>189</v>
      </c>
      <c r="C192" t="s">
        <v>45</v>
      </c>
      <c r="D192" t="s">
        <v>17</v>
      </c>
      <c r="E192" t="s">
        <v>107</v>
      </c>
      <c r="F192" t="s">
        <v>19</v>
      </c>
      <c r="G192" t="s">
        <v>26</v>
      </c>
      <c r="H192" t="s">
        <v>65</v>
      </c>
      <c r="I192" t="s">
        <v>67</v>
      </c>
      <c r="J192" t="s">
        <v>148</v>
      </c>
      <c r="K192" t="s">
        <v>23</v>
      </c>
      <c r="L192">
        <v>577</v>
      </c>
      <c r="M192" s="10">
        <v>13.4932029</v>
      </c>
      <c r="N192" s="10">
        <v>271.14257392960201</v>
      </c>
      <c r="O192" s="10">
        <v>-0.14642357724495714</v>
      </c>
      <c r="P192" s="1" t="str">
        <f>HYPERLINK(".\sm_car_250701_2310\sm_car_250701_2310_191_Ca189TrU_MaTRD_DrSt_ode23t_1.png","figure")</f>
        <v>figure</v>
      </c>
      <c r="Q192" t="s">
        <v>15</v>
      </c>
    </row>
    <row r="193" spans="1:17" x14ac:dyDescent="0.25">
      <c r="A193">
        <v>192</v>
      </c>
      <c r="B193">
        <v>149</v>
      </c>
      <c r="C193" t="s">
        <v>46</v>
      </c>
      <c r="D193" t="s">
        <v>17</v>
      </c>
      <c r="E193" t="s">
        <v>68</v>
      </c>
      <c r="F193" t="s">
        <v>19</v>
      </c>
      <c r="G193" t="s">
        <v>26</v>
      </c>
      <c r="H193" t="s">
        <v>21</v>
      </c>
      <c r="I193" t="s">
        <v>69</v>
      </c>
      <c r="J193" t="s">
        <v>148</v>
      </c>
      <c r="K193" t="s">
        <v>23</v>
      </c>
      <c r="L193">
        <v>669</v>
      </c>
      <c r="M193" s="10">
        <v>9.5494319999999995</v>
      </c>
      <c r="N193" s="10">
        <v>-5.8747693058971429E-3</v>
      </c>
      <c r="O193" s="10">
        <v>-3.5942483481082865E-4</v>
      </c>
      <c r="P193" s="1" t="str">
        <f>HYPERLINK(".\sm_car_250701_2310\sm_car_250701_2310_192_Ca149TrN_MaPST_DrSt_ode23t_1.png","figure")</f>
        <v>figure</v>
      </c>
      <c r="Q193" t="s">
        <v>15</v>
      </c>
    </row>
    <row r="194" spans="1:17" x14ac:dyDescent="0.25">
      <c r="A194">
        <v>193</v>
      </c>
      <c r="B194">
        <v>139</v>
      </c>
      <c r="C194" t="s">
        <v>45</v>
      </c>
      <c r="D194" t="s">
        <v>17</v>
      </c>
      <c r="E194" t="s">
        <v>18</v>
      </c>
      <c r="F194" t="s">
        <v>19</v>
      </c>
      <c r="G194" t="s">
        <v>26</v>
      </c>
      <c r="H194" t="s">
        <v>21</v>
      </c>
      <c r="I194" t="s">
        <v>70</v>
      </c>
      <c r="J194" t="s">
        <v>148</v>
      </c>
      <c r="K194" t="s">
        <v>23</v>
      </c>
      <c r="L194">
        <v>1545</v>
      </c>
      <c r="M194" s="10">
        <v>39.009064700000003</v>
      </c>
      <c r="N194" s="10">
        <v>36.557821659259552</v>
      </c>
      <c r="O194" s="10">
        <v>0.22489646533355348</v>
      </c>
      <c r="P194" s="1" t="str">
        <f>HYPERLINK(".\sm_car_250701_2310\sm_car_250701_2310_193_Ca139TrN_MaSKD_DrSt_ode23t_1.png","figure")</f>
        <v>figure</v>
      </c>
      <c r="Q194" t="s">
        <v>15</v>
      </c>
    </row>
    <row r="195" spans="1:17" x14ac:dyDescent="0.25">
      <c r="A195">
        <v>194</v>
      </c>
      <c r="B195">
        <v>139</v>
      </c>
      <c r="C195" t="s">
        <v>45</v>
      </c>
      <c r="D195" t="s">
        <v>17</v>
      </c>
      <c r="E195" t="s">
        <v>18</v>
      </c>
      <c r="F195" t="s">
        <v>19</v>
      </c>
      <c r="G195" t="s">
        <v>26</v>
      </c>
      <c r="H195" t="s">
        <v>21</v>
      </c>
      <c r="I195" t="s">
        <v>71</v>
      </c>
      <c r="J195" t="s">
        <v>148</v>
      </c>
      <c r="K195" t="s">
        <v>23</v>
      </c>
      <c r="L195">
        <v>855</v>
      </c>
      <c r="M195" s="10">
        <v>22.219593100000001</v>
      </c>
      <c r="N195" s="10">
        <v>-1.507731788267666</v>
      </c>
      <c r="O195" s="10">
        <v>21.376728123528693</v>
      </c>
      <c r="P195" s="1" t="str">
        <f>HYPERLINK(".\sm_car_250701_2310\sm_car_250701_2310_194_Ca139TrN_MaRAD_DrSt_ode23t_1.png","figure")</f>
        <v>figure</v>
      </c>
      <c r="Q195" t="s">
        <v>15</v>
      </c>
    </row>
    <row r="196" spans="1:17" x14ac:dyDescent="0.25">
      <c r="A196">
        <v>195</v>
      </c>
      <c r="B196">
        <v>184</v>
      </c>
      <c r="C196" t="s">
        <v>105</v>
      </c>
      <c r="D196" t="s">
        <v>120</v>
      </c>
      <c r="E196" t="s">
        <v>49</v>
      </c>
      <c r="F196" t="s">
        <v>19</v>
      </c>
      <c r="G196" t="s">
        <v>20</v>
      </c>
      <c r="H196" t="s">
        <v>21</v>
      </c>
      <c r="I196" t="s">
        <v>70</v>
      </c>
      <c r="J196" t="s">
        <v>148</v>
      </c>
      <c r="K196" t="s">
        <v>23</v>
      </c>
      <c r="L196">
        <v>1306</v>
      </c>
      <c r="M196" s="10">
        <v>50.1689522</v>
      </c>
      <c r="N196" s="10">
        <v>36.821075002833204</v>
      </c>
      <c r="O196" s="10">
        <v>0.14752763982252137</v>
      </c>
      <c r="P196" s="1" t="str">
        <f>HYPERLINK(".\sm_car_250701_2310\sm_car_250701_2310_195_Ca184TrN_MaSKD_DrSt_ode23t_1.png","figure")</f>
        <v>figure</v>
      </c>
      <c r="Q196" t="s">
        <v>15</v>
      </c>
    </row>
    <row r="197" spans="1:17" x14ac:dyDescent="0.25">
      <c r="A197">
        <v>196</v>
      </c>
      <c r="B197">
        <v>184</v>
      </c>
      <c r="C197" t="s">
        <v>105</v>
      </c>
      <c r="D197" t="s">
        <v>120</v>
      </c>
      <c r="E197" t="s">
        <v>49</v>
      </c>
      <c r="F197" t="s">
        <v>19</v>
      </c>
      <c r="G197" t="s">
        <v>20</v>
      </c>
      <c r="H197" t="s">
        <v>21</v>
      </c>
      <c r="I197" t="s">
        <v>71</v>
      </c>
      <c r="J197" t="s">
        <v>148</v>
      </c>
      <c r="K197" t="s">
        <v>23</v>
      </c>
      <c r="L197">
        <v>641</v>
      </c>
      <c r="M197" s="10">
        <v>24.238979499999999</v>
      </c>
      <c r="N197" s="10">
        <v>7.429075002345364</v>
      </c>
      <c r="O197" s="10">
        <v>7.4285967502062453</v>
      </c>
      <c r="P197" s="1" t="str">
        <f>HYPERLINK(".\sm_car_250701_2310\sm_car_250701_2310_196_Ca184TrN_MaRAD_DrSt_ode23t_1.png","figure")</f>
        <v>figure</v>
      </c>
      <c r="Q197" t="s">
        <v>15</v>
      </c>
    </row>
    <row r="198" spans="1:17" x14ac:dyDescent="0.25">
      <c r="A198">
        <v>197</v>
      </c>
      <c r="B198">
        <v>198</v>
      </c>
      <c r="C198" t="s">
        <v>105</v>
      </c>
      <c r="D198" t="s">
        <v>120</v>
      </c>
      <c r="E198" t="s">
        <v>107</v>
      </c>
      <c r="F198" t="s">
        <v>19</v>
      </c>
      <c r="G198" t="s">
        <v>20</v>
      </c>
      <c r="H198" t="s">
        <v>21</v>
      </c>
      <c r="I198" t="s">
        <v>70</v>
      </c>
      <c r="J198" t="s">
        <v>148</v>
      </c>
      <c r="K198" t="s">
        <v>23</v>
      </c>
      <c r="L198">
        <v>1408</v>
      </c>
      <c r="M198" s="10">
        <v>30.662308199999998</v>
      </c>
      <c r="N198" s="10">
        <v>36.813542642119387</v>
      </c>
      <c r="O198" s="10">
        <v>0.14771635611911046</v>
      </c>
      <c r="P198" s="1" t="str">
        <f>HYPERLINK(".\sm_car_250701_2310\sm_car_250701_2310_197_Ca198TrN_MaSKD_DrSt_ode23t_1.png","figure")</f>
        <v>figure</v>
      </c>
      <c r="Q198" t="s">
        <v>15</v>
      </c>
    </row>
    <row r="199" spans="1:17" x14ac:dyDescent="0.25">
      <c r="A199">
        <v>198</v>
      </c>
      <c r="B199">
        <v>198</v>
      </c>
      <c r="C199" t="s">
        <v>105</v>
      </c>
      <c r="D199" t="s">
        <v>120</v>
      </c>
      <c r="E199" t="s">
        <v>107</v>
      </c>
      <c r="F199" t="s">
        <v>19</v>
      </c>
      <c r="G199" t="s">
        <v>20</v>
      </c>
      <c r="H199" t="s">
        <v>21</v>
      </c>
      <c r="I199" t="s">
        <v>71</v>
      </c>
      <c r="J199" t="s">
        <v>148</v>
      </c>
      <c r="K199" t="s">
        <v>23</v>
      </c>
      <c r="L199">
        <v>692</v>
      </c>
      <c r="M199" s="10">
        <v>14.8671791</v>
      </c>
      <c r="N199" s="10">
        <v>7.4918077633559754</v>
      </c>
      <c r="O199" s="10">
        <v>7.3292517510498492</v>
      </c>
      <c r="P199" s="1" t="str">
        <f>HYPERLINK(".\sm_car_250701_2310\sm_car_250701_2310_198_Ca198TrN_MaRAD_DrSt_ode23t_1.png","figure")</f>
        <v>figure</v>
      </c>
      <c r="Q199" t="s">
        <v>15</v>
      </c>
    </row>
    <row r="200" spans="1:17" x14ac:dyDescent="0.25">
      <c r="A200">
        <v>199</v>
      </c>
      <c r="B200">
        <v>189</v>
      </c>
      <c r="C200" t="s">
        <v>45</v>
      </c>
      <c r="D200" t="s">
        <v>17</v>
      </c>
      <c r="E200" t="s">
        <v>107</v>
      </c>
      <c r="F200" t="s">
        <v>19</v>
      </c>
      <c r="G200" t="s">
        <v>26</v>
      </c>
      <c r="H200" t="s">
        <v>21</v>
      </c>
      <c r="I200" t="s">
        <v>132</v>
      </c>
      <c r="J200" t="s">
        <v>148</v>
      </c>
      <c r="K200" t="s">
        <v>23</v>
      </c>
      <c r="L200">
        <v>561</v>
      </c>
      <c r="M200" s="10">
        <v>11.05269</v>
      </c>
      <c r="N200" s="10">
        <v>134.48909057475859</v>
      </c>
      <c r="O200" s="10">
        <v>-15.426371648709138</v>
      </c>
      <c r="P200" s="1" t="str">
        <f>HYPERLINK(".\sm_car_250701_2310\sm_car_250701_2310_199_Ca189TrN_MaFSH_DrSt_ode23t_1.png","figure")</f>
        <v>figure</v>
      </c>
      <c r="Q200" t="s">
        <v>15</v>
      </c>
    </row>
    <row r="201" spans="1:17" x14ac:dyDescent="0.25">
      <c r="A201">
        <v>200</v>
      </c>
      <c r="B201">
        <v>189</v>
      </c>
      <c r="C201" t="s">
        <v>45</v>
      </c>
      <c r="D201" t="s">
        <v>17</v>
      </c>
      <c r="E201" t="s">
        <v>107</v>
      </c>
      <c r="F201" t="s">
        <v>19</v>
      </c>
      <c r="G201" t="s">
        <v>26</v>
      </c>
      <c r="H201" t="s">
        <v>21</v>
      </c>
      <c r="I201" t="s">
        <v>133</v>
      </c>
      <c r="J201" t="s">
        <v>148</v>
      </c>
      <c r="K201" t="s">
        <v>23</v>
      </c>
      <c r="L201">
        <v>427</v>
      </c>
      <c r="M201" s="10">
        <v>6.6358895999999996</v>
      </c>
      <c r="N201" s="10">
        <v>131.22225252311284</v>
      </c>
      <c r="O201" s="10">
        <v>-8.9923099126622059</v>
      </c>
      <c r="P201" s="1" t="str">
        <f>HYPERLINK(".\sm_car_250701_2310\sm_car_250701_2310_200_Ca189TrN_MaSWD_DrSt_ode23t_1.png","figure")</f>
        <v>figure</v>
      </c>
      <c r="Q201" t="s">
        <v>15</v>
      </c>
    </row>
    <row r="202" spans="1:17" x14ac:dyDescent="0.25">
      <c r="A202">
        <v>201</v>
      </c>
      <c r="B202">
        <v>189</v>
      </c>
      <c r="C202" t="s">
        <v>45</v>
      </c>
      <c r="D202" t="s">
        <v>17</v>
      </c>
      <c r="E202" t="s">
        <v>107</v>
      </c>
      <c r="F202" t="s">
        <v>19</v>
      </c>
      <c r="G202" t="s">
        <v>26</v>
      </c>
      <c r="H202" t="s">
        <v>21</v>
      </c>
      <c r="I202" t="s">
        <v>134</v>
      </c>
      <c r="J202" t="s">
        <v>148</v>
      </c>
      <c r="K202" t="s">
        <v>23</v>
      </c>
      <c r="L202">
        <v>437</v>
      </c>
      <c r="M202" s="10">
        <v>8.0554520000000007</v>
      </c>
      <c r="N202" s="10">
        <v>114.89094819774496</v>
      </c>
      <c r="O202" s="10">
        <v>18.121918764737099</v>
      </c>
      <c r="P202" s="1" t="str">
        <f>HYPERLINK(".\sm_car_250701_2310\sm_car_250701_2310_201_Ca189TrN_MaRST_DrSt_ode23t_1.png","figure")</f>
        <v>figure</v>
      </c>
      <c r="Q202" t="s">
        <v>15</v>
      </c>
    </row>
    <row r="203" spans="1:17" x14ac:dyDescent="0.25">
      <c r="A203">
        <v>202</v>
      </c>
      <c r="B203">
        <v>189</v>
      </c>
      <c r="C203" t="s">
        <v>45</v>
      </c>
      <c r="D203" t="s">
        <v>17</v>
      </c>
      <c r="E203" t="s">
        <v>107</v>
      </c>
      <c r="F203" t="s">
        <v>19</v>
      </c>
      <c r="G203" t="s">
        <v>26</v>
      </c>
      <c r="H203" t="s">
        <v>21</v>
      </c>
      <c r="I203" t="s">
        <v>135</v>
      </c>
      <c r="J203" t="s">
        <v>148</v>
      </c>
      <c r="K203" t="s">
        <v>23</v>
      </c>
      <c r="L203">
        <v>582</v>
      </c>
      <c r="M203" s="10">
        <v>21.033698000000001</v>
      </c>
      <c r="N203" s="10">
        <v>227.90917874413441</v>
      </c>
      <c r="O203" s="10">
        <v>7.0948989120445033E-2</v>
      </c>
      <c r="P203" s="1" t="str">
        <f>HYPERLINK(".\sm_car_250701_2310\sm_car_250701_2310_202_Ca189TrN_MaSLA_DrSt_ode23t_1.png","figure")</f>
        <v>figure</v>
      </c>
      <c r="Q203" t="s">
        <v>15</v>
      </c>
    </row>
    <row r="204" spans="1:17" x14ac:dyDescent="0.25">
      <c r="A204">
        <v>203</v>
      </c>
      <c r="B204">
        <v>218</v>
      </c>
      <c r="C204" t="s">
        <v>16</v>
      </c>
      <c r="D204" t="s">
        <v>128</v>
      </c>
      <c r="E204" t="s">
        <v>107</v>
      </c>
      <c r="F204" t="s">
        <v>19</v>
      </c>
      <c r="G204" t="s">
        <v>26</v>
      </c>
      <c r="H204" t="s">
        <v>21</v>
      </c>
      <c r="I204" t="s">
        <v>132</v>
      </c>
      <c r="J204" t="s">
        <v>148</v>
      </c>
      <c r="K204" t="s">
        <v>23</v>
      </c>
      <c r="L204">
        <v>573</v>
      </c>
      <c r="M204" s="10">
        <v>8.1396326000000006</v>
      </c>
      <c r="N204" s="10">
        <v>104.15394223661426</v>
      </c>
      <c r="O204" s="10">
        <v>-21.988069785772819</v>
      </c>
      <c r="P204" s="1" t="str">
        <f>HYPERLINK(".\sm_car_250701_2310\sm_car_250701_2310_203_Ca218TrN_MaFSH_DrSt_ode23t_1.png","figure")</f>
        <v>figure</v>
      </c>
      <c r="Q204" t="s">
        <v>15</v>
      </c>
    </row>
    <row r="205" spans="1:17" x14ac:dyDescent="0.25">
      <c r="A205">
        <v>204</v>
      </c>
      <c r="B205">
        <v>218</v>
      </c>
      <c r="C205" t="s">
        <v>16</v>
      </c>
      <c r="D205" t="s">
        <v>128</v>
      </c>
      <c r="E205" t="s">
        <v>107</v>
      </c>
      <c r="F205" t="s">
        <v>19</v>
      </c>
      <c r="G205" t="s">
        <v>26</v>
      </c>
      <c r="H205" t="s">
        <v>21</v>
      </c>
      <c r="I205" t="s">
        <v>133</v>
      </c>
      <c r="J205" t="s">
        <v>148</v>
      </c>
      <c r="K205" t="s">
        <v>23</v>
      </c>
      <c r="L205">
        <v>456</v>
      </c>
      <c r="M205" s="10">
        <v>6.3349409999999997</v>
      </c>
      <c r="N205" s="10">
        <v>139.043056293109</v>
      </c>
      <c r="O205" s="10">
        <v>-8.8113542193123191</v>
      </c>
      <c r="P205" s="1" t="str">
        <f>HYPERLINK(".\sm_car_250701_2310\sm_car_250701_2310_204_Ca218TrN_MaSWD_DrSt_ode23t_1.png","figure")</f>
        <v>figure</v>
      </c>
      <c r="Q205" t="s">
        <v>15</v>
      </c>
    </row>
    <row r="206" spans="1:17" x14ac:dyDescent="0.25">
      <c r="A206">
        <v>205</v>
      </c>
      <c r="B206">
        <v>218</v>
      </c>
      <c r="C206" t="s">
        <v>16</v>
      </c>
      <c r="D206" t="s">
        <v>128</v>
      </c>
      <c r="E206" t="s">
        <v>107</v>
      </c>
      <c r="F206" t="s">
        <v>19</v>
      </c>
      <c r="G206" t="s">
        <v>26</v>
      </c>
      <c r="H206" t="s">
        <v>21</v>
      </c>
      <c r="I206" t="s">
        <v>134</v>
      </c>
      <c r="J206" t="s">
        <v>148</v>
      </c>
      <c r="K206" t="s">
        <v>23</v>
      </c>
      <c r="L206">
        <v>386</v>
      </c>
      <c r="M206" s="10">
        <v>5.5129606999999998</v>
      </c>
      <c r="N206" s="10">
        <v>104.66661979669865</v>
      </c>
      <c r="O206" s="10">
        <v>29.483609190187433</v>
      </c>
      <c r="P206" s="1" t="str">
        <f>HYPERLINK(".\sm_car_250701_2310\sm_car_250701_2310_205_Ca218TrN_MaRST_DrSt_ode23t_1.png","figure")</f>
        <v>figure</v>
      </c>
      <c r="Q206" t="s">
        <v>15</v>
      </c>
    </row>
    <row r="207" spans="1:17" x14ac:dyDescent="0.25">
      <c r="A207">
        <v>206</v>
      </c>
      <c r="B207">
        <v>218</v>
      </c>
      <c r="C207" t="s">
        <v>16</v>
      </c>
      <c r="D207" t="s">
        <v>128</v>
      </c>
      <c r="E207" t="s">
        <v>107</v>
      </c>
      <c r="F207" t="s">
        <v>19</v>
      </c>
      <c r="G207" t="s">
        <v>26</v>
      </c>
      <c r="H207" t="s">
        <v>21</v>
      </c>
      <c r="I207" t="s">
        <v>135</v>
      </c>
      <c r="J207" t="s">
        <v>148</v>
      </c>
      <c r="K207" t="s">
        <v>23</v>
      </c>
      <c r="L207">
        <v>659</v>
      </c>
      <c r="M207" s="10">
        <v>18.771212999999999</v>
      </c>
      <c r="N207" s="10">
        <v>228.00934249079162</v>
      </c>
      <c r="O207" s="10">
        <v>6.7217974310206888E-2</v>
      </c>
      <c r="P207" s="1" t="str">
        <f>HYPERLINK(".\sm_car_250701_2310\sm_car_250701_2310_206_Ca218TrN_MaSLA_DrSt_ode23t_1.png","figure")</f>
        <v>figure</v>
      </c>
      <c r="Q207" t="s">
        <v>15</v>
      </c>
    </row>
    <row r="208" spans="1:17" x14ac:dyDescent="0.25">
      <c r="A208">
        <v>207</v>
      </c>
      <c r="B208">
        <v>156</v>
      </c>
      <c r="C208" t="s">
        <v>45</v>
      </c>
      <c r="D208" t="s">
        <v>17</v>
      </c>
      <c r="E208" t="s">
        <v>18</v>
      </c>
      <c r="F208" t="s">
        <v>19</v>
      </c>
      <c r="G208" t="s">
        <v>38</v>
      </c>
      <c r="H208" t="s">
        <v>21</v>
      </c>
      <c r="I208" t="s">
        <v>54</v>
      </c>
      <c r="J208" t="s">
        <v>148</v>
      </c>
      <c r="K208" t="s">
        <v>23</v>
      </c>
      <c r="L208">
        <v>26318</v>
      </c>
      <c r="M208" s="10">
        <v>404.9244109</v>
      </c>
      <c r="N208" s="10">
        <v>19.414066437447758</v>
      </c>
      <c r="O208" s="10">
        <v>2.7139079070805141</v>
      </c>
      <c r="P208" s="1" t="str">
        <f>HYPERLINK(".\sm_car_250701_2310\sm_car_250701_2310_207_Ca156TrN_MaIPA_DrSt_ode23t.png","figure")</f>
        <v>figure</v>
      </c>
      <c r="Q208" t="s">
        <v>15</v>
      </c>
    </row>
    <row r="209" spans="1:17" x14ac:dyDescent="0.25">
      <c r="A209">
        <v>208</v>
      </c>
      <c r="B209">
        <v>130</v>
      </c>
      <c r="C209" t="s">
        <v>16</v>
      </c>
      <c r="D209" t="s">
        <v>17</v>
      </c>
      <c r="E209" t="s">
        <v>18</v>
      </c>
      <c r="F209" t="s">
        <v>19</v>
      </c>
      <c r="G209" t="s">
        <v>38</v>
      </c>
      <c r="H209" t="s">
        <v>21</v>
      </c>
      <c r="I209" t="s">
        <v>54</v>
      </c>
      <c r="J209" t="s">
        <v>148</v>
      </c>
      <c r="K209" t="s">
        <v>23</v>
      </c>
      <c r="L209">
        <v>18379</v>
      </c>
      <c r="M209" s="10">
        <v>272.84841749999998</v>
      </c>
      <c r="N209" s="10">
        <v>16.36945245711226</v>
      </c>
      <c r="O209" s="10">
        <v>0.56684424046172122</v>
      </c>
      <c r="P209" s="1" t="str">
        <f>HYPERLINK(".\sm_car_250701_2310\sm_car_250701_2310_208_Ca130TrN_MaIPA_DrSt_ode23t.png","figure")</f>
        <v>figure</v>
      </c>
      <c r="Q209" t="s">
        <v>15</v>
      </c>
    </row>
    <row r="210" spans="1:17" x14ac:dyDescent="0.25">
      <c r="A210">
        <v>209</v>
      </c>
      <c r="B210">
        <v>171</v>
      </c>
      <c r="C210" t="s">
        <v>45</v>
      </c>
      <c r="D210" t="s">
        <v>17</v>
      </c>
      <c r="E210" t="s">
        <v>72</v>
      </c>
      <c r="F210" t="s">
        <v>19</v>
      </c>
      <c r="G210" t="s">
        <v>26</v>
      </c>
      <c r="H210" t="s">
        <v>21</v>
      </c>
      <c r="I210" t="s">
        <v>73</v>
      </c>
      <c r="J210" t="s">
        <v>148</v>
      </c>
      <c r="K210" t="s">
        <v>23</v>
      </c>
      <c r="L210">
        <v>1370</v>
      </c>
      <c r="M210" s="10">
        <v>25.4130936</v>
      </c>
      <c r="N210" s="10">
        <v>338.70299408615864</v>
      </c>
      <c r="O210" s="10">
        <v>0.69507929594247353</v>
      </c>
      <c r="P210" s="1" t="str">
        <f>HYPERLINK(".\sm_car_250701_2310\sm_car_250701_2310_209_Ca171TrN_MaRDP_DrSt_ode23t_1.png","figure")</f>
        <v>figure</v>
      </c>
      <c r="Q210" t="s">
        <v>15</v>
      </c>
    </row>
    <row r="211" spans="1:17" x14ac:dyDescent="0.25">
      <c r="A211">
        <v>210</v>
      </c>
      <c r="B211">
        <v>172</v>
      </c>
      <c r="C211" t="s">
        <v>46</v>
      </c>
      <c r="D211" t="s">
        <v>17</v>
      </c>
      <c r="E211" t="s">
        <v>72</v>
      </c>
      <c r="F211" t="s">
        <v>19</v>
      </c>
      <c r="G211" t="s">
        <v>26</v>
      </c>
      <c r="H211" t="s">
        <v>21</v>
      </c>
      <c r="I211" t="s">
        <v>73</v>
      </c>
      <c r="J211" t="s">
        <v>148</v>
      </c>
      <c r="K211" t="s">
        <v>23</v>
      </c>
      <c r="L211">
        <v>1239</v>
      </c>
      <c r="M211" s="10">
        <v>12.705300100000001</v>
      </c>
      <c r="N211" s="10">
        <v>137.31324907911886</v>
      </c>
      <c r="O211" s="10">
        <v>3.6867395266246723E-2</v>
      </c>
      <c r="P211" s="1" t="str">
        <f>HYPERLINK(".\sm_car_250701_2310\sm_car_250701_2310_210_Ca172TrN_MaRDP_DrSt_ode23t_1.png","figure")</f>
        <v>figure</v>
      </c>
      <c r="Q211" t="s">
        <v>15</v>
      </c>
    </row>
    <row r="212" spans="1:17" x14ac:dyDescent="0.25">
      <c r="A212">
        <v>211</v>
      </c>
      <c r="B212">
        <v>139</v>
      </c>
      <c r="C212" t="s">
        <v>45</v>
      </c>
      <c r="D212" t="s">
        <v>17</v>
      </c>
      <c r="E212" t="s">
        <v>18</v>
      </c>
      <c r="F212" t="s">
        <v>19</v>
      </c>
      <c r="G212" t="s">
        <v>26</v>
      </c>
      <c r="H212" t="s">
        <v>21</v>
      </c>
      <c r="I212" t="s">
        <v>74</v>
      </c>
      <c r="J212" t="s">
        <v>148</v>
      </c>
      <c r="K212" t="s">
        <v>23</v>
      </c>
      <c r="L212">
        <v>1437</v>
      </c>
      <c r="M212" s="10">
        <v>19.1451131</v>
      </c>
      <c r="N212" s="10">
        <v>364.59408165534882</v>
      </c>
      <c r="O212" s="10">
        <v>0.74703279937509426</v>
      </c>
      <c r="P212" s="1" t="str">
        <f>HYPERLINK(".\sm_car_250701_2310\sm_car_250701_2310_211_Ca139TrN_MaZPL_DrSt_ode23t_1.png","figure")</f>
        <v>figure</v>
      </c>
      <c r="Q212" t="s">
        <v>15</v>
      </c>
    </row>
    <row r="213" spans="1:17" x14ac:dyDescent="0.25">
      <c r="A213">
        <v>212</v>
      </c>
      <c r="B213">
        <v>165</v>
      </c>
      <c r="C213" t="s">
        <v>45</v>
      </c>
      <c r="D213" t="s">
        <v>35</v>
      </c>
      <c r="E213" t="s">
        <v>49</v>
      </c>
      <c r="F213" t="s">
        <v>19</v>
      </c>
      <c r="G213" t="s">
        <v>26</v>
      </c>
      <c r="H213" t="s">
        <v>21</v>
      </c>
      <c r="I213" t="s">
        <v>74</v>
      </c>
      <c r="J213" t="s">
        <v>148</v>
      </c>
      <c r="K213" t="s">
        <v>23</v>
      </c>
      <c r="L213">
        <v>2085</v>
      </c>
      <c r="M213" s="10">
        <v>10.879998000000001</v>
      </c>
      <c r="N213" s="10">
        <v>397.61468796591959</v>
      </c>
      <c r="O213" s="10">
        <v>0.34020889873195742</v>
      </c>
      <c r="P213" s="1" t="str">
        <f>HYPERLINK(".\sm_car_250701_2310\sm_car_250701_2310_212_Ca165TrN_MaZPL_DrSt_ode23t_1.png","figure")</f>
        <v>figure</v>
      </c>
      <c r="Q213" t="s">
        <v>15</v>
      </c>
    </row>
    <row r="214" spans="1:17" x14ac:dyDescent="0.25">
      <c r="A214">
        <v>213</v>
      </c>
      <c r="B214">
        <v>171</v>
      </c>
      <c r="C214" t="s">
        <v>45</v>
      </c>
      <c r="D214" t="s">
        <v>17</v>
      </c>
      <c r="E214" t="s">
        <v>72</v>
      </c>
      <c r="F214" t="s">
        <v>19</v>
      </c>
      <c r="G214" t="s">
        <v>26</v>
      </c>
      <c r="H214" t="s">
        <v>21</v>
      </c>
      <c r="I214" t="s">
        <v>74</v>
      </c>
      <c r="J214" t="s">
        <v>148</v>
      </c>
      <c r="K214" t="s">
        <v>23</v>
      </c>
      <c r="L214">
        <v>1477</v>
      </c>
      <c r="M214" s="10">
        <v>24.294374699999999</v>
      </c>
      <c r="N214" s="10">
        <v>364.26821920110206</v>
      </c>
      <c r="O214" s="10">
        <v>0.76658452668842181</v>
      </c>
      <c r="P214" s="1" t="str">
        <f>HYPERLINK(".\sm_car_250701_2310\sm_car_250701_2310_213_Ca171TrN_MaZPL_DrSt_ode23t_1.png","figure")</f>
        <v>figure</v>
      </c>
      <c r="Q214" t="s">
        <v>15</v>
      </c>
    </row>
    <row r="215" spans="1:17" x14ac:dyDescent="0.25">
      <c r="A215">
        <v>214</v>
      </c>
      <c r="B215">
        <v>165</v>
      </c>
      <c r="C215" t="s">
        <v>45</v>
      </c>
      <c r="D215" t="s">
        <v>35</v>
      </c>
      <c r="E215" t="s">
        <v>49</v>
      </c>
      <c r="F215" t="s">
        <v>19</v>
      </c>
      <c r="G215" t="s">
        <v>26</v>
      </c>
      <c r="H215" t="s">
        <v>21</v>
      </c>
      <c r="I215" t="s">
        <v>75</v>
      </c>
      <c r="J215" t="s">
        <v>148</v>
      </c>
      <c r="K215" t="s">
        <v>23</v>
      </c>
      <c r="L215">
        <v>508</v>
      </c>
      <c r="M215" s="10">
        <v>4.7849008</v>
      </c>
      <c r="N215" s="10">
        <v>378.2755360602157</v>
      </c>
      <c r="O215" s="10">
        <v>0.32748422660053694</v>
      </c>
      <c r="P215" s="1" t="str">
        <f>HYPERLINK(".\sm_car_250701_2310\sm_car_250701_2310_214_Ca165TrN_MaCPL_DrSt_ode23t_1.png","figure")</f>
        <v>figure</v>
      </c>
      <c r="Q215" t="s">
        <v>15</v>
      </c>
    </row>
    <row r="216" spans="1:17" x14ac:dyDescent="0.25">
      <c r="A216">
        <v>215</v>
      </c>
      <c r="B216">
        <v>170</v>
      </c>
      <c r="C216" t="s">
        <v>45</v>
      </c>
      <c r="D216" t="s">
        <v>35</v>
      </c>
      <c r="E216" t="s">
        <v>49</v>
      </c>
      <c r="F216" t="s">
        <v>19</v>
      </c>
      <c r="G216" t="s">
        <v>20</v>
      </c>
      <c r="H216" t="s">
        <v>21</v>
      </c>
      <c r="I216" t="s">
        <v>75</v>
      </c>
      <c r="J216" t="s">
        <v>148</v>
      </c>
      <c r="K216" t="s">
        <v>23</v>
      </c>
      <c r="L216">
        <v>470</v>
      </c>
      <c r="M216" s="10">
        <v>3.4962257000000001</v>
      </c>
      <c r="N216" s="10">
        <v>381.42969780778117</v>
      </c>
      <c r="O216" s="10">
        <v>0.33424114293474594</v>
      </c>
      <c r="P216" s="1" t="str">
        <f>HYPERLINK(".\sm_car_250701_2310\sm_car_250701_2310_215_Ca170TrN_MaCPL_DrSt_ode23t_1.png","figure")</f>
        <v>figure</v>
      </c>
      <c r="Q216" t="s">
        <v>15</v>
      </c>
    </row>
    <row r="217" spans="1:17" x14ac:dyDescent="0.25">
      <c r="A217">
        <v>216</v>
      </c>
      <c r="B217">
        <v>171</v>
      </c>
      <c r="C217" t="s">
        <v>45</v>
      </c>
      <c r="D217" t="s">
        <v>17</v>
      </c>
      <c r="E217" t="s">
        <v>72</v>
      </c>
      <c r="F217" t="s">
        <v>19</v>
      </c>
      <c r="G217" t="s">
        <v>26</v>
      </c>
      <c r="H217" t="s">
        <v>21</v>
      </c>
      <c r="I217" t="s">
        <v>76</v>
      </c>
      <c r="J217" t="s">
        <v>148</v>
      </c>
      <c r="K217" t="s">
        <v>23</v>
      </c>
      <c r="L217">
        <v>2775</v>
      </c>
      <c r="M217" s="10">
        <v>47.033506000000003</v>
      </c>
      <c r="N217" s="10">
        <v>167.29368865952227</v>
      </c>
      <c r="O217" s="10">
        <v>9.8414402922425578E-4</v>
      </c>
      <c r="P217" s="1" t="str">
        <f>HYPERLINK(".\sm_car_250701_2310\sm_car_250701_2310_216_Ca171TrN_MaRDR_DrSt_ode23t_1.png","figure")</f>
        <v>figure</v>
      </c>
      <c r="Q217" t="s">
        <v>15</v>
      </c>
    </row>
    <row r="218" spans="1:17" x14ac:dyDescent="0.25">
      <c r="A218">
        <v>217</v>
      </c>
      <c r="B218">
        <v>172</v>
      </c>
      <c r="C218" t="s">
        <v>46</v>
      </c>
      <c r="D218" t="s">
        <v>17</v>
      </c>
      <c r="E218" t="s">
        <v>72</v>
      </c>
      <c r="F218" t="s">
        <v>19</v>
      </c>
      <c r="G218" t="s">
        <v>26</v>
      </c>
      <c r="H218" t="s">
        <v>21</v>
      </c>
      <c r="I218" t="s">
        <v>76</v>
      </c>
      <c r="J218" t="s">
        <v>148</v>
      </c>
      <c r="K218" t="s">
        <v>23</v>
      </c>
      <c r="L218">
        <v>3431</v>
      </c>
      <c r="M218" s="10">
        <v>31.5668854</v>
      </c>
      <c r="N218" s="10">
        <v>165.43458108214625</v>
      </c>
      <c r="O218" s="10">
        <v>3.5857488477558186E-4</v>
      </c>
      <c r="P218" s="1" t="str">
        <f>HYPERLINK(".\sm_car_250701_2310\sm_car_250701_2310_217_Ca172TrN_MaRDR_DrSt_ode23t_1.png","figure")</f>
        <v>figure</v>
      </c>
      <c r="Q218" t="s">
        <v>15</v>
      </c>
    </row>
    <row r="219" spans="1:17" x14ac:dyDescent="0.25">
      <c r="A219">
        <v>218</v>
      </c>
      <c r="B219">
        <v>139</v>
      </c>
      <c r="C219" t="s">
        <v>45</v>
      </c>
      <c r="D219" t="s">
        <v>17</v>
      </c>
      <c r="E219" t="s">
        <v>18</v>
      </c>
      <c r="F219" t="s">
        <v>19</v>
      </c>
      <c r="G219" t="s">
        <v>26</v>
      </c>
      <c r="H219" t="s">
        <v>21</v>
      </c>
      <c r="I219" t="s">
        <v>77</v>
      </c>
      <c r="J219" t="s">
        <v>148</v>
      </c>
      <c r="K219" t="s">
        <v>23</v>
      </c>
      <c r="L219">
        <v>2964</v>
      </c>
      <c r="M219" s="10">
        <v>35.930274900000001</v>
      </c>
      <c r="N219" s="10">
        <v>191.42399457797666</v>
      </c>
      <c r="O219" s="10">
        <v>6.9374024973052574E-4</v>
      </c>
      <c r="P219" s="1" t="str">
        <f>HYPERLINK(".\sm_car_250701_2310\sm_car_250701_2310_218_Ca139TrN_MaZRR_DrSt_ode23t_1.png","figure")</f>
        <v>figure</v>
      </c>
      <c r="Q219" t="s">
        <v>15</v>
      </c>
    </row>
    <row r="220" spans="1:17" x14ac:dyDescent="0.25">
      <c r="A220">
        <v>219</v>
      </c>
      <c r="B220">
        <v>165</v>
      </c>
      <c r="C220" t="s">
        <v>45</v>
      </c>
      <c r="D220" t="s">
        <v>35</v>
      </c>
      <c r="E220" t="s">
        <v>49</v>
      </c>
      <c r="F220" t="s">
        <v>19</v>
      </c>
      <c r="G220" t="s">
        <v>26</v>
      </c>
      <c r="H220" t="s">
        <v>21</v>
      </c>
      <c r="I220" t="s">
        <v>77</v>
      </c>
      <c r="J220" t="s">
        <v>148</v>
      </c>
      <c r="K220" t="s">
        <v>23</v>
      </c>
      <c r="L220">
        <v>3450</v>
      </c>
      <c r="M220" s="10">
        <v>20.778017699999999</v>
      </c>
      <c r="N220" s="10">
        <v>191.47020576753414</v>
      </c>
      <c r="O220" s="10">
        <v>5.4970125096918519E-5</v>
      </c>
      <c r="P220" s="1" t="str">
        <f>HYPERLINK(".\sm_car_250701_2310\sm_car_250701_2310_219_Ca165TrN_MaZRR_DrSt_ode23t_1.png","figure")</f>
        <v>figure</v>
      </c>
      <c r="Q220" t="s">
        <v>15</v>
      </c>
    </row>
    <row r="221" spans="1:17" x14ac:dyDescent="0.25">
      <c r="A221">
        <v>220</v>
      </c>
      <c r="B221">
        <v>171</v>
      </c>
      <c r="C221" t="s">
        <v>45</v>
      </c>
      <c r="D221" t="s">
        <v>17</v>
      </c>
      <c r="E221" t="s">
        <v>72</v>
      </c>
      <c r="F221" t="s">
        <v>19</v>
      </c>
      <c r="G221" t="s">
        <v>26</v>
      </c>
      <c r="H221" t="s">
        <v>21</v>
      </c>
      <c r="I221" t="s">
        <v>77</v>
      </c>
      <c r="J221" t="s">
        <v>148</v>
      </c>
      <c r="K221" t="s">
        <v>23</v>
      </c>
      <c r="L221">
        <v>2961</v>
      </c>
      <c r="M221" s="10">
        <v>50.824973999999997</v>
      </c>
      <c r="N221" s="10">
        <v>191.42046759164322</v>
      </c>
      <c r="O221" s="10">
        <v>6.7326743218334994E-4</v>
      </c>
      <c r="P221" s="1" t="str">
        <f>HYPERLINK(".\sm_car_250701_2310\sm_car_250701_2310_220_Ca171TrN_MaZRR_DrSt_ode23t_1.png","figure")</f>
        <v>figure</v>
      </c>
      <c r="Q221" t="s">
        <v>15</v>
      </c>
    </row>
    <row r="222" spans="1:17" x14ac:dyDescent="0.25">
      <c r="A222">
        <v>221</v>
      </c>
      <c r="B222">
        <v>170</v>
      </c>
      <c r="C222" t="s">
        <v>45</v>
      </c>
      <c r="D222" t="s">
        <v>35</v>
      </c>
      <c r="E222" t="s">
        <v>49</v>
      </c>
      <c r="F222" t="s">
        <v>19</v>
      </c>
      <c r="G222" t="s">
        <v>20</v>
      </c>
      <c r="H222" t="s">
        <v>21</v>
      </c>
      <c r="I222" t="s">
        <v>78</v>
      </c>
      <c r="J222" t="s">
        <v>148</v>
      </c>
      <c r="K222" t="s">
        <v>23</v>
      </c>
      <c r="L222">
        <v>6320</v>
      </c>
      <c r="M222" s="10">
        <v>22.588696500000001</v>
      </c>
      <c r="N222" s="10">
        <v>-5.9992063877878552</v>
      </c>
      <c r="O222" s="10">
        <v>-6.3681325258957769E-3</v>
      </c>
      <c r="P222" s="1" t="str">
        <f>HYPERLINK(".\sm_car_250701_2310\sm_car_250701_2310_221_Ca170TrN_MaCMP_DrSt_ode23t_1.png","figure")</f>
        <v>figure</v>
      </c>
      <c r="Q222" t="s">
        <v>15</v>
      </c>
    </row>
    <row r="223" spans="1:17" x14ac:dyDescent="0.25">
      <c r="A223">
        <v>222</v>
      </c>
      <c r="B223">
        <v>170</v>
      </c>
      <c r="C223" t="s">
        <v>45</v>
      </c>
      <c r="D223" t="s">
        <v>35</v>
      </c>
      <c r="E223" t="s">
        <v>49</v>
      </c>
      <c r="F223" t="s">
        <v>19</v>
      </c>
      <c r="G223" t="s">
        <v>20</v>
      </c>
      <c r="H223" t="s">
        <v>21</v>
      </c>
      <c r="I223" t="s">
        <v>79</v>
      </c>
      <c r="J223" t="s">
        <v>148</v>
      </c>
      <c r="K223" t="s">
        <v>23</v>
      </c>
      <c r="L223">
        <v>1621</v>
      </c>
      <c r="M223" s="10">
        <v>12.8590464</v>
      </c>
      <c r="N223" s="10">
        <v>-5.9726147254047275</v>
      </c>
      <c r="O223" s="10">
        <v>-6.4239861019025355E-3</v>
      </c>
      <c r="P223" s="1" t="str">
        <f>HYPERLINK(".\sm_car_250701_2310\sm_car_250701_2310_222_Ca170TrN_MaCMF_DrSt_ode23t_1.png","figure")</f>
        <v>figure</v>
      </c>
      <c r="Q223" t="s">
        <v>15</v>
      </c>
    </row>
    <row r="224" spans="1:17" x14ac:dyDescent="0.25">
      <c r="A224">
        <v>223</v>
      </c>
      <c r="B224">
        <v>170</v>
      </c>
      <c r="C224" t="s">
        <v>45</v>
      </c>
      <c r="D224" t="s">
        <v>35</v>
      </c>
      <c r="E224" t="s">
        <v>49</v>
      </c>
      <c r="F224" t="s">
        <v>19</v>
      </c>
      <c r="G224" t="s">
        <v>20</v>
      </c>
      <c r="H224" t="s">
        <v>21</v>
      </c>
      <c r="I224" t="s">
        <v>80</v>
      </c>
      <c r="J224" t="s">
        <v>148</v>
      </c>
      <c r="K224" t="s">
        <v>23</v>
      </c>
      <c r="L224">
        <v>4481</v>
      </c>
      <c r="M224" s="10">
        <v>53.912140100000002</v>
      </c>
      <c r="N224" s="10">
        <v>-217.82654272029714</v>
      </c>
      <c r="O224" s="10">
        <v>5.9124742716676284</v>
      </c>
      <c r="P224" s="1" t="str">
        <f>HYPERLINK(".\sm_car_250701_2310\sm_car_250701_2310_223_Ca170TrN_MaMPO_DrSt_ode23t_1.png","figure")</f>
        <v>figure</v>
      </c>
      <c r="Q224" t="s">
        <v>15</v>
      </c>
    </row>
    <row r="225" spans="1:17" x14ac:dyDescent="0.25">
      <c r="A225">
        <v>224</v>
      </c>
      <c r="B225">
        <v>170</v>
      </c>
      <c r="C225" t="s">
        <v>45</v>
      </c>
      <c r="D225" t="s">
        <v>35</v>
      </c>
      <c r="E225" t="s">
        <v>49</v>
      </c>
      <c r="F225" t="s">
        <v>19</v>
      </c>
      <c r="G225" t="s">
        <v>20</v>
      </c>
      <c r="H225" t="s">
        <v>21</v>
      </c>
      <c r="I225" t="s">
        <v>81</v>
      </c>
      <c r="J225" t="s">
        <v>148</v>
      </c>
      <c r="K225" t="s">
        <v>23</v>
      </c>
      <c r="L225">
        <v>1242</v>
      </c>
      <c r="M225" s="10">
        <v>20.430753200000002</v>
      </c>
      <c r="N225" s="10">
        <v>-13.822613931336072</v>
      </c>
      <c r="O225" s="10">
        <v>0.21963557848485493</v>
      </c>
      <c r="P225" s="1" t="str">
        <f>HYPERLINK(".\sm_car_250701_2310\sm_car_250701_2310_224_Ca170TrN_MaMCI_DrSt_ode23t_1.png","figure")</f>
        <v>figure</v>
      </c>
      <c r="Q225" t="s">
        <v>15</v>
      </c>
    </row>
    <row r="226" spans="1:17" x14ac:dyDescent="0.25">
      <c r="A226">
        <v>225</v>
      </c>
      <c r="B226">
        <v>170</v>
      </c>
      <c r="C226" t="s">
        <v>45</v>
      </c>
      <c r="D226" t="s">
        <v>35</v>
      </c>
      <c r="E226" t="s">
        <v>49</v>
      </c>
      <c r="F226" t="s">
        <v>19</v>
      </c>
      <c r="G226" t="s">
        <v>20</v>
      </c>
      <c r="H226" t="s">
        <v>21</v>
      </c>
      <c r="I226" t="s">
        <v>110</v>
      </c>
      <c r="J226" t="s">
        <v>148</v>
      </c>
      <c r="K226" t="s">
        <v>23</v>
      </c>
      <c r="L226">
        <v>3703</v>
      </c>
      <c r="M226" s="10">
        <v>26.5357609</v>
      </c>
      <c r="N226" s="10">
        <v>-5.9997035125138698</v>
      </c>
      <c r="O226" s="10">
        <v>-4.6746060950010916E-3</v>
      </c>
      <c r="P226" s="1" t="str">
        <f>HYPERLINK(".\sm_car_250701_2310\sm_car_250701_2310_225_Ca170TrN_MaCHO_DrSt_ode23t_1.png","figure")</f>
        <v>figure</v>
      </c>
      <c r="Q226" t="s">
        <v>15</v>
      </c>
    </row>
    <row r="227" spans="1:17" x14ac:dyDescent="0.25">
      <c r="A227">
        <v>226</v>
      </c>
      <c r="B227">
        <v>170</v>
      </c>
      <c r="C227" t="s">
        <v>45</v>
      </c>
      <c r="D227" t="s">
        <v>35</v>
      </c>
      <c r="E227" t="s">
        <v>49</v>
      </c>
      <c r="F227" t="s">
        <v>19</v>
      </c>
      <c r="G227" t="s">
        <v>20</v>
      </c>
      <c r="H227" t="s">
        <v>21</v>
      </c>
      <c r="I227" t="s">
        <v>111</v>
      </c>
      <c r="J227" t="s">
        <v>148</v>
      </c>
      <c r="K227" t="s">
        <v>23</v>
      </c>
      <c r="L227">
        <v>2519</v>
      </c>
      <c r="M227" s="10">
        <v>27.908130100000001</v>
      </c>
      <c r="N227" s="10">
        <v>-5.9995014406531464</v>
      </c>
      <c r="O227" s="10">
        <v>-4.7615095325073895E-3</v>
      </c>
      <c r="P227" s="1" t="str">
        <f>HYPERLINK(".\sm_car_250701_2310\sm_car_250701_2310_226_Ca170TrN_MaCHF_DrSt_ode23t_1.png","figure")</f>
        <v>figure</v>
      </c>
      <c r="Q227" t="s">
        <v>15</v>
      </c>
    </row>
    <row r="228" spans="1:17" x14ac:dyDescent="0.25">
      <c r="A228">
        <v>227</v>
      </c>
      <c r="B228">
        <v>170</v>
      </c>
      <c r="C228" t="s">
        <v>45</v>
      </c>
      <c r="D228" t="s">
        <v>35</v>
      </c>
      <c r="E228" t="s">
        <v>49</v>
      </c>
      <c r="F228" t="s">
        <v>19</v>
      </c>
      <c r="G228" t="s">
        <v>20</v>
      </c>
      <c r="H228" t="s">
        <v>21</v>
      </c>
      <c r="I228" t="s">
        <v>82</v>
      </c>
      <c r="J228" t="s">
        <v>148</v>
      </c>
      <c r="K228" t="s">
        <v>23</v>
      </c>
      <c r="L228">
        <v>4759</v>
      </c>
      <c r="M228" s="10">
        <v>36.172842600000003</v>
      </c>
      <c r="N228" s="10">
        <v>648.78228913494297</v>
      </c>
      <c r="O228" s="10">
        <v>-151.67833704276748</v>
      </c>
      <c r="P228" s="1" t="str">
        <f>HYPERLINK(".\sm_car_250701_2310\sm_car_250701_2310_227_Ca170TrN_MaCKY_DrSt_ode23t_1.png","figure")</f>
        <v>figure</v>
      </c>
      <c r="Q228" t="s">
        <v>15</v>
      </c>
    </row>
    <row r="229" spans="1:17" x14ac:dyDescent="0.25">
      <c r="A229">
        <v>228</v>
      </c>
      <c r="B229">
        <v>170</v>
      </c>
      <c r="C229" t="s">
        <v>45</v>
      </c>
      <c r="D229" t="s">
        <v>35</v>
      </c>
      <c r="E229" t="s">
        <v>49</v>
      </c>
      <c r="F229" t="s">
        <v>19</v>
      </c>
      <c r="G229" t="s">
        <v>20</v>
      </c>
      <c r="H229" t="s">
        <v>21</v>
      </c>
      <c r="I229" t="s">
        <v>83</v>
      </c>
      <c r="J229" t="s">
        <v>148</v>
      </c>
      <c r="K229" t="s">
        <v>23</v>
      </c>
      <c r="L229">
        <v>14665</v>
      </c>
      <c r="M229" s="10">
        <v>186.17108390000001</v>
      </c>
      <c r="N229" s="10">
        <v>-1000.2567590777716</v>
      </c>
      <c r="O229" s="10">
        <v>-352.38675423683179</v>
      </c>
      <c r="P229" s="1" t="str">
        <f>HYPERLINK(".\sm_car_250701_2310\sm_car_250701_2310_228_Ca170TrN_MaCKF_DrSt_ode23t_1.png","figure")</f>
        <v>figure</v>
      </c>
      <c r="Q229" t="s">
        <v>15</v>
      </c>
    </row>
    <row r="230" spans="1:17" x14ac:dyDescent="0.25">
      <c r="A230">
        <v>229</v>
      </c>
      <c r="B230">
        <v>170</v>
      </c>
      <c r="C230" t="s">
        <v>45</v>
      </c>
      <c r="D230" t="s">
        <v>35</v>
      </c>
      <c r="E230" t="s">
        <v>49</v>
      </c>
      <c r="F230" t="s">
        <v>19</v>
      </c>
      <c r="G230" t="s">
        <v>20</v>
      </c>
      <c r="H230" t="s">
        <v>21</v>
      </c>
      <c r="I230" t="s">
        <v>84</v>
      </c>
      <c r="J230" t="s">
        <v>148</v>
      </c>
      <c r="K230" t="s">
        <v>23</v>
      </c>
      <c r="L230">
        <v>2360</v>
      </c>
      <c r="M230" s="10">
        <v>37.438179300000002</v>
      </c>
      <c r="N230" s="10">
        <v>195.70332239612614</v>
      </c>
      <c r="O230" s="10">
        <v>317.19773308655169</v>
      </c>
      <c r="P230" s="1" t="str">
        <f>HYPERLINK(".\sm_car_250701_2310\sm_car_250701_2310_229_Ca170TrN_MaCNN_DrSt_ode23t_1.png","figure")</f>
        <v>figure</v>
      </c>
      <c r="Q230" t="s">
        <v>15</v>
      </c>
    </row>
    <row r="231" spans="1:17" x14ac:dyDescent="0.25">
      <c r="A231">
        <v>230</v>
      </c>
      <c r="B231">
        <v>170</v>
      </c>
      <c r="C231" t="s">
        <v>45</v>
      </c>
      <c r="D231" t="s">
        <v>35</v>
      </c>
      <c r="E231" t="s">
        <v>49</v>
      </c>
      <c r="F231" t="s">
        <v>19</v>
      </c>
      <c r="G231" t="s">
        <v>20</v>
      </c>
      <c r="H231" t="s">
        <v>21</v>
      </c>
      <c r="I231" t="s">
        <v>85</v>
      </c>
      <c r="J231" t="s">
        <v>148</v>
      </c>
      <c r="K231" t="s">
        <v>23</v>
      </c>
      <c r="L231">
        <v>3515</v>
      </c>
      <c r="M231" s="10">
        <v>148.2226258</v>
      </c>
      <c r="N231" s="10">
        <v>2973.1408366943301</v>
      </c>
      <c r="O231" s="10">
        <v>-3085.7903958002298</v>
      </c>
      <c r="P231" s="1" t="str">
        <f>HYPERLINK(".\sm_car_250701_2310\sm_car_250701_2310_230_Ca170TrN_MaCNF_DrSt_ode23t_1.png","figure")</f>
        <v>figure</v>
      </c>
      <c r="Q231" t="s">
        <v>15</v>
      </c>
    </row>
    <row r="232" spans="1:17" x14ac:dyDescent="0.25">
      <c r="A232">
        <v>231</v>
      </c>
      <c r="B232">
        <v>170</v>
      </c>
      <c r="C232" t="s">
        <v>45</v>
      </c>
      <c r="D232" t="s">
        <v>35</v>
      </c>
      <c r="E232" t="s">
        <v>49</v>
      </c>
      <c r="F232" t="s">
        <v>19</v>
      </c>
      <c r="G232" t="s">
        <v>20</v>
      </c>
      <c r="H232" t="s">
        <v>21</v>
      </c>
      <c r="I232" t="s">
        <v>86</v>
      </c>
      <c r="J232" t="s">
        <v>148</v>
      </c>
      <c r="K232" t="s">
        <v>23</v>
      </c>
      <c r="L232">
        <v>3052</v>
      </c>
      <c r="M232" s="10">
        <v>23.631043200000001</v>
      </c>
      <c r="N232" s="10">
        <v>496.56581957586343</v>
      </c>
      <c r="O232" s="10">
        <v>-176.09813869284807</v>
      </c>
      <c r="P232" s="1" t="str">
        <f>HYPERLINK(".\sm_car_250701_2310\sm_car_250701_2310_231_Ca170TrN_MaCSZ_DrSt_ode23t_1.png","figure")</f>
        <v>figure</v>
      </c>
      <c r="Q232" t="s">
        <v>15</v>
      </c>
    </row>
    <row r="233" spans="1:17" x14ac:dyDescent="0.25">
      <c r="A233">
        <v>232</v>
      </c>
      <c r="B233">
        <v>170</v>
      </c>
      <c r="C233" t="s">
        <v>45</v>
      </c>
      <c r="D233" t="s">
        <v>35</v>
      </c>
      <c r="E233" t="s">
        <v>49</v>
      </c>
      <c r="F233" t="s">
        <v>19</v>
      </c>
      <c r="G233" t="s">
        <v>20</v>
      </c>
      <c r="H233" t="s">
        <v>21</v>
      </c>
      <c r="I233" t="s">
        <v>87</v>
      </c>
      <c r="J233" t="s">
        <v>148</v>
      </c>
      <c r="K233" t="s">
        <v>23</v>
      </c>
      <c r="L233">
        <v>5085</v>
      </c>
      <c r="M233" s="10">
        <v>131.73721420000001</v>
      </c>
      <c r="N233" s="10">
        <v>-8.9677774806712023</v>
      </c>
      <c r="O233" s="10">
        <v>7.9069282016357989E-3</v>
      </c>
      <c r="P233" s="1" t="str">
        <f>HYPERLINK(".\sm_car_250701_2310\sm_car_250701_2310_232_Ca170TrN_MaCSF_DrSt_ode23t_1.png","figure")</f>
        <v>figure</v>
      </c>
      <c r="Q233" t="s">
        <v>15</v>
      </c>
    </row>
    <row r="234" spans="1:17" x14ac:dyDescent="0.25">
      <c r="A234">
        <v>233</v>
      </c>
      <c r="B234">
        <v>170</v>
      </c>
      <c r="C234" t="s">
        <v>45</v>
      </c>
      <c r="D234" t="s">
        <v>35</v>
      </c>
      <c r="E234" t="s">
        <v>49</v>
      </c>
      <c r="F234" t="s">
        <v>19</v>
      </c>
      <c r="G234" t="s">
        <v>20</v>
      </c>
      <c r="H234" t="s">
        <v>21</v>
      </c>
      <c r="I234" t="s">
        <v>88</v>
      </c>
      <c r="J234" t="s">
        <v>148</v>
      </c>
      <c r="K234" t="s">
        <v>23</v>
      </c>
      <c r="L234">
        <v>1891</v>
      </c>
      <c r="M234" s="10">
        <v>35.023837800000003</v>
      </c>
      <c r="N234" s="10">
        <v>245.21031403215227</v>
      </c>
      <c r="O234" s="10">
        <v>390.9246303974586</v>
      </c>
      <c r="P234" s="1" t="str">
        <f>HYPERLINK(".\sm_car_250701_2310\sm_car_250701_2310_233_Ca170TrN_MaCPU_DrSt_ode23t_1.png","figure")</f>
        <v>figure</v>
      </c>
      <c r="Q234" t="s">
        <v>15</v>
      </c>
    </row>
    <row r="235" spans="1:17" x14ac:dyDescent="0.25">
      <c r="A235">
        <v>234</v>
      </c>
      <c r="B235">
        <v>170</v>
      </c>
      <c r="C235" t="s">
        <v>45</v>
      </c>
      <c r="D235" t="s">
        <v>35</v>
      </c>
      <c r="E235" t="s">
        <v>49</v>
      </c>
      <c r="F235" t="s">
        <v>19</v>
      </c>
      <c r="G235" t="s">
        <v>20</v>
      </c>
      <c r="H235" t="s">
        <v>21</v>
      </c>
      <c r="I235" t="s">
        <v>89</v>
      </c>
      <c r="J235" t="s">
        <v>148</v>
      </c>
      <c r="K235" t="s">
        <v>23</v>
      </c>
      <c r="L235">
        <v>2779</v>
      </c>
      <c r="M235" s="10">
        <v>93.805607600000002</v>
      </c>
      <c r="N235" s="10">
        <v>185.43641015068056</v>
      </c>
      <c r="O235" s="10">
        <v>-188.68932295590457</v>
      </c>
      <c r="P235" s="1" t="str">
        <f>HYPERLINK(".\sm_car_250701_2310\sm_car_250701_2310_234_Ca170TrN_MaCPD_DrSt_ode23t_1.png","figure")</f>
        <v>figure</v>
      </c>
      <c r="Q235" t="s">
        <v>15</v>
      </c>
    </row>
    <row r="236" spans="1:17" x14ac:dyDescent="0.25">
      <c r="A236">
        <v>235</v>
      </c>
      <c r="B236">
        <v>202</v>
      </c>
      <c r="C236" t="s">
        <v>45</v>
      </c>
      <c r="D236" t="s">
        <v>35</v>
      </c>
      <c r="E236" t="s">
        <v>107</v>
      </c>
      <c r="F236" t="s">
        <v>19</v>
      </c>
      <c r="G236" t="s">
        <v>20</v>
      </c>
      <c r="H236" t="s">
        <v>21</v>
      </c>
      <c r="I236" t="s">
        <v>79</v>
      </c>
      <c r="J236" t="s">
        <v>148</v>
      </c>
      <c r="K236" t="s">
        <v>23</v>
      </c>
      <c r="L236">
        <v>1602</v>
      </c>
      <c r="M236" s="10">
        <v>5.5761878999999999</v>
      </c>
      <c r="N236" s="10">
        <v>-5.9387404608887753</v>
      </c>
      <c r="O236" s="10">
        <v>-6.428879121089119E-3</v>
      </c>
      <c r="P236" s="1" t="str">
        <f>HYPERLINK(".\sm_car_250701_2310\sm_car_250701_2310_235_Ca202TrN_MaCMF_DrSt_ode23t_1.png","figure")</f>
        <v>figure</v>
      </c>
      <c r="Q236" t="s">
        <v>15</v>
      </c>
    </row>
    <row r="237" spans="1:17" x14ac:dyDescent="0.25">
      <c r="A237">
        <v>236</v>
      </c>
      <c r="B237">
        <v>202</v>
      </c>
      <c r="C237" t="s">
        <v>45</v>
      </c>
      <c r="D237" t="s">
        <v>35</v>
      </c>
      <c r="E237" t="s">
        <v>107</v>
      </c>
      <c r="F237" t="s">
        <v>19</v>
      </c>
      <c r="G237" t="s">
        <v>20</v>
      </c>
      <c r="H237" t="s">
        <v>21</v>
      </c>
      <c r="I237" t="s">
        <v>80</v>
      </c>
      <c r="J237" t="s">
        <v>148</v>
      </c>
      <c r="K237" t="s">
        <v>23</v>
      </c>
      <c r="L237">
        <v>4521</v>
      </c>
      <c r="M237" s="10">
        <v>37.102877700000001</v>
      </c>
      <c r="N237" s="10">
        <v>-218.12615282034238</v>
      </c>
      <c r="O237" s="10">
        <v>5.9604853908712521</v>
      </c>
      <c r="P237" s="1" t="str">
        <f>HYPERLINK(".\sm_car_250701_2310\sm_car_250701_2310_236_Ca202TrN_MaMPO_DrSt_ode23t_1.png","figure")</f>
        <v>figure</v>
      </c>
      <c r="Q237" t="s">
        <v>15</v>
      </c>
    </row>
    <row r="238" spans="1:17" x14ac:dyDescent="0.25">
      <c r="A238">
        <v>237</v>
      </c>
      <c r="B238">
        <v>202</v>
      </c>
      <c r="C238" t="s">
        <v>45</v>
      </c>
      <c r="D238" t="s">
        <v>35</v>
      </c>
      <c r="E238" t="s">
        <v>107</v>
      </c>
      <c r="F238" t="s">
        <v>19</v>
      </c>
      <c r="G238" t="s">
        <v>20</v>
      </c>
      <c r="H238" t="s">
        <v>21</v>
      </c>
      <c r="I238" t="s">
        <v>81</v>
      </c>
      <c r="J238" t="s">
        <v>148</v>
      </c>
      <c r="K238" t="s">
        <v>23</v>
      </c>
      <c r="L238">
        <v>1227</v>
      </c>
      <c r="M238" s="10">
        <v>12.6238665</v>
      </c>
      <c r="N238" s="10">
        <v>-13.820527744397076</v>
      </c>
      <c r="O238" s="10">
        <v>0.2205270544912139</v>
      </c>
      <c r="P238" s="1" t="str">
        <f>HYPERLINK(".\sm_car_250701_2310\sm_car_250701_2310_237_Ca202TrN_MaMCI_DrSt_ode23t_1.png","figure")</f>
        <v>figure</v>
      </c>
      <c r="Q238" t="s">
        <v>15</v>
      </c>
    </row>
    <row r="239" spans="1:17" x14ac:dyDescent="0.25">
      <c r="A239">
        <v>238</v>
      </c>
      <c r="B239">
        <v>202</v>
      </c>
      <c r="C239" t="s">
        <v>45</v>
      </c>
      <c r="D239" t="s">
        <v>35</v>
      </c>
      <c r="E239" t="s">
        <v>107</v>
      </c>
      <c r="F239" t="s">
        <v>19</v>
      </c>
      <c r="G239" t="s">
        <v>20</v>
      </c>
      <c r="H239" t="s">
        <v>21</v>
      </c>
      <c r="I239" t="s">
        <v>83</v>
      </c>
      <c r="J239" t="s">
        <v>148</v>
      </c>
      <c r="K239" t="s">
        <v>23</v>
      </c>
      <c r="L239">
        <v>-1</v>
      </c>
      <c r="M239" s="10">
        <v>11.214833799999999</v>
      </c>
      <c r="N239" s="10">
        <v>0</v>
      </c>
      <c r="O239" s="10">
        <v>0</v>
      </c>
      <c r="P239" t="s">
        <v>154</v>
      </c>
      <c r="Q239" t="s">
        <v>155</v>
      </c>
    </row>
    <row r="240" spans="1:17" x14ac:dyDescent="0.25">
      <c r="A240">
        <v>239</v>
      </c>
      <c r="B240">
        <v>202</v>
      </c>
      <c r="C240" t="s">
        <v>45</v>
      </c>
      <c r="D240" t="s">
        <v>35</v>
      </c>
      <c r="E240" t="s">
        <v>107</v>
      </c>
      <c r="F240" t="s">
        <v>19</v>
      </c>
      <c r="G240" t="s">
        <v>20</v>
      </c>
      <c r="H240" t="s">
        <v>21</v>
      </c>
      <c r="I240" t="s">
        <v>85</v>
      </c>
      <c r="J240" t="s">
        <v>148</v>
      </c>
      <c r="K240" t="s">
        <v>23</v>
      </c>
      <c r="L240">
        <v>8198</v>
      </c>
      <c r="M240" s="10">
        <v>217.13517709999999</v>
      </c>
      <c r="N240" s="10">
        <v>-8.9995608230635682</v>
      </c>
      <c r="O240" s="10">
        <v>2.1946744607830408E-2</v>
      </c>
      <c r="P240" s="1" t="str">
        <f>HYPERLINK(".\sm_car_250701_2310\sm_car_250701_2310_239_Ca202TrN_MaCNF_DrSt_ode23t_1.png","figure")</f>
        <v>figure</v>
      </c>
      <c r="Q240" t="s">
        <v>15</v>
      </c>
    </row>
    <row r="241" spans="1:17" x14ac:dyDescent="0.25">
      <c r="A241">
        <v>240</v>
      </c>
      <c r="B241">
        <v>202</v>
      </c>
      <c r="C241" t="s">
        <v>45</v>
      </c>
      <c r="D241" t="s">
        <v>35</v>
      </c>
      <c r="E241" t="s">
        <v>107</v>
      </c>
      <c r="F241" t="s">
        <v>19</v>
      </c>
      <c r="G241" t="s">
        <v>20</v>
      </c>
      <c r="H241" t="s">
        <v>21</v>
      </c>
      <c r="I241" t="s">
        <v>87</v>
      </c>
      <c r="J241" t="s">
        <v>148</v>
      </c>
      <c r="K241" t="s">
        <v>23</v>
      </c>
      <c r="L241">
        <v>5078</v>
      </c>
      <c r="M241" s="10">
        <v>73.262441499999994</v>
      </c>
      <c r="N241" s="10">
        <v>-8.9915528200673567</v>
      </c>
      <c r="O241" s="10">
        <v>8.0433879957483388E-3</v>
      </c>
      <c r="P241" s="1" t="str">
        <f>HYPERLINK(".\sm_car_250701_2310\sm_car_250701_2310_240_Ca202TrN_MaCSF_DrSt_ode23t_1.png","figure")</f>
        <v>figure</v>
      </c>
      <c r="Q241" t="s">
        <v>15</v>
      </c>
    </row>
    <row r="242" spans="1:17" x14ac:dyDescent="0.25">
      <c r="A242">
        <v>241</v>
      </c>
      <c r="B242">
        <v>202</v>
      </c>
      <c r="C242" t="s">
        <v>45</v>
      </c>
      <c r="D242" t="s">
        <v>35</v>
      </c>
      <c r="E242" t="s">
        <v>107</v>
      </c>
      <c r="F242" t="s">
        <v>19</v>
      </c>
      <c r="G242" t="s">
        <v>20</v>
      </c>
      <c r="H242" t="s">
        <v>21</v>
      </c>
      <c r="I242" t="s">
        <v>78</v>
      </c>
      <c r="J242" t="s">
        <v>148</v>
      </c>
      <c r="K242" t="s">
        <v>23</v>
      </c>
      <c r="L242">
        <v>6514</v>
      </c>
      <c r="M242" s="10">
        <v>25.379890499999998</v>
      </c>
      <c r="N242" s="10">
        <v>-5.9999847961934041</v>
      </c>
      <c r="O242" s="10">
        <v>-6.3882434371310467E-3</v>
      </c>
      <c r="P242" s="1" t="str">
        <f>HYPERLINK(".\sm_car_250701_2310\sm_car_250701_2310_241_Ca202TrN_MaCMP_DrSt_ode23t_1.png","figure")</f>
        <v>figure</v>
      </c>
      <c r="Q242" t="s">
        <v>15</v>
      </c>
    </row>
    <row r="243" spans="1:17" x14ac:dyDescent="0.25">
      <c r="A243">
        <v>242</v>
      </c>
      <c r="B243">
        <v>202</v>
      </c>
      <c r="C243" t="s">
        <v>45</v>
      </c>
      <c r="D243" t="s">
        <v>35</v>
      </c>
      <c r="E243" t="s">
        <v>107</v>
      </c>
      <c r="F243" t="s">
        <v>19</v>
      </c>
      <c r="G243" t="s">
        <v>20</v>
      </c>
      <c r="H243" t="s">
        <v>21</v>
      </c>
      <c r="I243" t="s">
        <v>82</v>
      </c>
      <c r="J243" t="s">
        <v>148</v>
      </c>
      <c r="K243" t="s">
        <v>23</v>
      </c>
      <c r="L243">
        <v>-1</v>
      </c>
      <c r="M243" s="10">
        <v>75.648226800000003</v>
      </c>
      <c r="N243" s="10">
        <v>0</v>
      </c>
      <c r="O243" s="10">
        <v>0</v>
      </c>
      <c r="P243" t="s">
        <v>154</v>
      </c>
      <c r="Q243" t="s">
        <v>155</v>
      </c>
    </row>
    <row r="244" spans="1:17" x14ac:dyDescent="0.25">
      <c r="A244">
        <v>243</v>
      </c>
      <c r="B244">
        <v>202</v>
      </c>
      <c r="C244" t="s">
        <v>45</v>
      </c>
      <c r="D244" t="s">
        <v>35</v>
      </c>
      <c r="E244" t="s">
        <v>107</v>
      </c>
      <c r="F244" t="s">
        <v>19</v>
      </c>
      <c r="G244" t="s">
        <v>20</v>
      </c>
      <c r="H244" t="s">
        <v>21</v>
      </c>
      <c r="I244" t="s">
        <v>75</v>
      </c>
      <c r="J244" t="s">
        <v>148</v>
      </c>
      <c r="K244" t="s">
        <v>23</v>
      </c>
      <c r="L244">
        <v>455</v>
      </c>
      <c r="M244" s="10">
        <v>2.5872489000000001</v>
      </c>
      <c r="N244" s="10">
        <v>381.04323470632642</v>
      </c>
      <c r="O244" s="10">
        <v>0.3335145224833066</v>
      </c>
      <c r="P244" s="1" t="str">
        <f>HYPERLINK(".\sm_car_250701_2310\sm_car_250701_2310_243_Ca202TrN_MaCPL_DrSt_ode23t_1.png","figure")</f>
        <v>figure</v>
      </c>
      <c r="Q244" t="s">
        <v>15</v>
      </c>
    </row>
    <row r="245" spans="1:17" x14ac:dyDescent="0.25">
      <c r="A245">
        <v>244</v>
      </c>
      <c r="B245">
        <v>140</v>
      </c>
      <c r="C245" t="s">
        <v>45</v>
      </c>
      <c r="D245" t="s">
        <v>17</v>
      </c>
      <c r="E245" t="s">
        <v>49</v>
      </c>
      <c r="F245" t="s">
        <v>19</v>
      </c>
      <c r="G245" t="s">
        <v>26</v>
      </c>
      <c r="H245" t="s">
        <v>21</v>
      </c>
      <c r="I245" t="s">
        <v>112</v>
      </c>
      <c r="J245" t="s">
        <v>148</v>
      </c>
      <c r="K245" t="s">
        <v>23</v>
      </c>
      <c r="L245">
        <v>2577</v>
      </c>
      <c r="M245" s="10">
        <v>41.073889299999998</v>
      </c>
      <c r="N245" s="10">
        <v>191.36672227005135</v>
      </c>
      <c r="O245" s="10">
        <v>7.2262398475104561E-4</v>
      </c>
      <c r="P245" s="1" t="str">
        <f>HYPERLINK(".\sm_car_250701_2310\sm_car_250701_2310_244_Ca140TrN_MaCRR_DrSt_ode23t_1.png","figure")</f>
        <v>figure</v>
      </c>
      <c r="Q245" t="s">
        <v>15</v>
      </c>
    </row>
    <row r="246" spans="1:17" x14ac:dyDescent="0.25">
      <c r="A246">
        <v>245</v>
      </c>
      <c r="B246">
        <v>189</v>
      </c>
      <c r="C246" t="s">
        <v>45</v>
      </c>
      <c r="D246" t="s">
        <v>17</v>
      </c>
      <c r="E246" t="s">
        <v>107</v>
      </c>
      <c r="F246" t="s">
        <v>19</v>
      </c>
      <c r="G246" t="s">
        <v>26</v>
      </c>
      <c r="H246" t="s">
        <v>21</v>
      </c>
      <c r="I246" t="s">
        <v>112</v>
      </c>
      <c r="J246" t="s">
        <v>148</v>
      </c>
      <c r="K246" t="s">
        <v>23</v>
      </c>
      <c r="L246">
        <v>3239</v>
      </c>
      <c r="M246" s="10">
        <v>39.3638586</v>
      </c>
      <c r="N246" s="10">
        <v>191.37876787167093</v>
      </c>
      <c r="O246" s="10">
        <v>7.2314542821166851E-4</v>
      </c>
      <c r="P246" s="1" t="str">
        <f>HYPERLINK(".\sm_car_250701_2310\sm_car_250701_2310_245_Ca189TrN_MaCRR_DrSt_ode23t_1.png","figure")</f>
        <v>figure</v>
      </c>
      <c r="Q246" t="s">
        <v>15</v>
      </c>
    </row>
    <row r="247" spans="1:17" x14ac:dyDescent="0.25">
      <c r="A247">
        <v>246</v>
      </c>
      <c r="B247">
        <v>173</v>
      </c>
      <c r="C247" t="s">
        <v>45</v>
      </c>
      <c r="D247" t="s">
        <v>35</v>
      </c>
      <c r="E247" t="s">
        <v>49</v>
      </c>
      <c r="F247" t="s">
        <v>19</v>
      </c>
      <c r="G247" t="s">
        <v>90</v>
      </c>
      <c r="H247" t="s">
        <v>21</v>
      </c>
      <c r="I247" t="s">
        <v>91</v>
      </c>
      <c r="J247" t="s">
        <v>148</v>
      </c>
      <c r="K247" t="s">
        <v>92</v>
      </c>
      <c r="L247">
        <v>1646</v>
      </c>
      <c r="M247" s="10">
        <v>69.879466199999996</v>
      </c>
      <c r="N247" s="10">
        <v>51.298870179838786</v>
      </c>
      <c r="O247" s="10">
        <v>9.1602747821765505E-3</v>
      </c>
      <c r="P247" s="1" t="str">
        <f>HYPERLINK(".\sm_car_250701_2310\sm_car_250701_2310_246_Ca173TrN_MaDCA_DrSt_daessc_1.png","figure")</f>
        <v>figure</v>
      </c>
      <c r="Q247" t="s">
        <v>15</v>
      </c>
    </row>
    <row r="248" spans="1:17" x14ac:dyDescent="0.25">
      <c r="A248">
        <v>247</v>
      </c>
      <c r="B248">
        <v>173</v>
      </c>
      <c r="C248" t="s">
        <v>45</v>
      </c>
      <c r="D248" t="s">
        <v>35</v>
      </c>
      <c r="E248" t="s">
        <v>49</v>
      </c>
      <c r="F248" t="s">
        <v>19</v>
      </c>
      <c r="G248" t="s">
        <v>90</v>
      </c>
      <c r="H248" t="s">
        <v>21</v>
      </c>
      <c r="I248" t="s">
        <v>93</v>
      </c>
      <c r="J248" t="s">
        <v>148</v>
      </c>
      <c r="K248" t="s">
        <v>92</v>
      </c>
      <c r="L248">
        <v>4163</v>
      </c>
      <c r="M248" s="10">
        <v>117.27773430000001</v>
      </c>
      <c r="N248" s="10">
        <v>980.46466282281574</v>
      </c>
      <c r="O248" s="10">
        <v>0.73482984112452543</v>
      </c>
      <c r="P248" s="1" t="str">
        <f>HYPERLINK(".\sm_car_250701_2310\sm_car_250701_2310_247_Ca173TrN_MaDC1_DrSt_daessc_1.png","figure")</f>
        <v>figure</v>
      </c>
      <c r="Q248" t="s">
        <v>15</v>
      </c>
    </row>
    <row r="249" spans="1:17" x14ac:dyDescent="0.25">
      <c r="A249">
        <v>248</v>
      </c>
      <c r="B249">
        <v>165</v>
      </c>
      <c r="C249" t="s">
        <v>45</v>
      </c>
      <c r="D249" t="s">
        <v>35</v>
      </c>
      <c r="E249" t="s">
        <v>49</v>
      </c>
      <c r="F249" t="s">
        <v>19</v>
      </c>
      <c r="G249" t="s">
        <v>26</v>
      </c>
      <c r="H249" t="s">
        <v>21</v>
      </c>
      <c r="I249" t="s">
        <v>91</v>
      </c>
      <c r="J249" t="s">
        <v>148</v>
      </c>
      <c r="K249" t="s">
        <v>23</v>
      </c>
      <c r="L249">
        <v>339</v>
      </c>
      <c r="M249" s="10">
        <v>4.4095955</v>
      </c>
      <c r="N249" s="10">
        <v>53.509077075066649</v>
      </c>
      <c r="O249" s="10">
        <v>1.0039275824066019E-2</v>
      </c>
      <c r="P249" s="1" t="str">
        <f>HYPERLINK(".\sm_car_250701_2310\sm_car_250701_2310_248_Ca165TrN_MaDCA_DrSt_ode23t_1.png","figure")</f>
        <v>figure</v>
      </c>
      <c r="Q249" t="s">
        <v>15</v>
      </c>
    </row>
    <row r="250" spans="1:17" x14ac:dyDescent="0.25">
      <c r="A250">
        <v>249</v>
      </c>
      <c r="B250">
        <v>165</v>
      </c>
      <c r="C250" t="s">
        <v>45</v>
      </c>
      <c r="D250" t="s">
        <v>35</v>
      </c>
      <c r="E250" t="s">
        <v>49</v>
      </c>
      <c r="F250" t="s">
        <v>19</v>
      </c>
      <c r="G250" t="s">
        <v>26</v>
      </c>
      <c r="H250" t="s">
        <v>21</v>
      </c>
      <c r="I250" t="s">
        <v>93</v>
      </c>
      <c r="J250" t="s">
        <v>148</v>
      </c>
      <c r="K250" t="s">
        <v>23</v>
      </c>
      <c r="L250">
        <v>1205</v>
      </c>
      <c r="M250" s="10">
        <v>8.3603243999999997</v>
      </c>
      <c r="N250" s="10">
        <v>992.65497886577782</v>
      </c>
      <c r="O250" s="10">
        <v>0.79687187688750794</v>
      </c>
      <c r="P250" s="1" t="str">
        <f>HYPERLINK(".\sm_car_250701_2310\sm_car_250701_2310_249_Ca165TrN_MaDC1_DrSt_ode23t_1.png","figure")</f>
        <v>figure</v>
      </c>
      <c r="Q250" t="s">
        <v>15</v>
      </c>
    </row>
    <row r="251" spans="1:17" x14ac:dyDescent="0.25">
      <c r="A251">
        <v>250</v>
      </c>
      <c r="B251">
        <v>196</v>
      </c>
      <c r="C251" t="s">
        <v>45</v>
      </c>
      <c r="D251" t="s">
        <v>35</v>
      </c>
      <c r="E251" t="s">
        <v>107</v>
      </c>
      <c r="F251" t="s">
        <v>19</v>
      </c>
      <c r="G251" t="s">
        <v>90</v>
      </c>
      <c r="H251" t="s">
        <v>21</v>
      </c>
      <c r="I251" t="s">
        <v>93</v>
      </c>
      <c r="J251" t="s">
        <v>148</v>
      </c>
      <c r="K251" t="s">
        <v>92</v>
      </c>
      <c r="L251">
        <v>4057</v>
      </c>
      <c r="M251" s="10">
        <v>54.120561299999999</v>
      </c>
      <c r="N251" s="10">
        <v>980.4611885529315</v>
      </c>
      <c r="O251" s="10">
        <v>0.73503776385960096</v>
      </c>
      <c r="P251" s="1" t="str">
        <f>HYPERLINK(".\sm_car_250701_2310\sm_car_250701_2310_250_Ca196TrN_MaDC1_DrSt_daessc_1.png","figure")</f>
        <v>figure</v>
      </c>
      <c r="Q251" t="s">
        <v>15</v>
      </c>
    </row>
    <row r="252" spans="1:17" x14ac:dyDescent="0.25">
      <c r="A252">
        <v>251</v>
      </c>
      <c r="B252">
        <v>179</v>
      </c>
      <c r="C252" t="s">
        <v>45</v>
      </c>
      <c r="D252" t="s">
        <v>57</v>
      </c>
      <c r="E252" t="s">
        <v>18</v>
      </c>
      <c r="F252" t="s">
        <v>19</v>
      </c>
      <c r="G252" t="s">
        <v>26</v>
      </c>
      <c r="H252" t="s">
        <v>21</v>
      </c>
      <c r="I252" t="s">
        <v>22</v>
      </c>
      <c r="J252" t="s">
        <v>148</v>
      </c>
      <c r="K252" t="s">
        <v>23</v>
      </c>
      <c r="L252">
        <v>469</v>
      </c>
      <c r="M252" s="10">
        <v>5.5144774999999999</v>
      </c>
      <c r="N252" s="10">
        <v>147.79577462033984</v>
      </c>
      <c r="O252" s="10">
        <v>9.6896843636243471E-2</v>
      </c>
      <c r="P252" s="1" t="str">
        <f>HYPERLINK(".\sm_car_250701_2310\sm_car_250701_2310_251_Ca179TrN_MaWOT_DrSt_ode23t_1.png","figure")</f>
        <v>figure</v>
      </c>
      <c r="Q252" t="s">
        <v>15</v>
      </c>
    </row>
    <row r="253" spans="1:17" x14ac:dyDescent="0.25">
      <c r="A253">
        <v>252</v>
      </c>
      <c r="B253">
        <v>180</v>
      </c>
      <c r="C253" t="s">
        <v>45</v>
      </c>
      <c r="D253" t="s">
        <v>57</v>
      </c>
      <c r="E253" t="s">
        <v>49</v>
      </c>
      <c r="F253" t="s">
        <v>19</v>
      </c>
      <c r="G253" t="s">
        <v>26</v>
      </c>
      <c r="H253" t="s">
        <v>21</v>
      </c>
      <c r="I253" t="s">
        <v>22</v>
      </c>
      <c r="J253" t="s">
        <v>148</v>
      </c>
      <c r="K253" t="s">
        <v>23</v>
      </c>
      <c r="L253">
        <v>508</v>
      </c>
      <c r="M253" s="10">
        <v>7.5750514000000004</v>
      </c>
      <c r="N253" s="10">
        <v>147.84980388293806</v>
      </c>
      <c r="O253" s="10">
        <v>9.6056388603589504E-2</v>
      </c>
      <c r="P253" s="1" t="str">
        <f>HYPERLINK(".\sm_car_250701_2310\sm_car_250701_2310_252_Ca180TrN_MaWOT_DrSt_ode23t_1.png","figure")</f>
        <v>figure</v>
      </c>
      <c r="Q253" t="s">
        <v>15</v>
      </c>
    </row>
    <row r="254" spans="1:17" x14ac:dyDescent="0.25">
      <c r="A254">
        <v>253</v>
      </c>
      <c r="B254">
        <v>197</v>
      </c>
      <c r="C254" t="s">
        <v>45</v>
      </c>
      <c r="D254" t="s">
        <v>57</v>
      </c>
      <c r="E254" t="s">
        <v>107</v>
      </c>
      <c r="F254" t="s">
        <v>19</v>
      </c>
      <c r="G254" t="s">
        <v>26</v>
      </c>
      <c r="H254" t="s">
        <v>21</v>
      </c>
      <c r="I254" t="s">
        <v>22</v>
      </c>
      <c r="J254" t="s">
        <v>148</v>
      </c>
      <c r="K254" t="s">
        <v>23</v>
      </c>
      <c r="L254">
        <v>458</v>
      </c>
      <c r="M254" s="10">
        <v>2.3961077999999998</v>
      </c>
      <c r="N254" s="10">
        <v>147.84410192199061</v>
      </c>
      <c r="O254" s="10">
        <v>9.6083867831797176E-2</v>
      </c>
      <c r="P254" s="1" t="str">
        <f>HYPERLINK(".\sm_car_250701_2310\sm_car_250701_2310_253_Ca197TrN_MaWOT_DrSt_ode23t_1.png","figure")</f>
        <v>figure</v>
      </c>
      <c r="Q254" t="s">
        <v>15</v>
      </c>
    </row>
    <row r="255" spans="1:17" x14ac:dyDescent="0.25">
      <c r="A255">
        <v>254</v>
      </c>
      <c r="B255">
        <v>182</v>
      </c>
      <c r="C255" t="s">
        <v>45</v>
      </c>
      <c r="D255" t="s">
        <v>17</v>
      </c>
      <c r="E255" t="s">
        <v>49</v>
      </c>
      <c r="F255" t="s">
        <v>19</v>
      </c>
      <c r="G255" t="s">
        <v>26</v>
      </c>
      <c r="H255" t="s">
        <v>21</v>
      </c>
      <c r="I255" t="s">
        <v>64</v>
      </c>
      <c r="J255" t="s">
        <v>148</v>
      </c>
      <c r="K255" t="s">
        <v>23</v>
      </c>
      <c r="L255">
        <v>425</v>
      </c>
      <c r="M255" s="10">
        <v>13.754953199999999</v>
      </c>
      <c r="N255" s="10">
        <v>62.247790880992</v>
      </c>
      <c r="O255" s="10">
        <v>-24.541572966824855</v>
      </c>
      <c r="P255" s="1" t="str">
        <f>HYPERLINK(".\sm_car_250701_2310\sm_car_250701_2310_254_Ca182TrN_MaTUR_DrSt_ode23t_1.png","figure")</f>
        <v>figure</v>
      </c>
      <c r="Q255" t="s">
        <v>15</v>
      </c>
    </row>
    <row r="256" spans="1:17" x14ac:dyDescent="0.25">
      <c r="A256">
        <v>255</v>
      </c>
      <c r="B256">
        <v>203</v>
      </c>
      <c r="C256" t="s">
        <v>45</v>
      </c>
      <c r="D256" t="s">
        <v>17</v>
      </c>
      <c r="E256" t="s">
        <v>107</v>
      </c>
      <c r="F256" t="s">
        <v>19</v>
      </c>
      <c r="G256" t="s">
        <v>26</v>
      </c>
      <c r="H256" t="s">
        <v>21</v>
      </c>
      <c r="I256" t="s">
        <v>64</v>
      </c>
      <c r="J256" t="s">
        <v>148</v>
      </c>
      <c r="K256" t="s">
        <v>23</v>
      </c>
      <c r="L256">
        <v>368</v>
      </c>
      <c r="M256" s="10">
        <v>4.7932427999999998</v>
      </c>
      <c r="N256" s="10">
        <v>62.254814014817171</v>
      </c>
      <c r="O256" s="10">
        <v>-24.556623537306013</v>
      </c>
      <c r="P256" s="1" t="str">
        <f>HYPERLINK(".\sm_car_250701_2310\sm_car_250701_2310_255_Ca203TrN_MaTUR_DrSt_ode23t_1.png","figure")</f>
        <v>figure</v>
      </c>
      <c r="Q256" t="s">
        <v>15</v>
      </c>
    </row>
    <row r="257" spans="1:17" x14ac:dyDescent="0.25">
      <c r="A257">
        <v>256</v>
      </c>
      <c r="B257">
        <v>185</v>
      </c>
      <c r="C257" t="s">
        <v>45</v>
      </c>
      <c r="D257" t="s">
        <v>17</v>
      </c>
      <c r="E257" t="s">
        <v>18</v>
      </c>
      <c r="F257" t="s">
        <v>19</v>
      </c>
      <c r="G257" t="s">
        <v>26</v>
      </c>
      <c r="H257" t="s">
        <v>21</v>
      </c>
      <c r="I257" t="s">
        <v>64</v>
      </c>
      <c r="J257" t="s">
        <v>148</v>
      </c>
      <c r="K257" t="s">
        <v>23</v>
      </c>
      <c r="L257">
        <v>515</v>
      </c>
      <c r="M257" s="10">
        <v>22.5010093</v>
      </c>
      <c r="N257" s="10">
        <v>112.7068315345371</v>
      </c>
      <c r="O257" s="10">
        <v>-79.241208826314192</v>
      </c>
      <c r="P257" s="1" t="str">
        <f>HYPERLINK(".\sm_car_250701_2310\sm_car_250701_2310_256_Ca185TrN_MaTUR_DrSt_ode23t_1.png","figure")</f>
        <v>figure</v>
      </c>
      <c r="Q257" t="s">
        <v>15</v>
      </c>
    </row>
    <row r="258" spans="1:17" x14ac:dyDescent="0.25">
      <c r="A258">
        <v>257</v>
      </c>
      <c r="B258">
        <v>188</v>
      </c>
      <c r="C258" t="s">
        <v>45</v>
      </c>
      <c r="D258" t="s">
        <v>113</v>
      </c>
      <c r="E258" t="s">
        <v>49</v>
      </c>
      <c r="F258" t="s">
        <v>19</v>
      </c>
      <c r="G258" t="s">
        <v>26</v>
      </c>
      <c r="H258" t="s">
        <v>21</v>
      </c>
      <c r="I258" t="s">
        <v>64</v>
      </c>
      <c r="J258" t="s">
        <v>148</v>
      </c>
      <c r="K258" t="s">
        <v>23</v>
      </c>
      <c r="L258">
        <v>538</v>
      </c>
      <c r="M258" s="10">
        <v>8.2884063000000001</v>
      </c>
      <c r="N258" s="10">
        <v>140.60859017668929</v>
      </c>
      <c r="O258" s="10">
        <v>-71.740086664623803</v>
      </c>
      <c r="P258" s="1" t="str">
        <f>HYPERLINK(".\sm_car_250701_2310\sm_car_250701_2310_257_Ca188TrN_MaTUR_DrSt_ode23t_1.png","figure")</f>
        <v>figure</v>
      </c>
      <c r="Q258" t="s">
        <v>15</v>
      </c>
    </row>
    <row r="259" spans="1:17" x14ac:dyDescent="0.25">
      <c r="A259">
        <v>258</v>
      </c>
      <c r="B259" t="s">
        <v>94</v>
      </c>
      <c r="C259" t="s">
        <v>95</v>
      </c>
      <c r="D259" t="s">
        <v>35</v>
      </c>
      <c r="E259" t="s">
        <v>18</v>
      </c>
      <c r="F259" t="s">
        <v>19</v>
      </c>
      <c r="G259" t="s">
        <v>96</v>
      </c>
      <c r="H259" t="s">
        <v>21</v>
      </c>
      <c r="I259" t="s">
        <v>22</v>
      </c>
      <c r="J259" t="s">
        <v>148</v>
      </c>
      <c r="K259" t="s">
        <v>23</v>
      </c>
      <c r="L259">
        <v>441</v>
      </c>
      <c r="M259" s="10">
        <v>16.833429800000001</v>
      </c>
      <c r="N259" s="10">
        <v>79.220922629445354</v>
      </c>
      <c r="O259" s="10">
        <v>-0.33365900389598846</v>
      </c>
      <c r="P259" s="1" t="str">
        <f>HYPERLINK(".\sm_car_250701_2310\sm_car_Axle3_250701_2310_258_CaAxle3_000TrN_MaWOT_DrSt_ode23t_1.png","figure")</f>
        <v>figure</v>
      </c>
      <c r="Q259" t="s">
        <v>15</v>
      </c>
    </row>
    <row r="260" spans="1:17" x14ac:dyDescent="0.25">
      <c r="A260">
        <v>259</v>
      </c>
      <c r="B260" t="s">
        <v>99</v>
      </c>
      <c r="C260" t="s">
        <v>100</v>
      </c>
      <c r="D260" t="s">
        <v>35</v>
      </c>
      <c r="E260" t="s">
        <v>18</v>
      </c>
      <c r="F260" t="s">
        <v>19</v>
      </c>
      <c r="G260" t="s">
        <v>96</v>
      </c>
      <c r="H260" t="s">
        <v>21</v>
      </c>
      <c r="I260" t="s">
        <v>22</v>
      </c>
      <c r="J260" t="s">
        <v>148</v>
      </c>
      <c r="K260" t="s">
        <v>23</v>
      </c>
      <c r="L260">
        <v>476</v>
      </c>
      <c r="M260" s="10">
        <v>13.597530300000001</v>
      </c>
      <c r="N260" s="10">
        <v>68.926561662831958</v>
      </c>
      <c r="O260" s="10">
        <v>8.3279586275803619E-2</v>
      </c>
      <c r="P260" s="1" t="str">
        <f>HYPERLINK(".\sm_car_250701_2310\sm_car_Axle3_250701_2310_259_CaAxle3_008TrN_MaWOT_DrSt_ode23t_1.png","figure")</f>
        <v>figure</v>
      </c>
      <c r="Q260" t="s">
        <v>15</v>
      </c>
    </row>
    <row r="261" spans="1:17" x14ac:dyDescent="0.25">
      <c r="A261">
        <v>260</v>
      </c>
      <c r="B261" t="s">
        <v>97</v>
      </c>
      <c r="C261" t="s">
        <v>95</v>
      </c>
      <c r="D261" t="s">
        <v>35</v>
      </c>
      <c r="E261" t="s">
        <v>49</v>
      </c>
      <c r="F261" t="s">
        <v>19</v>
      </c>
      <c r="G261" t="s">
        <v>98</v>
      </c>
      <c r="H261" t="s">
        <v>21</v>
      </c>
      <c r="I261" t="s">
        <v>22</v>
      </c>
      <c r="J261" t="s">
        <v>148</v>
      </c>
      <c r="K261" t="s">
        <v>23</v>
      </c>
      <c r="L261">
        <v>426</v>
      </c>
      <c r="M261" s="10">
        <v>15.067603500000001</v>
      </c>
      <c r="N261" s="10">
        <v>79.265706861750871</v>
      </c>
      <c r="O261" s="10">
        <v>-0.31323883463624247</v>
      </c>
      <c r="P261" s="1" t="str">
        <f>HYPERLINK(".\sm_car_250701_2310\sm_car_Axle3_250701_2310_260_CaAxle3_003TrN_MaWOT_DrSt_ode23t_1.png","figure")</f>
        <v>figure</v>
      </c>
      <c r="Q261" t="s">
        <v>15</v>
      </c>
    </row>
    <row r="262" spans="1:17" x14ac:dyDescent="0.25">
      <c r="A262">
        <v>261</v>
      </c>
      <c r="B262" t="s">
        <v>114</v>
      </c>
      <c r="C262" t="s">
        <v>95</v>
      </c>
      <c r="D262" t="s">
        <v>35</v>
      </c>
      <c r="E262" t="s">
        <v>107</v>
      </c>
      <c r="F262" t="s">
        <v>19</v>
      </c>
      <c r="G262" t="s">
        <v>98</v>
      </c>
      <c r="H262" t="s">
        <v>21</v>
      </c>
      <c r="I262" t="s">
        <v>22</v>
      </c>
      <c r="J262" t="s">
        <v>148</v>
      </c>
      <c r="K262" t="s">
        <v>23</v>
      </c>
      <c r="L262">
        <v>427</v>
      </c>
      <c r="M262" s="10">
        <v>2.6415096999999998</v>
      </c>
      <c r="N262" s="10">
        <v>80.145520056216895</v>
      </c>
      <c r="O262" s="10">
        <v>-0.31945069771391377</v>
      </c>
      <c r="P262" s="1" t="str">
        <f>HYPERLINK(".\sm_car_250701_2310\sm_car_Axle3_250701_2310_261_CaAxle3_017TrN_MaWOT_DrSt_ode23t_1.png","figure")</f>
        <v>figure</v>
      </c>
      <c r="Q262" t="s">
        <v>15</v>
      </c>
    </row>
    <row r="263" spans="1:17" x14ac:dyDescent="0.25">
      <c r="A263">
        <v>262</v>
      </c>
      <c r="B263" t="s">
        <v>101</v>
      </c>
      <c r="C263" t="s">
        <v>100</v>
      </c>
      <c r="D263" t="s">
        <v>35</v>
      </c>
      <c r="E263" t="s">
        <v>49</v>
      </c>
      <c r="F263" t="s">
        <v>19</v>
      </c>
      <c r="G263" t="s">
        <v>96</v>
      </c>
      <c r="H263" t="s">
        <v>102</v>
      </c>
      <c r="I263" t="s">
        <v>22</v>
      </c>
      <c r="J263" t="s">
        <v>148</v>
      </c>
      <c r="K263" t="s">
        <v>23</v>
      </c>
      <c r="L263">
        <v>389</v>
      </c>
      <c r="M263" s="10">
        <v>38.315303800000002</v>
      </c>
      <c r="N263" s="10">
        <v>23.441197642076311</v>
      </c>
      <c r="O263" s="10">
        <v>2.5338231217298043E-3</v>
      </c>
      <c r="P263" s="1" t="str">
        <f>HYPERLINK(".\sm_car_250701_2310\sm_car_Axle3_250701_2310_262_CaAxle3_010TrK_MaWOT_DrSt_ode23t_1.png","figure")</f>
        <v>figure</v>
      </c>
      <c r="Q263" t="s">
        <v>15</v>
      </c>
    </row>
    <row r="264" spans="1:17" x14ac:dyDescent="0.25">
      <c r="A264">
        <v>263</v>
      </c>
      <c r="B264" t="s">
        <v>101</v>
      </c>
      <c r="C264" t="s">
        <v>100</v>
      </c>
      <c r="D264" t="s">
        <v>35</v>
      </c>
      <c r="E264" t="s">
        <v>49</v>
      </c>
      <c r="F264" t="s">
        <v>19</v>
      </c>
      <c r="G264" t="s">
        <v>96</v>
      </c>
      <c r="H264" t="s">
        <v>102</v>
      </c>
      <c r="I264" t="s">
        <v>22</v>
      </c>
      <c r="J264" t="s">
        <v>148</v>
      </c>
      <c r="K264" t="s">
        <v>23</v>
      </c>
      <c r="L264">
        <v>408</v>
      </c>
      <c r="M264" s="10">
        <v>36.330981399999999</v>
      </c>
      <c r="N264" s="10">
        <v>23.429999926382738</v>
      </c>
      <c r="O264" s="10">
        <v>2.5300522592802965E-3</v>
      </c>
      <c r="P264" s="1" t="str">
        <f>HYPERLINK(".\sm_car_250701_2310\sm_car_Axle3_250701_2310_263_CaAxle3_010TrK_MaWOT_DrSt_ode23t_1.png","figure")</f>
        <v>figure</v>
      </c>
      <c r="Q264" t="s">
        <v>15</v>
      </c>
    </row>
    <row r="265" spans="1:17" x14ac:dyDescent="0.25">
      <c r="A265">
        <v>264</v>
      </c>
      <c r="B265" t="s">
        <v>115</v>
      </c>
      <c r="C265" t="s">
        <v>100</v>
      </c>
      <c r="D265" t="s">
        <v>35</v>
      </c>
      <c r="E265" t="s">
        <v>107</v>
      </c>
      <c r="F265" t="s">
        <v>19</v>
      </c>
      <c r="G265" t="s">
        <v>96</v>
      </c>
      <c r="H265" t="s">
        <v>102</v>
      </c>
      <c r="I265" t="s">
        <v>22</v>
      </c>
      <c r="J265" t="s">
        <v>148</v>
      </c>
      <c r="K265" t="s">
        <v>23</v>
      </c>
      <c r="L265">
        <v>398</v>
      </c>
      <c r="M265" s="10">
        <v>2.9933076000000001</v>
      </c>
      <c r="N265" s="10">
        <v>26.938643279552089</v>
      </c>
      <c r="O265" s="10">
        <v>3.6338408759568099E-3</v>
      </c>
      <c r="P265" s="1" t="str">
        <f>HYPERLINK(".\sm_car_250701_2310\sm_car_Axle3_250701_2310_264_CaAxle3_019TrK_MaWOT_DrSt_ode23t_1.png","figure")</f>
        <v>figure</v>
      </c>
      <c r="Q265" t="s">
        <v>15</v>
      </c>
    </row>
    <row r="266" spans="1:17" x14ac:dyDescent="0.25">
      <c r="A266">
        <v>265</v>
      </c>
      <c r="B266" t="s">
        <v>115</v>
      </c>
      <c r="C266" t="s">
        <v>100</v>
      </c>
      <c r="D266" t="s">
        <v>35</v>
      </c>
      <c r="E266" t="s">
        <v>107</v>
      </c>
      <c r="F266" t="s">
        <v>19</v>
      </c>
      <c r="G266" t="s">
        <v>96</v>
      </c>
      <c r="H266" t="s">
        <v>102</v>
      </c>
      <c r="I266" t="s">
        <v>22</v>
      </c>
      <c r="J266" t="s">
        <v>148</v>
      </c>
      <c r="K266" t="s">
        <v>23</v>
      </c>
      <c r="L266">
        <v>407</v>
      </c>
      <c r="M266" s="10">
        <v>3.1768084000000001</v>
      </c>
      <c r="N266" s="10">
        <v>26.922858662192844</v>
      </c>
      <c r="O266" s="10">
        <v>3.6250774264289382E-3</v>
      </c>
      <c r="P266" s="1" t="str">
        <f>HYPERLINK(".\sm_car_250701_2310\sm_car_Axle3_250701_2310_265_CaAxle3_019TrK_MaWOT_DrSt_ode23t_1.png","figure")</f>
        <v>figure</v>
      </c>
      <c r="Q266" t="s">
        <v>15</v>
      </c>
    </row>
    <row r="267" spans="1:17" x14ac:dyDescent="0.25">
      <c r="A267">
        <v>266</v>
      </c>
      <c r="B267" t="s">
        <v>115</v>
      </c>
      <c r="C267" t="s">
        <v>100</v>
      </c>
      <c r="D267" t="s">
        <v>35</v>
      </c>
      <c r="E267" t="s">
        <v>107</v>
      </c>
      <c r="F267" t="s">
        <v>19</v>
      </c>
      <c r="G267" t="s">
        <v>96</v>
      </c>
      <c r="H267" t="s">
        <v>102</v>
      </c>
      <c r="I267" t="s">
        <v>53</v>
      </c>
      <c r="J267" t="s">
        <v>148</v>
      </c>
      <c r="K267" t="s">
        <v>23</v>
      </c>
      <c r="L267">
        <v>635</v>
      </c>
      <c r="M267" s="10">
        <v>4.7459354999999999</v>
      </c>
      <c r="N267" s="10">
        <v>254.79145635913767</v>
      </c>
      <c r="O267" s="10">
        <v>-0.14801782587541812</v>
      </c>
      <c r="P267" s="1" t="str">
        <f>HYPERLINK(".\sm_car_250701_2310\sm_car_Axle3_250701_2310_266_CaAxle3_019TrK_MaDLC_DrSt_ode23t_1.png","figure")</f>
        <v>figure</v>
      </c>
      <c r="Q267" t="s">
        <v>15</v>
      </c>
    </row>
    <row r="268" spans="1:17" x14ac:dyDescent="0.25">
      <c r="A268">
        <v>267</v>
      </c>
      <c r="B268" t="s">
        <v>115</v>
      </c>
      <c r="C268" t="s">
        <v>100</v>
      </c>
      <c r="D268" t="s">
        <v>35</v>
      </c>
      <c r="E268" t="s">
        <v>107</v>
      </c>
      <c r="F268" t="s">
        <v>19</v>
      </c>
      <c r="G268" t="s">
        <v>96</v>
      </c>
      <c r="H268" t="s">
        <v>102</v>
      </c>
      <c r="I268" t="s">
        <v>53</v>
      </c>
      <c r="J268" t="s">
        <v>148</v>
      </c>
      <c r="K268" t="s">
        <v>23</v>
      </c>
      <c r="L268">
        <v>775</v>
      </c>
      <c r="M268" s="10">
        <v>5.2519160999999999</v>
      </c>
      <c r="N268" s="10">
        <v>253.81518109003662</v>
      </c>
      <c r="O268" s="10">
        <v>-0.13874735809274741</v>
      </c>
      <c r="P268" s="1" t="str">
        <f>HYPERLINK(".\sm_car_250701_2310\sm_car_Axle3_250701_2310_267_CaAxle3_019TrK_MaDLC_DrSt_ode23t_1.png","figure")</f>
        <v>figure</v>
      </c>
      <c r="Q268" t="s">
        <v>15</v>
      </c>
    </row>
    <row r="269" spans="1:17" x14ac:dyDescent="0.25">
      <c r="A269">
        <v>268</v>
      </c>
      <c r="B269" t="s">
        <v>115</v>
      </c>
      <c r="C269" t="s">
        <v>100</v>
      </c>
      <c r="D269" t="s">
        <v>35</v>
      </c>
      <c r="E269" t="s">
        <v>107</v>
      </c>
      <c r="F269" t="s">
        <v>19</v>
      </c>
      <c r="G269" t="s">
        <v>96</v>
      </c>
      <c r="H269" t="s">
        <v>102</v>
      </c>
      <c r="I269" t="s">
        <v>53</v>
      </c>
      <c r="J269" t="s">
        <v>148</v>
      </c>
      <c r="K269" t="s">
        <v>23</v>
      </c>
      <c r="L269">
        <v>642</v>
      </c>
      <c r="M269" s="10">
        <v>4.7595796999999997</v>
      </c>
      <c r="N269" s="10">
        <v>254.44799437345705</v>
      </c>
      <c r="O269" s="10">
        <v>-0.14104600523778243</v>
      </c>
      <c r="P269" s="1" t="str">
        <f>HYPERLINK(".\sm_car_250701_2310\sm_car_Axle3_250701_2310_268_CaAxle3_019TrK_MaDLC_DrSt_ode23t_1.png","figure")</f>
        <v>figure</v>
      </c>
      <c r="Q269" t="s">
        <v>15</v>
      </c>
    </row>
    <row r="270" spans="1:17" x14ac:dyDescent="0.25">
      <c r="A270">
        <v>269</v>
      </c>
      <c r="B270" t="s">
        <v>115</v>
      </c>
      <c r="C270" t="s">
        <v>100</v>
      </c>
      <c r="D270" t="s">
        <v>35</v>
      </c>
      <c r="E270" t="s">
        <v>107</v>
      </c>
      <c r="F270" t="s">
        <v>19</v>
      </c>
      <c r="G270" t="s">
        <v>96</v>
      </c>
      <c r="H270" t="s">
        <v>102</v>
      </c>
      <c r="I270" t="s">
        <v>53</v>
      </c>
      <c r="J270" t="s">
        <v>148</v>
      </c>
      <c r="K270" t="s">
        <v>23</v>
      </c>
      <c r="L270">
        <v>907</v>
      </c>
      <c r="M270" s="10">
        <v>5.8422875999999997</v>
      </c>
      <c r="N270" s="10">
        <v>253.78032978196001</v>
      </c>
      <c r="O270" s="10">
        <v>-0.14523132750086365</v>
      </c>
      <c r="P270" s="1" t="str">
        <f>HYPERLINK(".\sm_car_250701_2310\sm_car_Axle3_250701_2310_269_CaAxle3_019TrK_MaDLC_DrSt_ode23t_1.png","figure")</f>
        <v>figure</v>
      </c>
      <c r="Q270" t="s">
        <v>15</v>
      </c>
    </row>
    <row r="271" spans="1:17" x14ac:dyDescent="0.25">
      <c r="A271">
        <v>270</v>
      </c>
      <c r="B271" t="s">
        <v>138</v>
      </c>
      <c r="C271" t="s">
        <v>139</v>
      </c>
      <c r="D271" t="s">
        <v>35</v>
      </c>
      <c r="E271" t="s">
        <v>49</v>
      </c>
      <c r="F271" t="s">
        <v>19</v>
      </c>
      <c r="G271" t="s">
        <v>96</v>
      </c>
      <c r="H271" t="s">
        <v>102</v>
      </c>
      <c r="I271" t="s">
        <v>22</v>
      </c>
      <c r="J271" t="s">
        <v>148</v>
      </c>
      <c r="K271" t="s">
        <v>23</v>
      </c>
      <c r="L271">
        <v>346</v>
      </c>
      <c r="M271" s="10">
        <v>3.0622164999999999</v>
      </c>
      <c r="N271" s="10">
        <v>85.306904634675533</v>
      </c>
      <c r="O271" s="10">
        <v>7.0142610387136706E-2</v>
      </c>
      <c r="P271" s="1" t="str">
        <f>HYPERLINK(".\sm_car_250701_2310\sm_car_Axle3_250701_2310_270_CaAxle3_023TrK_MaWOT_DrSt_ode23t_1.png","figure")</f>
        <v>figure</v>
      </c>
      <c r="Q271" t="s">
        <v>15</v>
      </c>
    </row>
  </sheetData>
  <autoFilter ref="A1:Q271" xr:uid="{2288BDEC-82FE-4ED3-BD9B-67AFECB1F592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50D5-815B-4B89-9EFF-6A27CD26A054}">
  <dimension ref="A1:S271"/>
  <sheetViews>
    <sheetView workbookViewId="0">
      <selection activeCell="S5" sqref="S5"/>
    </sheetView>
  </sheetViews>
  <sheetFormatPr defaultRowHeight="15" x14ac:dyDescent="0.25"/>
  <cols>
    <col min="1" max="1" width="4.42578125" bestFit="1" customWidth="1"/>
    <col min="2" max="2" width="10" bestFit="1" customWidth="1"/>
    <col min="3" max="3" width="14" bestFit="1" customWidth="1"/>
    <col min="4" max="4" width="12.42578125" bestFit="1" customWidth="1"/>
    <col min="5" max="5" width="11.85546875" bestFit="1" customWidth="1"/>
    <col min="6" max="6" width="11.42578125" bestFit="1" customWidth="1"/>
    <col min="7" max="7" width="16.85546875" bestFit="1" customWidth="1"/>
    <col min="8" max="8" width="8.5703125" bestFit="1" customWidth="1"/>
    <col min="9" max="9" width="27.140625" bestFit="1" customWidth="1"/>
    <col min="10" max="10" width="12.42578125" bestFit="1" customWidth="1"/>
    <col min="11" max="11" width="7.140625" bestFit="1" customWidth="1"/>
    <col min="12" max="12" width="7.28515625" bestFit="1" customWidth="1"/>
    <col min="13" max="13" width="7.5703125" bestFit="1" customWidth="1"/>
    <col min="14" max="14" width="8.5703125" bestFit="1" customWidth="1"/>
    <col min="15" max="15" width="9.28515625" bestFit="1" customWidth="1"/>
    <col min="16" max="16" width="6.5703125" bestFit="1" customWidth="1"/>
    <col min="17" max="17" width="4.85546875" bestFit="1" customWidth="1"/>
    <col min="19" max="19" width="30.7109375" bestFit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6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S1" s="2" t="s">
        <v>159</v>
      </c>
    </row>
    <row r="2" spans="1:19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148</v>
      </c>
      <c r="K2" t="s">
        <v>23</v>
      </c>
      <c r="L2">
        <v>423</v>
      </c>
      <c r="M2" s="4">
        <v>7.5788734</v>
      </c>
      <c r="N2" s="4">
        <v>231.2177424405688</v>
      </c>
      <c r="O2" s="4">
        <v>-4.8384781673831328E-3</v>
      </c>
      <c r="P2" s="1" t="str">
        <f>HYPERLINK(".\sm_car_250702_0917\sm_car_250702_0917_001_Ca000TrN_MaWOT_DrSt_ode23t.png","figure")</f>
        <v>figure</v>
      </c>
      <c r="Q2" t="s">
        <v>15</v>
      </c>
      <c r="S2" s="2" t="s">
        <v>116</v>
      </c>
    </row>
    <row r="3" spans="1:19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24</v>
      </c>
      <c r="J3" t="s">
        <v>148</v>
      </c>
      <c r="K3" t="s">
        <v>23</v>
      </c>
      <c r="L3">
        <v>533</v>
      </c>
      <c r="M3" s="4">
        <v>8.2973628999999995</v>
      </c>
      <c r="N3" s="4">
        <v>71.236125327442352</v>
      </c>
      <c r="O3" s="4">
        <v>-0.53981194400981525</v>
      </c>
      <c r="P3" s="1" t="str">
        <f>HYPERLINK(".\sm_car_250702_0917\sm_car_250702_0917_002_Ca000TrN_MaLSS_DrSt_ode23t.png","figure")</f>
        <v>figure</v>
      </c>
      <c r="Q3" t="s">
        <v>15</v>
      </c>
      <c r="S3" s="2" t="s">
        <v>117</v>
      </c>
    </row>
    <row r="4" spans="1:19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21</v>
      </c>
      <c r="I4" t="s">
        <v>22</v>
      </c>
      <c r="J4" t="s">
        <v>148</v>
      </c>
      <c r="K4" t="s">
        <v>23</v>
      </c>
      <c r="L4">
        <v>421</v>
      </c>
      <c r="M4" s="4">
        <v>7.8025628999999999</v>
      </c>
      <c r="N4" s="4">
        <v>230.31073710127711</v>
      </c>
      <c r="O4" s="4">
        <v>-1.2513166869400516E-2</v>
      </c>
      <c r="P4" s="1" t="str">
        <f>HYPERLINK(".\sm_car_250702_0917\sm_car_250702_0917_003_Ca001TrN_MaWOT_DrSt_ode23t.png","figure")</f>
        <v>figure</v>
      </c>
      <c r="Q4" t="s">
        <v>15</v>
      </c>
      <c r="S4" s="2" t="s">
        <v>118</v>
      </c>
    </row>
    <row r="5" spans="1:19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25</v>
      </c>
      <c r="H5" t="s">
        <v>21</v>
      </c>
      <c r="I5" t="s">
        <v>24</v>
      </c>
      <c r="J5" t="s">
        <v>148</v>
      </c>
      <c r="K5" t="s">
        <v>23</v>
      </c>
      <c r="L5">
        <v>522</v>
      </c>
      <c r="M5" s="4">
        <v>9.0132478000000003</v>
      </c>
      <c r="N5" s="4">
        <v>70.961988299975928</v>
      </c>
      <c r="O5" s="4">
        <v>-0.53536836924365883</v>
      </c>
      <c r="P5" s="1" t="str">
        <f>HYPERLINK(".\sm_car_250702_0917\sm_car_250702_0917_004_Ca001TrN_MaLSS_DrSt_ode23t.png","figure")</f>
        <v>figure</v>
      </c>
      <c r="Q5" t="s">
        <v>15</v>
      </c>
      <c r="S5" t="s">
        <v>158</v>
      </c>
    </row>
    <row r="6" spans="1:19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26</v>
      </c>
      <c r="H6" t="s">
        <v>21</v>
      </c>
      <c r="I6" t="s">
        <v>22</v>
      </c>
      <c r="J6" t="s">
        <v>148</v>
      </c>
      <c r="K6" t="s">
        <v>23</v>
      </c>
      <c r="L6">
        <v>431</v>
      </c>
      <c r="M6" s="4">
        <v>12.8498743</v>
      </c>
      <c r="N6" s="4">
        <v>230.39353132088564</v>
      </c>
      <c r="O6" s="4">
        <v>5.3633281204426446E-2</v>
      </c>
      <c r="P6" s="1" t="str">
        <f>HYPERLINK(".\sm_car_250702_0917\sm_car_250702_0917_005_Ca002TrN_MaWOT_DrSt_ode23t.png","figure")</f>
        <v>figure</v>
      </c>
      <c r="Q6" t="s">
        <v>15</v>
      </c>
    </row>
    <row r="7" spans="1:19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26</v>
      </c>
      <c r="H7" t="s">
        <v>21</v>
      </c>
      <c r="I7" t="s">
        <v>24</v>
      </c>
      <c r="J7" t="s">
        <v>148</v>
      </c>
      <c r="K7" t="s">
        <v>23</v>
      </c>
      <c r="L7">
        <v>526</v>
      </c>
      <c r="M7" s="4">
        <v>12.850448099999999</v>
      </c>
      <c r="N7" s="4">
        <v>70.960569189103424</v>
      </c>
      <c r="O7" s="4">
        <v>-0.52803158816223184</v>
      </c>
      <c r="P7" s="1" t="str">
        <f>HYPERLINK(".\sm_car_250702_0917\sm_car_250702_0917_006_Ca002TrN_MaLSS_DrSt_ode23t.png","figure")</f>
        <v>figure</v>
      </c>
      <c r="Q7" t="s">
        <v>15</v>
      </c>
    </row>
    <row r="8" spans="1:19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27</v>
      </c>
      <c r="H8" t="s">
        <v>21</v>
      </c>
      <c r="I8" t="s">
        <v>22</v>
      </c>
      <c r="J8" t="s">
        <v>148</v>
      </c>
      <c r="K8" t="s">
        <v>23</v>
      </c>
      <c r="L8">
        <v>495</v>
      </c>
      <c r="M8" s="4">
        <v>12.696256200000001</v>
      </c>
      <c r="N8" s="4">
        <v>229.89357544752883</v>
      </c>
      <c r="O8" s="4">
        <v>6.2849007069600255E-2</v>
      </c>
      <c r="P8" s="1" t="str">
        <f>HYPERLINK(".\sm_car_250702_0917\sm_car_250702_0917_007_Ca003TrN_MaWOT_DrSt_ode23t.png","figure")</f>
        <v>figure</v>
      </c>
      <c r="Q8" t="s">
        <v>15</v>
      </c>
    </row>
    <row r="9" spans="1:19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27</v>
      </c>
      <c r="H9" t="s">
        <v>21</v>
      </c>
      <c r="I9" t="s">
        <v>24</v>
      </c>
      <c r="J9" t="s">
        <v>148</v>
      </c>
      <c r="K9" t="s">
        <v>23</v>
      </c>
      <c r="L9">
        <v>547</v>
      </c>
      <c r="M9" s="4">
        <v>15.3993509</v>
      </c>
      <c r="N9" s="4">
        <v>70.819478815268269</v>
      </c>
      <c r="O9" s="4">
        <v>-0.52802651899205089</v>
      </c>
      <c r="P9" s="1" t="str">
        <f>HYPERLINK(".\sm_car_250702_0917\sm_car_250702_0917_008_Ca003TrN_MaLSS_DrSt_ode23t.png","figure")</f>
        <v>figure</v>
      </c>
      <c r="Q9" t="s">
        <v>15</v>
      </c>
    </row>
    <row r="10" spans="1:19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20</v>
      </c>
      <c r="H10" t="s">
        <v>21</v>
      </c>
      <c r="I10" t="s">
        <v>22</v>
      </c>
      <c r="J10" t="s">
        <v>148</v>
      </c>
      <c r="K10" t="s">
        <v>23</v>
      </c>
      <c r="L10">
        <v>1085</v>
      </c>
      <c r="M10" s="4">
        <v>12.3580478</v>
      </c>
      <c r="N10" s="4">
        <v>231.35048401278598</v>
      </c>
      <c r="O10" s="4">
        <v>-4.0514741091662787E-3</v>
      </c>
      <c r="P10" s="1" t="str">
        <f>HYPERLINK(".\sm_car_250702_0917\sm_car_250702_0917_009_Ca004TrN_MaWOT_DrSt_ode23t.png","figure")</f>
        <v>figure</v>
      </c>
      <c r="Q10" t="s">
        <v>15</v>
      </c>
    </row>
    <row r="11" spans="1:19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20</v>
      </c>
      <c r="H11" t="s">
        <v>21</v>
      </c>
      <c r="I11" t="s">
        <v>24</v>
      </c>
      <c r="J11" t="s">
        <v>148</v>
      </c>
      <c r="K11" t="s">
        <v>23</v>
      </c>
      <c r="L11">
        <v>1206</v>
      </c>
      <c r="M11" s="4">
        <v>14.145535499999999</v>
      </c>
      <c r="N11" s="4">
        <v>71.24565934260167</v>
      </c>
      <c r="O11" s="4">
        <v>-0.54254908395302193</v>
      </c>
      <c r="P11" s="1" t="str">
        <f>HYPERLINK(".\sm_car_250702_0917\sm_car_250702_0917_010_Ca004TrN_MaLSS_DrSt_ode23t.png","figure")</f>
        <v>figure</v>
      </c>
      <c r="Q11" t="s">
        <v>15</v>
      </c>
    </row>
    <row r="12" spans="1:19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25</v>
      </c>
      <c r="H12" t="s">
        <v>21</v>
      </c>
      <c r="I12" t="s">
        <v>22</v>
      </c>
      <c r="J12" t="s">
        <v>148</v>
      </c>
      <c r="K12" t="s">
        <v>23</v>
      </c>
      <c r="L12">
        <v>1124</v>
      </c>
      <c r="M12" s="4">
        <v>14.2023212</v>
      </c>
      <c r="N12" s="4">
        <v>230.28632888358879</v>
      </c>
      <c r="O12" s="4">
        <v>-1.3535337425784914E-2</v>
      </c>
      <c r="P12" s="1" t="str">
        <f>HYPERLINK(".\sm_car_250702_0917\sm_car_250702_0917_011_Ca005TrN_MaWOT_DrSt_ode23t.png","figure")</f>
        <v>figure</v>
      </c>
      <c r="Q12" t="s">
        <v>15</v>
      </c>
    </row>
    <row r="13" spans="1:19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25</v>
      </c>
      <c r="H13" t="s">
        <v>21</v>
      </c>
      <c r="I13" t="s">
        <v>24</v>
      </c>
      <c r="J13" t="s">
        <v>148</v>
      </c>
      <c r="K13" t="s">
        <v>23</v>
      </c>
      <c r="L13">
        <v>1240</v>
      </c>
      <c r="M13" s="4">
        <v>16.135412299999999</v>
      </c>
      <c r="N13" s="4">
        <v>70.963484438638275</v>
      </c>
      <c r="O13" s="4">
        <v>-0.53562428490382352</v>
      </c>
      <c r="P13" s="1" t="str">
        <f>HYPERLINK(".\sm_car_250702_0917\sm_car_250702_0917_012_Ca005TrN_MaLSS_DrSt_ode23t.png","figure")</f>
        <v>figure</v>
      </c>
      <c r="Q13" t="s">
        <v>15</v>
      </c>
    </row>
    <row r="14" spans="1:19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26</v>
      </c>
      <c r="H14" t="s">
        <v>21</v>
      </c>
      <c r="I14" t="s">
        <v>22</v>
      </c>
      <c r="J14" t="s">
        <v>148</v>
      </c>
      <c r="K14" t="s">
        <v>23</v>
      </c>
      <c r="L14">
        <v>1192</v>
      </c>
      <c r="M14" s="4">
        <v>17.247987500000001</v>
      </c>
      <c r="N14" s="4">
        <v>230.31971790422389</v>
      </c>
      <c r="O14" s="4">
        <v>5.5554848513428533E-2</v>
      </c>
      <c r="P14" s="1" t="str">
        <f>HYPERLINK(".\sm_car_250702_0917\sm_car_250702_0917_013_Ca006TrN_MaWOT_DrSt_ode23t.png","figure")</f>
        <v>figure</v>
      </c>
      <c r="Q14" t="s">
        <v>15</v>
      </c>
    </row>
    <row r="15" spans="1:19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26</v>
      </c>
      <c r="H15" t="s">
        <v>21</v>
      </c>
      <c r="I15" t="s">
        <v>24</v>
      </c>
      <c r="J15" t="s">
        <v>148</v>
      </c>
      <c r="K15" t="s">
        <v>23</v>
      </c>
      <c r="L15">
        <v>1291</v>
      </c>
      <c r="M15" s="4">
        <v>16.150144699999998</v>
      </c>
      <c r="N15" s="4">
        <v>70.956870710847156</v>
      </c>
      <c r="O15" s="4">
        <v>-0.53363311785478917</v>
      </c>
      <c r="P15" s="1" t="str">
        <f>HYPERLINK(".\sm_car_250702_0917\sm_car_250702_0917_014_Ca006TrN_MaLSS_DrSt_ode23t.png","figure")</f>
        <v>figure</v>
      </c>
      <c r="Q15" t="s">
        <v>15</v>
      </c>
    </row>
    <row r="16" spans="1:19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27</v>
      </c>
      <c r="H16" t="s">
        <v>21</v>
      </c>
      <c r="I16" t="s">
        <v>22</v>
      </c>
      <c r="J16" t="s">
        <v>148</v>
      </c>
      <c r="K16" t="s">
        <v>23</v>
      </c>
      <c r="L16">
        <v>1208</v>
      </c>
      <c r="M16" s="4">
        <v>18.5593836</v>
      </c>
      <c r="N16" s="4">
        <v>229.90338511131827</v>
      </c>
      <c r="O16" s="4">
        <v>5.2787602454037671E-2</v>
      </c>
      <c r="P16" s="1" t="str">
        <f>HYPERLINK(".\sm_car_250702_0917\sm_car_250702_0917_015_Ca007TrN_MaWOT_DrSt_ode23t.png","figure")</f>
        <v>figure</v>
      </c>
      <c r="Q16" t="s">
        <v>15</v>
      </c>
    </row>
    <row r="17" spans="1:17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27</v>
      </c>
      <c r="H17" t="s">
        <v>21</v>
      </c>
      <c r="I17" t="s">
        <v>24</v>
      </c>
      <c r="J17" t="s">
        <v>148</v>
      </c>
      <c r="K17" t="s">
        <v>23</v>
      </c>
      <c r="L17">
        <v>1285</v>
      </c>
      <c r="M17" s="4">
        <v>17.575620799999999</v>
      </c>
      <c r="N17" s="4">
        <v>70.837615888645956</v>
      </c>
      <c r="O17" s="4">
        <v>-0.52847431114254728</v>
      </c>
      <c r="P17" s="1" t="str">
        <f>HYPERLINK(".\sm_car_250702_0917\sm_car_250702_0917_016_Ca007TrN_MaLSS_DrSt_ode23t.png","figure")</f>
        <v>figure</v>
      </c>
      <c r="Q17" t="s">
        <v>15</v>
      </c>
    </row>
    <row r="18" spans="1:17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148</v>
      </c>
      <c r="K18" t="s">
        <v>23</v>
      </c>
      <c r="L18">
        <v>408</v>
      </c>
      <c r="M18" s="4">
        <v>7.7715787000000001</v>
      </c>
      <c r="N18" s="4">
        <v>231.97852932808041</v>
      </c>
      <c r="O18" s="4">
        <v>-7.1781087628563625E-2</v>
      </c>
      <c r="P18" s="1" t="str">
        <f>HYPERLINK(".\sm_car_250702_0917\sm_car_250702_0917_017_Ca016TrN_MaWOT_DrSt_ode23t.png","figure")</f>
        <v>figure</v>
      </c>
      <c r="Q18" t="s">
        <v>15</v>
      </c>
    </row>
    <row r="19" spans="1:17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20</v>
      </c>
      <c r="H19" t="s">
        <v>21</v>
      </c>
      <c r="I19" t="s">
        <v>24</v>
      </c>
      <c r="J19" t="s">
        <v>148</v>
      </c>
      <c r="K19" t="s">
        <v>23</v>
      </c>
      <c r="L19">
        <v>495</v>
      </c>
      <c r="M19" s="4">
        <v>6.6996536999999998</v>
      </c>
      <c r="N19" s="4">
        <v>71.52744135360156</v>
      </c>
      <c r="O19" s="4">
        <v>-2.1637557861086024E-2</v>
      </c>
      <c r="P19" s="1" t="str">
        <f>HYPERLINK(".\sm_car_250702_0917\sm_car_250702_0917_018_Ca016TrN_MaLSS_DrSt_ode23t.png","figure")</f>
        <v>figure</v>
      </c>
      <c r="Q19" t="s">
        <v>15</v>
      </c>
    </row>
    <row r="20" spans="1:17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148</v>
      </c>
      <c r="K20" t="s">
        <v>23</v>
      </c>
      <c r="L20">
        <v>414</v>
      </c>
      <c r="M20" s="4">
        <v>9.1103599000000006</v>
      </c>
      <c r="N20" s="4">
        <v>231.38140972375047</v>
      </c>
      <c r="O20" s="4">
        <v>7.0624016378307069E-3</v>
      </c>
      <c r="P20" s="1" t="str">
        <f>HYPERLINK(".\sm_car_250702_0917\sm_car_250702_0917_019_Ca032TrN_MaWOT_DrSt_ode23t.png","figure")</f>
        <v>figure</v>
      </c>
      <c r="Q20" t="s">
        <v>15</v>
      </c>
    </row>
    <row r="21" spans="1:17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20</v>
      </c>
      <c r="H21" t="s">
        <v>21</v>
      </c>
      <c r="I21" t="s">
        <v>24</v>
      </c>
      <c r="J21" t="s">
        <v>148</v>
      </c>
      <c r="K21" t="s">
        <v>23</v>
      </c>
      <c r="L21">
        <v>517</v>
      </c>
      <c r="M21" s="4">
        <v>8.9819852000000004</v>
      </c>
      <c r="N21" s="4">
        <v>71.24958534660685</v>
      </c>
      <c r="O21" s="4">
        <v>-0.52146089401407703</v>
      </c>
      <c r="P21" s="1" t="str">
        <f>HYPERLINK(".\sm_car_250702_0917\sm_car_250702_0917_020_Ca032TrN_MaLSS_DrSt_ode23t.png","figure")</f>
        <v>figure</v>
      </c>
      <c r="Q21" t="s">
        <v>15</v>
      </c>
    </row>
    <row r="22" spans="1:17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148</v>
      </c>
      <c r="K22" t="s">
        <v>23</v>
      </c>
      <c r="L22">
        <v>406</v>
      </c>
      <c r="M22" s="4">
        <v>9.8425378000000006</v>
      </c>
      <c r="N22" s="4">
        <v>231.3220912823418</v>
      </c>
      <c r="O22" s="4">
        <v>-1.7328937509722402E-2</v>
      </c>
      <c r="P22" s="1" t="str">
        <f>HYPERLINK(".\sm_car_250702_0917\sm_car_250702_0917_021_Ca048TrN_MaWOT_DrSt_ode23t.png","figure")</f>
        <v>figure</v>
      </c>
      <c r="Q22" t="s">
        <v>15</v>
      </c>
    </row>
    <row r="23" spans="1:17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20</v>
      </c>
      <c r="H23" t="s">
        <v>21</v>
      </c>
      <c r="I23" t="s">
        <v>24</v>
      </c>
      <c r="J23" t="s">
        <v>148</v>
      </c>
      <c r="K23" t="s">
        <v>23</v>
      </c>
      <c r="L23">
        <v>532</v>
      </c>
      <c r="M23" s="4">
        <v>11.280015000000001</v>
      </c>
      <c r="N23" s="4">
        <v>71.252885645468695</v>
      </c>
      <c r="O23" s="4">
        <v>-0.52884314345820704</v>
      </c>
      <c r="P23" s="1" t="str">
        <f>HYPERLINK(".\sm_car_250702_0917\sm_car_250702_0917_022_Ca048TrN_MaLSS_DrSt_ode23t.png","figure")</f>
        <v>figure</v>
      </c>
      <c r="Q23" t="s">
        <v>15</v>
      </c>
    </row>
    <row r="24" spans="1:17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 t="s">
        <v>148</v>
      </c>
      <c r="K24" t="s">
        <v>23</v>
      </c>
      <c r="L24">
        <v>411</v>
      </c>
      <c r="M24" s="4">
        <v>8.8944416999999998</v>
      </c>
      <c r="N24" s="4">
        <v>231.29335429993066</v>
      </c>
      <c r="O24" s="4">
        <v>9.3446067893205604E-3</v>
      </c>
      <c r="P24" s="1" t="str">
        <f>HYPERLINK(".\sm_car_250702_0917\sm_car_250702_0917_023_Ca064TrN_MaWOT_DrSt_ode23t.png","figure")</f>
        <v>figure</v>
      </c>
      <c r="Q24" t="s">
        <v>15</v>
      </c>
    </row>
    <row r="25" spans="1:17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20</v>
      </c>
      <c r="H25" t="s">
        <v>21</v>
      </c>
      <c r="I25" t="s">
        <v>24</v>
      </c>
      <c r="J25" t="s">
        <v>148</v>
      </c>
      <c r="K25" t="s">
        <v>23</v>
      </c>
      <c r="L25">
        <v>526</v>
      </c>
      <c r="M25" s="4">
        <v>9.0822379000000009</v>
      </c>
      <c r="N25" s="4">
        <v>71.251970603665541</v>
      </c>
      <c r="O25" s="4">
        <v>-0.51781248972730687</v>
      </c>
      <c r="P25" s="1" t="str">
        <f>HYPERLINK(".\sm_car_250702_0917\sm_car_250702_0917_024_Ca064TrN_MaLSS_DrSt_ode23t.png","figure")</f>
        <v>figure</v>
      </c>
      <c r="Q25" t="s">
        <v>15</v>
      </c>
    </row>
    <row r="26" spans="1:17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148</v>
      </c>
      <c r="K26" t="s">
        <v>23</v>
      </c>
      <c r="L26">
        <v>398</v>
      </c>
      <c r="M26" s="4">
        <v>9.0225515000000005</v>
      </c>
      <c r="N26" s="4">
        <v>231.28238490853892</v>
      </c>
      <c r="O26" s="4">
        <v>-2.0507259671197455E-2</v>
      </c>
      <c r="P26" s="1" t="str">
        <f>HYPERLINK(".\sm_car_250702_0917\sm_car_250702_0917_025_Ca080TrN_MaWOT_DrSt_ode23t.png","figure")</f>
        <v>figure</v>
      </c>
      <c r="Q26" t="s">
        <v>15</v>
      </c>
    </row>
    <row r="27" spans="1:17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20</v>
      </c>
      <c r="H27" t="s">
        <v>21</v>
      </c>
      <c r="I27" t="s">
        <v>24</v>
      </c>
      <c r="J27" t="s">
        <v>148</v>
      </c>
      <c r="K27" t="s">
        <v>23</v>
      </c>
      <c r="L27">
        <v>507</v>
      </c>
      <c r="M27" s="4">
        <v>9.1551553000000006</v>
      </c>
      <c r="N27" s="4">
        <v>71.24692585665106</v>
      </c>
      <c r="O27" s="4">
        <v>-0.52526631553924674</v>
      </c>
      <c r="P27" s="1" t="str">
        <f>HYPERLINK(".\sm_car_250702_0917\sm_car_250702_0917_026_Ca080TrN_MaLSS_DrSt_ode23t.png","figure")</f>
        <v>figure</v>
      </c>
      <c r="Q27" t="s">
        <v>15</v>
      </c>
    </row>
    <row r="28" spans="1:17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148</v>
      </c>
      <c r="K28" t="s">
        <v>23</v>
      </c>
      <c r="L28">
        <v>409</v>
      </c>
      <c r="M28" s="4">
        <v>7.0184160000000002</v>
      </c>
      <c r="N28" s="4">
        <v>233.07854766852083</v>
      </c>
      <c r="O28" s="4">
        <v>2.0066921471783239E-2</v>
      </c>
      <c r="P28" s="1" t="str">
        <f>HYPERLINK(".\sm_car_250702_0917\sm_car_250702_0917_027_Ca096TrN_MaWOT_DrSt_ode23t.png","figure")</f>
        <v>figure</v>
      </c>
      <c r="Q28" t="s">
        <v>15</v>
      </c>
    </row>
    <row r="29" spans="1:17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20</v>
      </c>
      <c r="H29" t="s">
        <v>21</v>
      </c>
      <c r="I29" t="s">
        <v>24</v>
      </c>
      <c r="J29" t="s">
        <v>148</v>
      </c>
      <c r="K29" t="s">
        <v>23</v>
      </c>
      <c r="L29">
        <v>522</v>
      </c>
      <c r="M29" s="4">
        <v>7.3560064000000001</v>
      </c>
      <c r="N29" s="4">
        <v>71.763515381239785</v>
      </c>
      <c r="O29" s="4">
        <v>-0.52889785164942793</v>
      </c>
      <c r="P29" s="1" t="str">
        <f>HYPERLINK(".\sm_car_250702_0917\sm_car_250702_0917_028_Ca096TrN_MaLSS_DrSt_ode23t.png","figure")</f>
        <v>figure</v>
      </c>
      <c r="Q29" t="s">
        <v>15</v>
      </c>
    </row>
    <row r="30" spans="1:17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 t="s">
        <v>148</v>
      </c>
      <c r="K30" t="s">
        <v>23</v>
      </c>
      <c r="L30">
        <v>371</v>
      </c>
      <c r="M30" s="4">
        <v>2.7476275000000001</v>
      </c>
      <c r="N30" s="4">
        <v>242.6385086934819</v>
      </c>
      <c r="O30" s="4">
        <v>0.23540517481115167</v>
      </c>
      <c r="P30" s="1" t="str">
        <f>HYPERLINK(".\sm_car_250702_0917\sm_car_250702_0917_029_Ca112TrN_MaWOT_DrSt_ode23t.png","figure")</f>
        <v>figure</v>
      </c>
      <c r="Q30" t="s">
        <v>15</v>
      </c>
    </row>
    <row r="31" spans="1:17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20</v>
      </c>
      <c r="H31" t="s">
        <v>21</v>
      </c>
      <c r="I31" t="s">
        <v>24</v>
      </c>
      <c r="J31" t="s">
        <v>148</v>
      </c>
      <c r="K31" t="s">
        <v>23</v>
      </c>
      <c r="L31">
        <v>484</v>
      </c>
      <c r="M31" s="4">
        <v>3.1516052000000001</v>
      </c>
      <c r="N31" s="4">
        <v>74.671083334168515</v>
      </c>
      <c r="O31" s="4">
        <v>-0.3369934257717313</v>
      </c>
      <c r="P31" s="1" t="str">
        <f>HYPERLINK(".\sm_car_250702_0917\sm_car_250702_0917_030_Ca112TrN_MaLSS_DrSt_ode23t.png","figure")</f>
        <v>figure</v>
      </c>
      <c r="Q31" t="s">
        <v>15</v>
      </c>
    </row>
    <row r="32" spans="1:17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25</v>
      </c>
      <c r="H32" t="s">
        <v>21</v>
      </c>
      <c r="I32" t="s">
        <v>22</v>
      </c>
      <c r="J32" t="s">
        <v>148</v>
      </c>
      <c r="K32" t="s">
        <v>23</v>
      </c>
      <c r="L32">
        <v>359</v>
      </c>
      <c r="M32" s="4">
        <v>2.9366211999999998</v>
      </c>
      <c r="N32" s="4">
        <v>241.58045438747075</v>
      </c>
      <c r="O32" s="4">
        <v>0.23244622126603201</v>
      </c>
      <c r="P32" s="1" t="str">
        <f>HYPERLINK(".\sm_car_250702_0917\sm_car_250702_0917_031_Ca113TrN_MaWOT_DrSt_ode23t.png","figure")</f>
        <v>figure</v>
      </c>
      <c r="Q32" t="s">
        <v>15</v>
      </c>
    </row>
    <row r="33" spans="1:17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25</v>
      </c>
      <c r="H33" t="s">
        <v>21</v>
      </c>
      <c r="I33" t="s">
        <v>24</v>
      </c>
      <c r="J33" t="s">
        <v>148</v>
      </c>
      <c r="K33" t="s">
        <v>23</v>
      </c>
      <c r="L33">
        <v>472</v>
      </c>
      <c r="M33" s="4">
        <v>3.2796826000000001</v>
      </c>
      <c r="N33" s="4">
        <v>74.340532747993649</v>
      </c>
      <c r="O33" s="4">
        <v>-0.33335204490696801</v>
      </c>
      <c r="P33" s="1" t="str">
        <f>HYPERLINK(".\sm_car_250702_0917\sm_car_250702_0917_032_Ca113TrN_MaLSS_DrSt_ode23t.png","figure")</f>
        <v>figure</v>
      </c>
      <c r="Q33" t="s">
        <v>15</v>
      </c>
    </row>
    <row r="34" spans="1:17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26</v>
      </c>
      <c r="H34" t="s">
        <v>21</v>
      </c>
      <c r="I34" t="s">
        <v>22</v>
      </c>
      <c r="J34" t="s">
        <v>148</v>
      </c>
      <c r="K34" t="s">
        <v>23</v>
      </c>
      <c r="L34">
        <v>365</v>
      </c>
      <c r="M34" s="4">
        <v>3.1364505</v>
      </c>
      <c r="N34" s="4">
        <v>241.54135549521669</v>
      </c>
      <c r="O34" s="4">
        <v>0.23257023722638706</v>
      </c>
      <c r="P34" s="1" t="str">
        <f>HYPERLINK(".\sm_car_250702_0917\sm_car_250702_0917_033_Ca114TrN_MaWOT_DrSt_ode23t.png","figure")</f>
        <v>figure</v>
      </c>
      <c r="Q34" t="s">
        <v>15</v>
      </c>
    </row>
    <row r="35" spans="1:17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26</v>
      </c>
      <c r="H35" t="s">
        <v>21</v>
      </c>
      <c r="I35" t="s">
        <v>24</v>
      </c>
      <c r="J35" t="s">
        <v>148</v>
      </c>
      <c r="K35" t="s">
        <v>23</v>
      </c>
      <c r="L35">
        <v>474</v>
      </c>
      <c r="M35" s="4">
        <v>3.5758467</v>
      </c>
      <c r="N35" s="4">
        <v>74.357376080465997</v>
      </c>
      <c r="O35" s="4">
        <v>-0.33401217897315755</v>
      </c>
      <c r="P35" s="1" t="str">
        <f>HYPERLINK(".\sm_car_250702_0917\sm_car_250702_0917_034_Ca114TrN_MaLSS_DrSt_ode23t.png","figure")</f>
        <v>figure</v>
      </c>
      <c r="Q35" t="s">
        <v>15</v>
      </c>
    </row>
    <row r="36" spans="1:17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27</v>
      </c>
      <c r="H36" t="s">
        <v>21</v>
      </c>
      <c r="I36" t="s">
        <v>22</v>
      </c>
      <c r="J36" t="s">
        <v>148</v>
      </c>
      <c r="K36" t="s">
        <v>23</v>
      </c>
      <c r="L36">
        <v>402</v>
      </c>
      <c r="M36" s="4">
        <v>3.5644477000000001</v>
      </c>
      <c r="N36" s="4">
        <v>241.25491004899072</v>
      </c>
      <c r="O36" s="4">
        <v>0.23086755550324103</v>
      </c>
      <c r="P36" s="1" t="str">
        <f>HYPERLINK(".\sm_car_250702_0917\sm_car_250702_0917_035_Ca115TrN_MaWOT_DrSt_ode23t.png","figure")</f>
        <v>figure</v>
      </c>
      <c r="Q36" t="s">
        <v>15</v>
      </c>
    </row>
    <row r="37" spans="1:17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27</v>
      </c>
      <c r="H37" t="s">
        <v>21</v>
      </c>
      <c r="I37" t="s">
        <v>24</v>
      </c>
      <c r="J37" t="s">
        <v>148</v>
      </c>
      <c r="K37" t="s">
        <v>23</v>
      </c>
      <c r="L37">
        <v>505</v>
      </c>
      <c r="M37" s="4">
        <v>3.7000525999999998</v>
      </c>
      <c r="N37" s="4">
        <v>74.216397484708779</v>
      </c>
      <c r="O37" s="4">
        <v>-0.33149412046077237</v>
      </c>
      <c r="P37" s="1" t="str">
        <f>HYPERLINK(".\sm_car_250702_0917\sm_car_250702_0917_036_Ca115TrN_MaLSS_DrSt_ode23t.png","figure")</f>
        <v>figure</v>
      </c>
      <c r="Q37" t="s">
        <v>15</v>
      </c>
    </row>
    <row r="38" spans="1:17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20</v>
      </c>
      <c r="H38" t="s">
        <v>21</v>
      </c>
      <c r="I38" t="s">
        <v>22</v>
      </c>
      <c r="J38" t="s">
        <v>148</v>
      </c>
      <c r="K38" t="s">
        <v>23</v>
      </c>
      <c r="L38">
        <v>917</v>
      </c>
      <c r="M38" s="4">
        <v>4.9973215</v>
      </c>
      <c r="N38" s="4">
        <v>242.55284377109695</v>
      </c>
      <c r="O38" s="4">
        <v>0.23659137482604095</v>
      </c>
      <c r="P38" s="1" t="str">
        <f>HYPERLINK(".\sm_car_250702_0917\sm_car_250702_0917_037_Ca116TrN_MaWOT_DrSt_ode23t.png","figure")</f>
        <v>figure</v>
      </c>
      <c r="Q38" t="s">
        <v>15</v>
      </c>
    </row>
    <row r="39" spans="1:17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20</v>
      </c>
      <c r="H39" t="s">
        <v>21</v>
      </c>
      <c r="I39" t="s">
        <v>24</v>
      </c>
      <c r="J39" t="s">
        <v>148</v>
      </c>
      <c r="K39" t="s">
        <v>23</v>
      </c>
      <c r="L39">
        <v>1057</v>
      </c>
      <c r="M39" s="4">
        <v>5.5239969999999996</v>
      </c>
      <c r="N39" s="4">
        <v>74.662659723869751</v>
      </c>
      <c r="O39" s="4">
        <v>-0.3401055901651473</v>
      </c>
      <c r="P39" s="1" t="str">
        <f>HYPERLINK(".\sm_car_250702_0917\sm_car_250702_0917_038_Ca116TrN_MaLSS_DrSt_ode23t.png","figure")</f>
        <v>figure</v>
      </c>
      <c r="Q39" t="s">
        <v>15</v>
      </c>
    </row>
    <row r="40" spans="1:17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25</v>
      </c>
      <c r="H40" t="s">
        <v>21</v>
      </c>
      <c r="I40" t="s">
        <v>22</v>
      </c>
      <c r="J40" t="s">
        <v>148</v>
      </c>
      <c r="K40" t="s">
        <v>23</v>
      </c>
      <c r="L40">
        <v>976</v>
      </c>
      <c r="M40" s="4">
        <v>5.9377665000000004</v>
      </c>
      <c r="N40" s="4">
        <v>241.52386708211642</v>
      </c>
      <c r="O40" s="4">
        <v>0.23290662762157971</v>
      </c>
      <c r="P40" s="1" t="str">
        <f>HYPERLINK(".\sm_car_250702_0917\sm_car_250702_0917_039_Ca117TrN_MaWOT_DrSt_ode23t.png","figure")</f>
        <v>figure</v>
      </c>
      <c r="Q40" t="s">
        <v>15</v>
      </c>
    </row>
    <row r="41" spans="1:17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25</v>
      </c>
      <c r="H41" t="s">
        <v>21</v>
      </c>
      <c r="I41" t="s">
        <v>24</v>
      </c>
      <c r="J41" t="s">
        <v>148</v>
      </c>
      <c r="K41" t="s">
        <v>23</v>
      </c>
      <c r="L41">
        <v>1080</v>
      </c>
      <c r="M41" s="4">
        <v>6.4157891999999999</v>
      </c>
      <c r="N41" s="4">
        <v>74.339196892975252</v>
      </c>
      <c r="O41" s="4">
        <v>-0.3364908135753153</v>
      </c>
      <c r="P41" s="1" t="str">
        <f>HYPERLINK(".\sm_car_250702_0917\sm_car_250702_0917_040_Ca117TrN_MaLSS_DrSt_ode23t.png","figure")</f>
        <v>figure</v>
      </c>
      <c r="Q41" t="s">
        <v>15</v>
      </c>
    </row>
    <row r="42" spans="1:17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26</v>
      </c>
      <c r="H42" t="s">
        <v>21</v>
      </c>
      <c r="I42" t="s">
        <v>22</v>
      </c>
      <c r="J42" t="s">
        <v>148</v>
      </c>
      <c r="K42" t="s">
        <v>23</v>
      </c>
      <c r="L42">
        <v>947</v>
      </c>
      <c r="M42" s="4">
        <v>5.7996942000000002</v>
      </c>
      <c r="N42" s="4">
        <v>241.23064820859912</v>
      </c>
      <c r="O42" s="4">
        <v>0.23252480072032861</v>
      </c>
      <c r="P42" s="1" t="str">
        <f>HYPERLINK(".\sm_car_250702_0917\sm_car_250702_0917_041_Ca118TrN_MaWOT_DrSt_ode23t.png","figure")</f>
        <v>figure</v>
      </c>
      <c r="Q42" t="s">
        <v>15</v>
      </c>
    </row>
    <row r="43" spans="1:17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26</v>
      </c>
      <c r="H43" t="s">
        <v>21</v>
      </c>
      <c r="I43" t="s">
        <v>24</v>
      </c>
      <c r="J43" t="s">
        <v>148</v>
      </c>
      <c r="K43" t="s">
        <v>23</v>
      </c>
      <c r="L43">
        <v>1083</v>
      </c>
      <c r="M43" s="4">
        <v>7.0854026000000001</v>
      </c>
      <c r="N43" s="4">
        <v>74.337064431350825</v>
      </c>
      <c r="O43" s="4">
        <v>-0.33611418080232897</v>
      </c>
      <c r="P43" s="1" t="str">
        <f>HYPERLINK(".\sm_car_250702_0917\sm_car_250702_0917_042_Ca118TrN_MaLSS_DrSt_ode23t.png","figure")</f>
        <v>figure</v>
      </c>
      <c r="Q43" t="s">
        <v>15</v>
      </c>
    </row>
    <row r="44" spans="1:17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27</v>
      </c>
      <c r="H44" t="s">
        <v>21</v>
      </c>
      <c r="I44" t="s">
        <v>22</v>
      </c>
      <c r="J44" t="s">
        <v>148</v>
      </c>
      <c r="K44" t="s">
        <v>23</v>
      </c>
      <c r="L44">
        <v>996</v>
      </c>
      <c r="M44" s="4">
        <v>6.2304466999999999</v>
      </c>
      <c r="N44" s="4">
        <v>240.99456068308641</v>
      </c>
      <c r="O44" s="4">
        <v>0.23171030835918666</v>
      </c>
      <c r="P44" s="1" t="str">
        <f>HYPERLINK(".\sm_car_250702_0917\sm_car_250702_0917_043_Ca119TrN_MaWOT_DrSt_ode23t.png","figure")</f>
        <v>figure</v>
      </c>
      <c r="Q44" t="s">
        <v>15</v>
      </c>
    </row>
    <row r="45" spans="1:17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27</v>
      </c>
      <c r="H45" t="s">
        <v>21</v>
      </c>
      <c r="I45" t="s">
        <v>24</v>
      </c>
      <c r="J45" t="s">
        <v>148</v>
      </c>
      <c r="K45" t="s">
        <v>23</v>
      </c>
      <c r="L45">
        <v>1100</v>
      </c>
      <c r="M45" s="4">
        <v>6.6159527999999996</v>
      </c>
      <c r="N45" s="4">
        <v>74.191759012097194</v>
      </c>
      <c r="O45" s="4">
        <v>-0.33397949475133454</v>
      </c>
      <c r="P45" s="1" t="str">
        <f>HYPERLINK(".\sm_car_250702_0917\sm_car_250702_0917_044_Ca119TrN_MaLSS_DrSt_ode23t.png","figure")</f>
        <v>figure</v>
      </c>
      <c r="Q45" t="s">
        <v>15</v>
      </c>
    </row>
    <row r="46" spans="1:17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148</v>
      </c>
      <c r="K46" t="s">
        <v>23</v>
      </c>
      <c r="L46">
        <v>324</v>
      </c>
      <c r="M46" s="4">
        <v>6.3094175999999997</v>
      </c>
      <c r="N46" s="4">
        <v>99.814061262987821</v>
      </c>
      <c r="O46" s="4">
        <v>-1.7632181555593908E-2</v>
      </c>
      <c r="P46" s="1" t="str">
        <f>HYPERLINK(".\sm_car_250702_0917\sm_car_250702_0917_045_Ca128TrN_MaWOT_DrSt_ode23t.png","figure")</f>
        <v>figure</v>
      </c>
      <c r="Q46" t="s">
        <v>15</v>
      </c>
    </row>
    <row r="47" spans="1:17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148</v>
      </c>
      <c r="K47" t="s">
        <v>23</v>
      </c>
      <c r="L47">
        <v>445</v>
      </c>
      <c r="M47" s="4">
        <v>8.2128767000000007</v>
      </c>
      <c r="N47" s="4">
        <v>36.975822320565428</v>
      </c>
      <c r="O47" s="4">
        <v>-0.13066798550488262</v>
      </c>
      <c r="P47" s="1" t="str">
        <f>HYPERLINK(".\sm_car_250702_0917\sm_car_250702_0917_046_Ca128TrN_MaLSS_DrSt_ode23t.png","figure")</f>
        <v>figure</v>
      </c>
      <c r="Q47" t="s">
        <v>15</v>
      </c>
    </row>
    <row r="48" spans="1:17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148</v>
      </c>
      <c r="K48" t="s">
        <v>23</v>
      </c>
      <c r="L48">
        <v>334</v>
      </c>
      <c r="M48" s="4">
        <v>7.2225209000000001</v>
      </c>
      <c r="N48" s="4">
        <v>229.19402805463122</v>
      </c>
      <c r="O48" s="4">
        <v>5.9025754166514316E-2</v>
      </c>
      <c r="P48" s="1" t="str">
        <f>HYPERLINK(".\sm_car_250702_0917\sm_car_250702_0917_047_Ca129TrN_MaWOT_DrSt_ode23t.png","figure")</f>
        <v>figure</v>
      </c>
      <c r="Q48" t="s">
        <v>15</v>
      </c>
    </row>
    <row r="49" spans="1:17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148</v>
      </c>
      <c r="K49" t="s">
        <v>23</v>
      </c>
      <c r="L49">
        <v>476</v>
      </c>
      <c r="M49" s="4">
        <v>9.2736459999999994</v>
      </c>
      <c r="N49" s="4">
        <v>70.691307362227775</v>
      </c>
      <c r="O49" s="4">
        <v>-0.52162300544705675</v>
      </c>
      <c r="P49" s="1" t="str">
        <f>HYPERLINK(".\sm_car_250702_0917\sm_car_250702_0917_048_Ca129TrN_MaLSS_DrSt_ode23t.png","figure")</f>
        <v>figure</v>
      </c>
      <c r="Q49" t="s">
        <v>15</v>
      </c>
    </row>
    <row r="50" spans="1:17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148</v>
      </c>
      <c r="K50" t="s">
        <v>23</v>
      </c>
      <c r="L50">
        <v>800</v>
      </c>
      <c r="M50" s="4">
        <v>69.475059700000003</v>
      </c>
      <c r="N50" s="4">
        <v>217.28170793130232</v>
      </c>
      <c r="O50" s="4">
        <v>-1.5362249648371662</v>
      </c>
      <c r="P50" s="1" t="str">
        <f>HYPERLINK(".\sm_car_250702_0917\sm_car_250702_0917_049_Ca130TrN_MaWOT_DrSt_ode23t.png","figure")</f>
        <v>figure</v>
      </c>
      <c r="Q50" t="s">
        <v>15</v>
      </c>
    </row>
    <row r="51" spans="1:17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148</v>
      </c>
      <c r="K51" t="s">
        <v>23</v>
      </c>
      <c r="L51">
        <v>779</v>
      </c>
      <c r="M51" s="4">
        <v>64.072670700000003</v>
      </c>
      <c r="N51" s="4">
        <v>68.779505776194313</v>
      </c>
      <c r="O51" s="4">
        <v>-0.5440557391299784</v>
      </c>
      <c r="P51" s="1" t="str">
        <f>HYPERLINK(".\sm_car_250702_0917\sm_car_250702_0917_050_Ca130TrN_MaLSS_DrSt_ode23t.png","figure")</f>
        <v>figure</v>
      </c>
      <c r="Q51" t="s">
        <v>15</v>
      </c>
    </row>
    <row r="52" spans="1:17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148</v>
      </c>
      <c r="K52" t="s">
        <v>23</v>
      </c>
      <c r="L52">
        <v>363</v>
      </c>
      <c r="M52" s="4">
        <v>4.8795456000000001</v>
      </c>
      <c r="N52" s="4">
        <v>230.10132280490575</v>
      </c>
      <c r="O52" s="4">
        <v>-4.1828478662908848E-2</v>
      </c>
      <c r="P52" s="1" t="str">
        <f>HYPERLINK(".\sm_car_250702_0917\sm_car_250702_0917_051_Ca131TrN_MaWOT_DrSt_ode23t.png","figure")</f>
        <v>figure</v>
      </c>
      <c r="Q52" t="s">
        <v>15</v>
      </c>
    </row>
    <row r="53" spans="1:17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148</v>
      </c>
      <c r="K53" t="s">
        <v>23</v>
      </c>
      <c r="L53">
        <v>497</v>
      </c>
      <c r="M53" s="4">
        <v>5.5315820000000002</v>
      </c>
      <c r="N53" s="4">
        <v>70.962308130153446</v>
      </c>
      <c r="O53" s="4">
        <v>-0.54092331374709235</v>
      </c>
      <c r="P53" s="1" t="str">
        <f>HYPERLINK(".\sm_car_250702_0917\sm_car_250702_0917_052_Ca131TrN_MaLSS_DrSt_ode23t.png","figure")</f>
        <v>figure</v>
      </c>
      <c r="Q53" t="s">
        <v>15</v>
      </c>
    </row>
    <row r="54" spans="1:17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148</v>
      </c>
      <c r="K54" t="s">
        <v>23</v>
      </c>
      <c r="L54">
        <v>367</v>
      </c>
      <c r="M54" s="4">
        <v>4.9432463999999996</v>
      </c>
      <c r="N54" s="4">
        <v>230.40589816124253</v>
      </c>
      <c r="O54" s="4">
        <v>-9.096984734319408E-3</v>
      </c>
      <c r="P54" s="1" t="str">
        <f>HYPERLINK(".\sm_car_250702_0917\sm_car_250702_0917_053_Ca132TrN_MaWOT_DrSt_ode23t.png","figure")</f>
        <v>figure</v>
      </c>
      <c r="Q54" t="s">
        <v>15</v>
      </c>
    </row>
    <row r="55" spans="1:17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148</v>
      </c>
      <c r="K55" t="s">
        <v>23</v>
      </c>
      <c r="L55">
        <v>493</v>
      </c>
      <c r="M55" s="4">
        <v>5.8403741</v>
      </c>
      <c r="N55" s="4">
        <v>70.960602131367693</v>
      </c>
      <c r="O55" s="4">
        <v>-0.53634738852393293</v>
      </c>
      <c r="P55" s="1" t="str">
        <f>HYPERLINK(".\sm_car_250702_0917\sm_car_250702_0917_054_Ca132TrN_MaLSS_DrSt_ode23t.png","figure")</f>
        <v>figure</v>
      </c>
      <c r="Q55" t="s">
        <v>15</v>
      </c>
    </row>
    <row r="56" spans="1:17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148</v>
      </c>
      <c r="K56" t="s">
        <v>23</v>
      </c>
      <c r="L56">
        <v>354</v>
      </c>
      <c r="M56" s="4">
        <v>4.7955161000000004</v>
      </c>
      <c r="N56" s="4">
        <v>230.38890124053427</v>
      </c>
      <c r="O56" s="4">
        <v>-7.5062799287146644E-3</v>
      </c>
      <c r="P56" s="1" t="str">
        <f>HYPERLINK(".\sm_car_250702_0917\sm_car_250702_0917_055_Ca133TrN_MaWOT_DrSt_ode23t.png","figure")</f>
        <v>figure</v>
      </c>
      <c r="Q56" t="s">
        <v>15</v>
      </c>
    </row>
    <row r="57" spans="1:17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148</v>
      </c>
      <c r="K57" t="s">
        <v>23</v>
      </c>
      <c r="L57">
        <v>497</v>
      </c>
      <c r="M57" s="4">
        <v>5.5239824999999998</v>
      </c>
      <c r="N57" s="4">
        <v>70.970673316838216</v>
      </c>
      <c r="O57" s="4">
        <v>-0.52834200882352278</v>
      </c>
      <c r="P57" s="1" t="str">
        <f>HYPERLINK(".\sm_car_250702_0917\sm_car_250702_0917_056_Ca133TrN_MaLSS_DrSt_ode23t.png","figure")</f>
        <v>figure</v>
      </c>
      <c r="Q57" t="s">
        <v>15</v>
      </c>
    </row>
    <row r="58" spans="1:17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148</v>
      </c>
      <c r="K58" t="s">
        <v>23</v>
      </c>
      <c r="L58">
        <v>358</v>
      </c>
      <c r="M58" s="4">
        <v>5.3933578999999998</v>
      </c>
      <c r="N58" s="4">
        <v>230.38627969123687</v>
      </c>
      <c r="O58" s="4">
        <v>-1.2699869487549548E-2</v>
      </c>
      <c r="P58" s="1" t="str">
        <f>HYPERLINK(".\sm_car_250702_0917\sm_car_250702_0917_057_Ca134TrN_MaWOT_DrSt_ode23t.png","figure")</f>
        <v>figure</v>
      </c>
      <c r="Q58" t="s">
        <v>15</v>
      </c>
    </row>
    <row r="59" spans="1:17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148</v>
      </c>
      <c r="K59" t="s">
        <v>23</v>
      </c>
      <c r="L59">
        <v>502</v>
      </c>
      <c r="M59" s="4">
        <v>5.7519900000000002</v>
      </c>
      <c r="N59" s="4">
        <v>70.976515589972053</v>
      </c>
      <c r="O59" s="4">
        <v>-0.534342537793145</v>
      </c>
      <c r="P59" s="1" t="str">
        <f>HYPERLINK(".\sm_car_250702_0917\sm_car_250702_0917_058_Ca134TrN_MaLSS_DrSt_ode23t.png","figure")</f>
        <v>figure</v>
      </c>
      <c r="Q59" t="s">
        <v>15</v>
      </c>
    </row>
    <row r="60" spans="1:17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148</v>
      </c>
      <c r="K60" t="s">
        <v>23</v>
      </c>
      <c r="L60">
        <v>346</v>
      </c>
      <c r="M60" s="4">
        <v>4.8328812000000001</v>
      </c>
      <c r="N60" s="4">
        <v>230.39182221946751</v>
      </c>
      <c r="O60" s="4">
        <v>-1.1090319417731176E-2</v>
      </c>
      <c r="P60" s="1" t="str">
        <f>HYPERLINK(".\sm_car_250702_0917\sm_car_250702_0917_059_Ca135TrN_MaWOT_DrSt_ode23t.png","figure")</f>
        <v>figure</v>
      </c>
      <c r="Q60" t="s">
        <v>15</v>
      </c>
    </row>
    <row r="61" spans="1:17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148</v>
      </c>
      <c r="K61" t="s">
        <v>23</v>
      </c>
      <c r="L61">
        <v>490</v>
      </c>
      <c r="M61" s="4">
        <v>5.6346632999999997</v>
      </c>
      <c r="N61" s="4">
        <v>70.979964543448673</v>
      </c>
      <c r="O61" s="4">
        <v>-0.52629443401147824</v>
      </c>
      <c r="P61" s="1" t="str">
        <f>HYPERLINK(".\sm_car_250702_0917\sm_car_250702_0917_060_Ca135TrN_MaLSS_DrSt_ode23t.png","figure")</f>
        <v>figure</v>
      </c>
      <c r="Q61" t="s">
        <v>15</v>
      </c>
    </row>
    <row r="62" spans="1:17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148</v>
      </c>
      <c r="K62" t="s">
        <v>23</v>
      </c>
      <c r="L62">
        <v>363</v>
      </c>
      <c r="M62" s="4">
        <v>5.7688305</v>
      </c>
      <c r="N62" s="4">
        <v>230.28749129544778</v>
      </c>
      <c r="O62" s="4">
        <v>5.7437038867938522E-2</v>
      </c>
      <c r="P62" s="1" t="str">
        <f>HYPERLINK(".\sm_car_250702_0917\sm_car_250702_0917_061_Ca136TrN_MaWOT_DrSt_ode23t.png","figure")</f>
        <v>figure</v>
      </c>
      <c r="Q62" t="s">
        <v>15</v>
      </c>
    </row>
    <row r="63" spans="1:17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148</v>
      </c>
      <c r="K63" t="s">
        <v>23</v>
      </c>
      <c r="L63">
        <v>491</v>
      </c>
      <c r="M63" s="4">
        <v>7.3035468999999997</v>
      </c>
      <c r="N63" s="4">
        <v>70.970897178997788</v>
      </c>
      <c r="O63" s="4">
        <v>-0.52998807998681552</v>
      </c>
      <c r="P63" s="1" t="str">
        <f>HYPERLINK(".\sm_car_250702_0917\sm_car_250702_0917_062_Ca136TrN_MaLSS_DrSt_ode23t.png","figure")</f>
        <v>figure</v>
      </c>
      <c r="Q63" t="s">
        <v>15</v>
      </c>
    </row>
    <row r="64" spans="1:17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148</v>
      </c>
      <c r="K64" t="s">
        <v>23</v>
      </c>
      <c r="L64">
        <v>322</v>
      </c>
      <c r="M64" s="4">
        <v>4.9318502000000004</v>
      </c>
      <c r="N64" s="4">
        <v>231.13056882651293</v>
      </c>
      <c r="O64" s="4">
        <v>0.14153927036018177</v>
      </c>
      <c r="P64" s="1" t="str">
        <f>HYPERLINK(".\sm_car_250702_0917\sm_car_250702_0917_063_Ca137TrN_MaWOT_DrSt_ode23t.png","figure")</f>
        <v>figure</v>
      </c>
      <c r="Q64" t="s">
        <v>15</v>
      </c>
    </row>
    <row r="65" spans="1:17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148</v>
      </c>
      <c r="K65" t="s">
        <v>23</v>
      </c>
      <c r="L65">
        <v>480</v>
      </c>
      <c r="M65" s="4">
        <v>6.2922096999999999</v>
      </c>
      <c r="N65" s="4">
        <v>71.239976441046863</v>
      </c>
      <c r="O65" s="4">
        <v>-0.51296852072698151</v>
      </c>
      <c r="P65" s="1" t="str">
        <f>HYPERLINK(".\sm_car_250702_0917\sm_car_250702_0917_064_Ca137TrN_MaLSS_DrSt_ode23t.png","figure")</f>
        <v>figure</v>
      </c>
      <c r="Q65" t="s">
        <v>15</v>
      </c>
    </row>
    <row r="66" spans="1:17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148</v>
      </c>
      <c r="K66" t="s">
        <v>23</v>
      </c>
      <c r="L66">
        <v>330</v>
      </c>
      <c r="M66" s="4">
        <v>6.7450342000000001</v>
      </c>
      <c r="N66" s="4">
        <v>231.04126857060766</v>
      </c>
      <c r="O66" s="4">
        <v>0.14657344627996305</v>
      </c>
      <c r="P66" s="1" t="str">
        <f>HYPERLINK(".\sm_car_250702_0917\sm_car_250702_0917_065_Ca138TrN_MaWOT_DrSt_ode23t.png","figure")</f>
        <v>figure</v>
      </c>
      <c r="Q66" t="s">
        <v>15</v>
      </c>
    </row>
    <row r="67" spans="1:17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148</v>
      </c>
      <c r="K67" t="s">
        <v>23</v>
      </c>
      <c r="L67">
        <v>495</v>
      </c>
      <c r="M67" s="4">
        <v>7.0350691000000003</v>
      </c>
      <c r="N67" s="4">
        <v>71.130252783663053</v>
      </c>
      <c r="O67" s="4">
        <v>-0.82600072700020344</v>
      </c>
      <c r="P67" s="1" t="str">
        <f>HYPERLINK(".\sm_car_250702_0917\sm_car_250702_0917_066_Ca138TrN_MaLSS_DrSt_ode23t.png","figure")</f>
        <v>figure</v>
      </c>
      <c r="Q67" t="s">
        <v>15</v>
      </c>
    </row>
    <row r="68" spans="1:17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148</v>
      </c>
      <c r="K68" t="s">
        <v>23</v>
      </c>
      <c r="L68">
        <v>657</v>
      </c>
      <c r="M68" s="4">
        <v>28.2847781</v>
      </c>
      <c r="N68" s="4">
        <v>405.19549201509864</v>
      </c>
      <c r="O68" s="4">
        <v>1.6048154367876721</v>
      </c>
      <c r="P68" s="1" t="str">
        <f>HYPERLINK(".\sm_car_250702_0917\sm_car_250702_0917_067_Ca139TrN_MaWOT_DrSt_ode23t.png","figure")</f>
        <v>figure</v>
      </c>
      <c r="Q68" t="s">
        <v>15</v>
      </c>
    </row>
    <row r="69" spans="1:17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148</v>
      </c>
      <c r="K69" t="s">
        <v>23</v>
      </c>
      <c r="L69">
        <v>632</v>
      </c>
      <c r="M69" s="4">
        <v>17.439915899999999</v>
      </c>
      <c r="N69" s="4">
        <v>154.32539979230438</v>
      </c>
      <c r="O69" s="4">
        <v>-0.5789497059001818</v>
      </c>
      <c r="P69" s="1" t="str">
        <f>HYPERLINK(".\sm_car_250702_0917\sm_car_250702_0917_068_Ca139TrN_MaLSS_DrSt_ode23t.png","figure")</f>
        <v>figure</v>
      </c>
      <c r="Q69" t="s">
        <v>15</v>
      </c>
    </row>
    <row r="70" spans="1:17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148</v>
      </c>
      <c r="K70" t="s">
        <v>23</v>
      </c>
      <c r="L70">
        <v>1995</v>
      </c>
      <c r="M70" s="4">
        <v>38.409194100000001</v>
      </c>
      <c r="N70" s="4">
        <v>405.29716522749465</v>
      </c>
      <c r="O70" s="4">
        <v>1.5485743495076507</v>
      </c>
      <c r="P70" s="1" t="str">
        <f>HYPERLINK(".\sm_car_250702_0917\sm_car_250702_0917_069_Ca141TrN_MaWOT_DrSt_ode23t.png","figure")</f>
        <v>figure</v>
      </c>
      <c r="Q70" t="s">
        <v>15</v>
      </c>
    </row>
    <row r="71" spans="1:17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148</v>
      </c>
      <c r="K71" t="s">
        <v>23</v>
      </c>
      <c r="L71">
        <v>1853</v>
      </c>
      <c r="M71" s="4">
        <v>29.142163199999999</v>
      </c>
      <c r="N71" s="4">
        <v>154.40237766328053</v>
      </c>
      <c r="O71" s="4">
        <v>-0.57613480173914944</v>
      </c>
      <c r="P71" s="1" t="str">
        <f>HYPERLINK(".\sm_car_250702_0917\sm_car_250702_0917_070_Ca141TrN_MaLSS_DrSt_ode23t.png","figure")</f>
        <v>figure</v>
      </c>
      <c r="Q71" t="s">
        <v>15</v>
      </c>
    </row>
    <row r="72" spans="1:17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148</v>
      </c>
      <c r="K72" t="s">
        <v>23</v>
      </c>
      <c r="L72">
        <v>370</v>
      </c>
      <c r="M72" s="4">
        <v>22.444209799999999</v>
      </c>
      <c r="N72" s="4">
        <v>95.794746970258373</v>
      </c>
      <c r="O72" s="4">
        <v>-3.2028663998187622E-2</v>
      </c>
      <c r="P72" s="1" t="str">
        <f>HYPERLINK(".\sm_car_250702_0917\sm_car_250702_0917_071_Ca143TrN_MaWOT_DrSt_ode23t.png","figure")</f>
        <v>figure</v>
      </c>
      <c r="Q72" t="s">
        <v>15</v>
      </c>
    </row>
    <row r="73" spans="1:17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148</v>
      </c>
      <c r="K73" t="s">
        <v>23</v>
      </c>
      <c r="L73">
        <v>478</v>
      </c>
      <c r="M73" s="4">
        <v>26.324206</v>
      </c>
      <c r="N73" s="4">
        <v>25.003418711742356</v>
      </c>
      <c r="O73" s="4">
        <v>-5.3029491604424044E-2</v>
      </c>
      <c r="P73" s="1" t="str">
        <f>HYPERLINK(".\sm_car_250702_0917\sm_car_250702_0917_072_Ca143TrN_MaLSS_DrSt_ode23t.png","figure")</f>
        <v>figure</v>
      </c>
      <c r="Q73" t="s">
        <v>15</v>
      </c>
    </row>
    <row r="74" spans="1:17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148</v>
      </c>
      <c r="K74" t="s">
        <v>23</v>
      </c>
      <c r="L74">
        <v>357</v>
      </c>
      <c r="M74" s="4">
        <v>17.726398199999998</v>
      </c>
      <c r="N74" s="4">
        <v>114.02377298114527</v>
      </c>
      <c r="O74" s="4">
        <v>0.5298987478817927</v>
      </c>
      <c r="P74" s="1" t="str">
        <f>HYPERLINK(".\sm_car_250702_0917\sm_car_250702_0917_073_Ca144TrN_MaWOT_DrSt_ode23t.png","figure")</f>
        <v>figure</v>
      </c>
      <c r="Q74" t="s">
        <v>15</v>
      </c>
    </row>
    <row r="75" spans="1:17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148</v>
      </c>
      <c r="K75" t="s">
        <v>23</v>
      </c>
      <c r="L75">
        <v>448</v>
      </c>
      <c r="M75" s="4">
        <v>16.6239068</v>
      </c>
      <c r="N75" s="4">
        <v>35.600339153195158</v>
      </c>
      <c r="O75" s="4">
        <v>-3.2380545389799884E-2</v>
      </c>
      <c r="P75" s="1" t="str">
        <f>HYPERLINK(".\sm_car_250702_0917\sm_car_250702_0917_074_Ca144TrN_MaLSS_DrSt_ode23t.png","figure")</f>
        <v>figure</v>
      </c>
      <c r="Q75" t="s">
        <v>15</v>
      </c>
    </row>
    <row r="76" spans="1:17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148</v>
      </c>
      <c r="K76" t="s">
        <v>23</v>
      </c>
      <c r="L76">
        <v>2318</v>
      </c>
      <c r="M76" s="4">
        <v>27.001231300000001</v>
      </c>
      <c r="N76" s="4">
        <v>399.83751594340066</v>
      </c>
      <c r="O76" s="4">
        <v>-13.769723768885536</v>
      </c>
      <c r="P76" s="1" t="str">
        <f>HYPERLINK(".\sm_car_250702_0917\sm_car_250702_0917_075_Ca147TrN_MaWOT_DrSt_ode23t.png","figure")</f>
        <v>figure</v>
      </c>
      <c r="Q76" t="s">
        <v>15</v>
      </c>
    </row>
    <row r="77" spans="1:17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148</v>
      </c>
      <c r="K77" t="s">
        <v>23</v>
      </c>
      <c r="L77">
        <v>1278</v>
      </c>
      <c r="M77" s="4">
        <v>18.659588400000001</v>
      </c>
      <c r="N77" s="4">
        <v>151.91615992715055</v>
      </c>
      <c r="O77" s="4">
        <v>-2.3911999903380852</v>
      </c>
      <c r="P77" s="1" t="str">
        <f>HYPERLINK(".\sm_car_250702_0917\sm_car_250702_0917_076_Ca147TrN_MaLSS_DrSt_ode23t.png","figure")</f>
        <v>figure</v>
      </c>
      <c r="Q77" t="s">
        <v>15</v>
      </c>
    </row>
    <row r="78" spans="1:17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148</v>
      </c>
      <c r="K78" t="s">
        <v>23</v>
      </c>
      <c r="L78">
        <v>312</v>
      </c>
      <c r="M78" s="4">
        <v>8.526249</v>
      </c>
      <c r="N78" s="4">
        <v>229.67542025612829</v>
      </c>
      <c r="O78" s="4">
        <v>5.5980890335133957E-3</v>
      </c>
      <c r="P78" s="1" t="str">
        <f>HYPERLINK(".\sm_car_250702_0917\sm_car_250702_0917_077_Ca215TrN_MaWOT_DrSt_ode23t.png","figure")</f>
        <v>figure</v>
      </c>
      <c r="Q78" t="s">
        <v>15</v>
      </c>
    </row>
    <row r="79" spans="1:17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148</v>
      </c>
      <c r="K79" t="s">
        <v>23</v>
      </c>
      <c r="L79">
        <v>471</v>
      </c>
      <c r="M79" s="4">
        <v>8.5851004</v>
      </c>
      <c r="N79" s="4">
        <v>81.26828189226714</v>
      </c>
      <c r="O79" s="4">
        <v>-0.22189443475888274</v>
      </c>
      <c r="P79" s="1" t="str">
        <f>HYPERLINK(".\sm_car_250702_0917\sm_car_250702_0917_078_Ca215TrN_MaLSS_DrSt_ode23t.png","figure")</f>
        <v>figure</v>
      </c>
      <c r="Q79" t="s">
        <v>15</v>
      </c>
    </row>
    <row r="80" spans="1:17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26</v>
      </c>
      <c r="H80" t="s">
        <v>21</v>
      </c>
      <c r="I80" t="s">
        <v>22</v>
      </c>
      <c r="J80" t="s">
        <v>148</v>
      </c>
      <c r="K80" t="s">
        <v>23</v>
      </c>
      <c r="L80">
        <v>372</v>
      </c>
      <c r="M80" s="4">
        <v>4.8110311000000001</v>
      </c>
      <c r="N80" s="4">
        <v>230.36702962323639</v>
      </c>
      <c r="O80" s="4">
        <v>0.171208095042619</v>
      </c>
      <c r="P80" s="1" t="str">
        <f>HYPERLINK(".\sm_car_250702_0917\sm_car_250702_0917_079_Ca218TrN_MaWOT_DrSt_ode23t.png","figure")</f>
        <v>figure</v>
      </c>
      <c r="Q80" t="s">
        <v>15</v>
      </c>
    </row>
    <row r="81" spans="1:17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26</v>
      </c>
      <c r="H81" t="s">
        <v>21</v>
      </c>
      <c r="I81" t="s">
        <v>24</v>
      </c>
      <c r="J81" t="s">
        <v>148</v>
      </c>
      <c r="K81" t="s">
        <v>23</v>
      </c>
      <c r="L81">
        <v>503</v>
      </c>
      <c r="M81" s="4">
        <v>5.8995709999999999</v>
      </c>
      <c r="N81" s="4">
        <v>70.964213264629208</v>
      </c>
      <c r="O81" s="4">
        <v>-0.53420126133833656</v>
      </c>
      <c r="P81" s="1" t="str">
        <f>HYPERLINK(".\sm_car_250702_0917\sm_car_250702_0917_080_Ca218TrN_MaLSS_DrSt_ode23t.png","figure")</f>
        <v>figure</v>
      </c>
      <c r="Q81" t="s">
        <v>15</v>
      </c>
    </row>
    <row r="82" spans="1:17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26</v>
      </c>
      <c r="H82" t="s">
        <v>21</v>
      </c>
      <c r="I82" t="s">
        <v>22</v>
      </c>
      <c r="J82" t="s">
        <v>148</v>
      </c>
      <c r="K82" t="s">
        <v>23</v>
      </c>
      <c r="L82">
        <v>390</v>
      </c>
      <c r="M82" s="4">
        <v>7.4861221000000002</v>
      </c>
      <c r="N82" s="4">
        <v>229.76485302547371</v>
      </c>
      <c r="O82" s="4">
        <v>0.17256926028272024</v>
      </c>
      <c r="P82" s="1" t="str">
        <f>HYPERLINK(".\sm_car_250702_0917\sm_car_250702_0917_081_Ca219TrN_MaWOT_DrSt_ode23t.png","figure")</f>
        <v>figure</v>
      </c>
      <c r="Q82" t="s">
        <v>15</v>
      </c>
    </row>
    <row r="83" spans="1:17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26</v>
      </c>
      <c r="H83" t="s">
        <v>21</v>
      </c>
      <c r="I83" t="s">
        <v>24</v>
      </c>
      <c r="J83" t="s">
        <v>148</v>
      </c>
      <c r="K83" t="s">
        <v>23</v>
      </c>
      <c r="L83">
        <v>517</v>
      </c>
      <c r="M83" s="4">
        <v>8.8208599000000003</v>
      </c>
      <c r="N83" s="4">
        <v>70.789905280450611</v>
      </c>
      <c r="O83" s="4">
        <v>-0.55288557343277933</v>
      </c>
      <c r="P83" s="1" t="str">
        <f>HYPERLINK(".\sm_car_250702_0917\sm_car_250702_0917_082_Ca219TrN_MaLSS_DrSt_ode23t.png","figure")</f>
        <v>figure</v>
      </c>
      <c r="Q83" t="s">
        <v>15</v>
      </c>
    </row>
    <row r="84" spans="1:17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26</v>
      </c>
      <c r="H84" t="s">
        <v>21</v>
      </c>
      <c r="I84" t="s">
        <v>22</v>
      </c>
      <c r="J84" t="s">
        <v>148</v>
      </c>
      <c r="K84" t="s">
        <v>23</v>
      </c>
      <c r="L84">
        <v>935</v>
      </c>
      <c r="M84" s="4">
        <v>34.1393822</v>
      </c>
      <c r="N84" s="4">
        <v>223.9612367010869</v>
      </c>
      <c r="O84" s="4">
        <v>-1.2062936896892205</v>
      </c>
      <c r="P84" s="1" t="str">
        <f>HYPERLINK(".\sm_car_250702_0917\sm_car_250702_0917_083_Ca220TrN_MaWOT_DrSt_ode23t.png","figure")</f>
        <v>figure</v>
      </c>
      <c r="Q84" t="s">
        <v>15</v>
      </c>
    </row>
    <row r="85" spans="1:17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26</v>
      </c>
      <c r="H85" t="s">
        <v>21</v>
      </c>
      <c r="I85" t="s">
        <v>24</v>
      </c>
      <c r="J85" t="s">
        <v>148</v>
      </c>
      <c r="K85" t="s">
        <v>23</v>
      </c>
      <c r="L85">
        <v>1092</v>
      </c>
      <c r="M85" s="4">
        <v>41.325184499999999</v>
      </c>
      <c r="N85" s="4">
        <v>69.477840452917178</v>
      </c>
      <c r="O85" s="4">
        <v>-1.5052154600666228</v>
      </c>
      <c r="P85" s="1" t="str">
        <f>HYPERLINK(".\sm_car_250702_0917\sm_car_250702_0917_084_Ca220TrN_MaLSS_DrSt_ode23t.png","figure")</f>
        <v>figure</v>
      </c>
      <c r="Q85" t="s">
        <v>15</v>
      </c>
    </row>
    <row r="86" spans="1:17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148</v>
      </c>
      <c r="K86" t="s">
        <v>23</v>
      </c>
      <c r="L86">
        <v>468</v>
      </c>
      <c r="M86" s="4">
        <v>19.605138199999999</v>
      </c>
      <c r="N86" s="4">
        <v>293.16432845264791</v>
      </c>
      <c r="O86" s="4">
        <v>5.2423235952798494E-5</v>
      </c>
      <c r="P86" s="1" t="str">
        <f>HYPERLINK(".\sm_car_250702_0917\sm_car_250702_0917_085_Ca223TrN_MaWOT_DrSt_ode23t.png","figure")</f>
        <v>figure</v>
      </c>
      <c r="Q86" t="s">
        <v>15</v>
      </c>
    </row>
    <row r="87" spans="1:17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148</v>
      </c>
      <c r="K87" t="s">
        <v>23</v>
      </c>
      <c r="L87">
        <v>647</v>
      </c>
      <c r="M87" s="4">
        <v>20.022191899999999</v>
      </c>
      <c r="N87" s="4">
        <v>103.53157620195991</v>
      </c>
      <c r="O87" s="4">
        <v>-0.15335018436426809</v>
      </c>
      <c r="P87" s="1" t="str">
        <f>HYPERLINK(".\sm_car_250702_0917\sm_car_250702_0917_086_Ca223TrN_MaLSS_DrSt_ode23t.png","figure")</f>
        <v>figure</v>
      </c>
      <c r="Q87" t="s">
        <v>15</v>
      </c>
    </row>
    <row r="88" spans="1:17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148</v>
      </c>
      <c r="K88" t="s">
        <v>23</v>
      </c>
      <c r="L88">
        <v>765</v>
      </c>
      <c r="M88" s="4">
        <v>65.655998499999995</v>
      </c>
      <c r="N88" s="4">
        <v>406.91346431673531</v>
      </c>
      <c r="O88" s="4">
        <v>-13.893368716896708</v>
      </c>
      <c r="P88" s="1" t="str">
        <f>HYPERLINK(".\sm_car_250702_0917\sm_car_250702_0917_087_Ca227TrN_MaWOT_DrSt_ode23t.png","figure")</f>
        <v>figure</v>
      </c>
      <c r="Q88" t="s">
        <v>15</v>
      </c>
    </row>
    <row r="89" spans="1:17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148</v>
      </c>
      <c r="K89" t="s">
        <v>23</v>
      </c>
      <c r="L89">
        <v>716</v>
      </c>
      <c r="M89" s="4">
        <v>41.873095800000002</v>
      </c>
      <c r="N89" s="4">
        <v>155.19500239422885</v>
      </c>
      <c r="O89" s="4">
        <v>-2.8847494213995875</v>
      </c>
      <c r="P89" s="1" t="str">
        <f>HYPERLINK(".\sm_car_250702_0917\sm_car_250702_0917_088_Ca227TrN_MaLSS_DrSt_ode23t.png","figure")</f>
        <v>figure</v>
      </c>
      <c r="Q89" t="s">
        <v>15</v>
      </c>
    </row>
    <row r="90" spans="1:17" x14ac:dyDescent="0.25">
      <c r="A90">
        <v>89</v>
      </c>
      <c r="B90">
        <v>8</v>
      </c>
      <c r="C90" t="s">
        <v>16</v>
      </c>
      <c r="D90" t="s">
        <v>17</v>
      </c>
      <c r="E90" t="s">
        <v>49</v>
      </c>
      <c r="F90" t="s">
        <v>19</v>
      </c>
      <c r="G90" t="s">
        <v>20</v>
      </c>
      <c r="H90" t="s">
        <v>21</v>
      </c>
      <c r="I90" t="s">
        <v>22</v>
      </c>
      <c r="J90" t="s">
        <v>148</v>
      </c>
      <c r="K90" t="s">
        <v>23</v>
      </c>
      <c r="L90">
        <v>382</v>
      </c>
      <c r="M90" s="4">
        <v>28.3394303</v>
      </c>
      <c r="N90" s="4">
        <v>231.31978471892802</v>
      </c>
      <c r="O90" s="4">
        <v>1.0394596207732492E-3</v>
      </c>
      <c r="P90" s="1" t="str">
        <f>HYPERLINK(".\sm_car_250702_0917\sm_car_250702_0917_089_Ca008TrN_MaWOT_DrSt_ode23t_1.png","figure")</f>
        <v>figure</v>
      </c>
      <c r="Q90" t="s">
        <v>15</v>
      </c>
    </row>
    <row r="91" spans="1:17" x14ac:dyDescent="0.25">
      <c r="A91">
        <v>90</v>
      </c>
      <c r="B91">
        <v>8</v>
      </c>
      <c r="C91" t="s">
        <v>16</v>
      </c>
      <c r="D91" t="s">
        <v>17</v>
      </c>
      <c r="E91" t="s">
        <v>49</v>
      </c>
      <c r="F91" t="s">
        <v>19</v>
      </c>
      <c r="G91" t="s">
        <v>20</v>
      </c>
      <c r="H91" t="s">
        <v>21</v>
      </c>
      <c r="I91" t="s">
        <v>24</v>
      </c>
      <c r="J91" t="s">
        <v>148</v>
      </c>
      <c r="K91" t="s">
        <v>23</v>
      </c>
      <c r="L91">
        <v>556</v>
      </c>
      <c r="M91" s="4">
        <v>34.438137699999999</v>
      </c>
      <c r="N91" s="4">
        <v>71.256587613707282</v>
      </c>
      <c r="O91" s="4">
        <v>-0.53995846386788471</v>
      </c>
      <c r="P91" s="1" t="str">
        <f>HYPERLINK(".\sm_car_250702_0917\sm_car_250702_0917_090_Ca008TrN_MaLSS_DrSt_ode23t_1.png","figure")</f>
        <v>figure</v>
      </c>
      <c r="Q91" t="s">
        <v>15</v>
      </c>
    </row>
    <row r="92" spans="1:17" x14ac:dyDescent="0.25">
      <c r="A92">
        <v>91</v>
      </c>
      <c r="B92">
        <v>13</v>
      </c>
      <c r="C92" t="s">
        <v>16</v>
      </c>
      <c r="D92" t="s">
        <v>17</v>
      </c>
      <c r="E92" t="s">
        <v>49</v>
      </c>
      <c r="F92" t="s">
        <v>28</v>
      </c>
      <c r="G92" t="s">
        <v>25</v>
      </c>
      <c r="H92" t="s">
        <v>21</v>
      </c>
      <c r="I92" t="s">
        <v>22</v>
      </c>
      <c r="J92" t="s">
        <v>148</v>
      </c>
      <c r="K92" t="s">
        <v>23</v>
      </c>
      <c r="L92">
        <v>840</v>
      </c>
      <c r="M92" s="4">
        <v>37.836452700000002</v>
      </c>
      <c r="N92" s="4">
        <v>230.32945596886307</v>
      </c>
      <c r="O92" s="4">
        <v>-1.217315426962424E-2</v>
      </c>
      <c r="P92" s="1" t="str">
        <f>HYPERLINK(".\sm_car_250702_0917\sm_car_250702_0917_091_Ca013TrN_MaWOT_DrSt_ode23t_1.png","figure")</f>
        <v>figure</v>
      </c>
      <c r="Q92" t="s">
        <v>15</v>
      </c>
    </row>
    <row r="93" spans="1:17" x14ac:dyDescent="0.25">
      <c r="A93">
        <v>92</v>
      </c>
      <c r="B93">
        <v>13</v>
      </c>
      <c r="C93" t="s">
        <v>16</v>
      </c>
      <c r="D93" t="s">
        <v>17</v>
      </c>
      <c r="E93" t="s">
        <v>49</v>
      </c>
      <c r="F93" t="s">
        <v>28</v>
      </c>
      <c r="G93" t="s">
        <v>25</v>
      </c>
      <c r="H93" t="s">
        <v>21</v>
      </c>
      <c r="I93" t="s">
        <v>24</v>
      </c>
      <c r="J93" t="s">
        <v>148</v>
      </c>
      <c r="K93" t="s">
        <v>23</v>
      </c>
      <c r="L93">
        <v>1005</v>
      </c>
      <c r="M93" s="4">
        <v>44.629967999999998</v>
      </c>
      <c r="N93" s="4">
        <v>70.956998456429673</v>
      </c>
      <c r="O93" s="4">
        <v>-0.53819342432266781</v>
      </c>
      <c r="P93" s="1" t="str">
        <f>HYPERLINK(".\sm_car_250702_0917\sm_car_250702_0917_092_Ca013TrN_MaLSS_DrSt_ode23t_1.png","figure")</f>
        <v>figure</v>
      </c>
      <c r="Q93" t="s">
        <v>15</v>
      </c>
    </row>
    <row r="94" spans="1:17" x14ac:dyDescent="0.25">
      <c r="A94">
        <v>93</v>
      </c>
      <c r="B94">
        <v>120</v>
      </c>
      <c r="C94" t="s">
        <v>16</v>
      </c>
      <c r="D94" t="s">
        <v>35</v>
      </c>
      <c r="E94" t="s">
        <v>49</v>
      </c>
      <c r="F94" t="s">
        <v>19</v>
      </c>
      <c r="G94" t="s">
        <v>20</v>
      </c>
      <c r="H94" t="s">
        <v>21</v>
      </c>
      <c r="I94" t="s">
        <v>22</v>
      </c>
      <c r="J94" t="s">
        <v>148</v>
      </c>
      <c r="K94" t="s">
        <v>23</v>
      </c>
      <c r="L94">
        <v>416</v>
      </c>
      <c r="M94" s="4">
        <v>10.192618</v>
      </c>
      <c r="N94" s="4">
        <v>242.69170005986123</v>
      </c>
      <c r="O94" s="4">
        <v>0.23529589119818642</v>
      </c>
      <c r="P94" s="1" t="str">
        <f>HYPERLINK(".\sm_car_250702_0917\sm_car_250702_0917_093_Ca120TrN_MaWOT_DrSt_ode23t_1.png","figure")</f>
        <v>figure</v>
      </c>
      <c r="Q94" t="s">
        <v>15</v>
      </c>
    </row>
    <row r="95" spans="1:17" x14ac:dyDescent="0.25">
      <c r="A95">
        <v>94</v>
      </c>
      <c r="B95">
        <v>120</v>
      </c>
      <c r="C95" t="s">
        <v>16</v>
      </c>
      <c r="D95" t="s">
        <v>35</v>
      </c>
      <c r="E95" t="s">
        <v>49</v>
      </c>
      <c r="F95" t="s">
        <v>19</v>
      </c>
      <c r="G95" t="s">
        <v>20</v>
      </c>
      <c r="H95" t="s">
        <v>21</v>
      </c>
      <c r="I95" t="s">
        <v>24</v>
      </c>
      <c r="J95" t="s">
        <v>148</v>
      </c>
      <c r="K95" t="s">
        <v>23</v>
      </c>
      <c r="L95">
        <v>534</v>
      </c>
      <c r="M95" s="4">
        <v>10.8130889</v>
      </c>
      <c r="N95" s="4">
        <v>74.671860856374394</v>
      </c>
      <c r="O95" s="4">
        <v>-0.33802521122689189</v>
      </c>
      <c r="P95" s="1" t="str">
        <f>HYPERLINK(".\sm_car_250702_0917\sm_car_250702_0917_094_Ca120TrN_MaLSS_DrSt_ode23t_1.png","figure")</f>
        <v>figure</v>
      </c>
      <c r="Q95" t="s">
        <v>15</v>
      </c>
    </row>
    <row r="96" spans="1:17" x14ac:dyDescent="0.25">
      <c r="A96">
        <v>95</v>
      </c>
      <c r="B96">
        <v>126</v>
      </c>
      <c r="C96" t="s">
        <v>16</v>
      </c>
      <c r="D96" t="s">
        <v>35</v>
      </c>
      <c r="E96" t="s">
        <v>49</v>
      </c>
      <c r="F96" t="s">
        <v>28</v>
      </c>
      <c r="G96" t="s">
        <v>26</v>
      </c>
      <c r="H96" t="s">
        <v>21</v>
      </c>
      <c r="I96" t="s">
        <v>22</v>
      </c>
      <c r="J96" t="s">
        <v>148</v>
      </c>
      <c r="K96" t="s">
        <v>23</v>
      </c>
      <c r="L96">
        <v>1024</v>
      </c>
      <c r="M96" s="4">
        <v>15.4793524</v>
      </c>
      <c r="N96" s="4">
        <v>241.4233049002936</v>
      </c>
      <c r="O96" s="4">
        <v>0.23236684307953262</v>
      </c>
      <c r="P96" s="1" t="str">
        <f>HYPERLINK(".\sm_car_250702_0917\sm_car_250702_0917_095_Ca126TrN_MaWOT_DrSt_ode23t_1.png","figure")</f>
        <v>figure</v>
      </c>
      <c r="Q96" t="s">
        <v>15</v>
      </c>
    </row>
    <row r="97" spans="1:17" x14ac:dyDescent="0.25">
      <c r="A97">
        <v>96</v>
      </c>
      <c r="B97">
        <v>126</v>
      </c>
      <c r="C97" t="s">
        <v>16</v>
      </c>
      <c r="D97" t="s">
        <v>35</v>
      </c>
      <c r="E97" t="s">
        <v>49</v>
      </c>
      <c r="F97" t="s">
        <v>28</v>
      </c>
      <c r="G97" t="s">
        <v>26</v>
      </c>
      <c r="H97" t="s">
        <v>21</v>
      </c>
      <c r="I97" t="s">
        <v>24</v>
      </c>
      <c r="J97" t="s">
        <v>148</v>
      </c>
      <c r="K97" t="s">
        <v>23</v>
      </c>
      <c r="L97">
        <v>1160</v>
      </c>
      <c r="M97" s="4">
        <v>17.4761411</v>
      </c>
      <c r="N97" s="4">
        <v>74.341271265119701</v>
      </c>
      <c r="O97" s="4">
        <v>-0.33654993545724621</v>
      </c>
      <c r="P97" s="1" t="str">
        <f>HYPERLINK(".\sm_car_250702_0917\sm_car_250702_0917_096_Ca126TrN_MaLSS_DrSt_ode23t_1.png","figure")</f>
        <v>figure</v>
      </c>
      <c r="Q97" t="s">
        <v>15</v>
      </c>
    </row>
    <row r="98" spans="1:17" x14ac:dyDescent="0.25">
      <c r="A98">
        <v>97</v>
      </c>
      <c r="B98">
        <v>127</v>
      </c>
      <c r="C98" t="s">
        <v>16</v>
      </c>
      <c r="D98" t="s">
        <v>35</v>
      </c>
      <c r="E98" t="s">
        <v>49</v>
      </c>
      <c r="F98" t="s">
        <v>28</v>
      </c>
      <c r="G98" t="s">
        <v>27</v>
      </c>
      <c r="H98" t="s">
        <v>21</v>
      </c>
      <c r="I98" t="s">
        <v>22</v>
      </c>
      <c r="J98" t="s">
        <v>148</v>
      </c>
      <c r="K98" t="s">
        <v>23</v>
      </c>
      <c r="L98">
        <v>1041</v>
      </c>
      <c r="M98" s="4">
        <v>17.417515300000002</v>
      </c>
      <c r="N98" s="4">
        <v>241.06058888492217</v>
      </c>
      <c r="O98" s="4">
        <v>0.23101171778276336</v>
      </c>
      <c r="P98" s="1" t="str">
        <f>HYPERLINK(".\sm_car_250702_0917\sm_car_250702_0917_097_Ca127TrN_MaWOT_DrSt_ode23t_1.png","figure")</f>
        <v>figure</v>
      </c>
      <c r="Q98" t="s">
        <v>15</v>
      </c>
    </row>
    <row r="99" spans="1:17" x14ac:dyDescent="0.25">
      <c r="A99">
        <v>98</v>
      </c>
      <c r="B99">
        <v>127</v>
      </c>
      <c r="C99" t="s">
        <v>16</v>
      </c>
      <c r="D99" t="s">
        <v>35</v>
      </c>
      <c r="E99" t="s">
        <v>49</v>
      </c>
      <c r="F99" t="s">
        <v>28</v>
      </c>
      <c r="G99" t="s">
        <v>27</v>
      </c>
      <c r="H99" t="s">
        <v>21</v>
      </c>
      <c r="I99" t="s">
        <v>24</v>
      </c>
      <c r="J99" t="s">
        <v>148</v>
      </c>
      <c r="K99" t="s">
        <v>23</v>
      </c>
      <c r="L99">
        <v>1165</v>
      </c>
      <c r="M99" s="4">
        <v>21.826334200000002</v>
      </c>
      <c r="N99" s="4">
        <v>74.195691636774654</v>
      </c>
      <c r="O99" s="4">
        <v>-0.33357725199542154</v>
      </c>
      <c r="P99" s="1" t="str">
        <f>HYPERLINK(".\sm_car_250702_0917\sm_car_250702_0917_098_Ca127TrN_MaLSS_DrSt_ode23t_1.png","figure")</f>
        <v>figure</v>
      </c>
      <c r="Q99" t="s">
        <v>15</v>
      </c>
    </row>
    <row r="100" spans="1:17" x14ac:dyDescent="0.25">
      <c r="A100">
        <v>99</v>
      </c>
      <c r="B100">
        <v>145</v>
      </c>
      <c r="C100" t="s">
        <v>46</v>
      </c>
      <c r="D100" t="s">
        <v>17</v>
      </c>
      <c r="E100" t="s">
        <v>50</v>
      </c>
      <c r="F100" t="s">
        <v>19</v>
      </c>
      <c r="G100" t="s">
        <v>26</v>
      </c>
      <c r="H100" t="s">
        <v>21</v>
      </c>
      <c r="I100" t="s">
        <v>22</v>
      </c>
      <c r="J100" t="s">
        <v>148</v>
      </c>
      <c r="K100" t="s">
        <v>23</v>
      </c>
      <c r="L100">
        <v>355</v>
      </c>
      <c r="M100" s="4">
        <v>42.795999100000003</v>
      </c>
      <c r="N100" s="4">
        <v>95.79754358399353</v>
      </c>
      <c r="O100" s="4">
        <v>-3.2896905590914169E-2</v>
      </c>
      <c r="P100" s="1" t="str">
        <f>HYPERLINK(".\sm_car_250702_0917\sm_car_250702_0917_099_Ca145TrN_MaWOT_DrSt_ode23t_1.png","figure")</f>
        <v>figure</v>
      </c>
      <c r="Q100" t="s">
        <v>15</v>
      </c>
    </row>
    <row r="101" spans="1:17" x14ac:dyDescent="0.25">
      <c r="A101">
        <v>100</v>
      </c>
      <c r="B101">
        <v>145</v>
      </c>
      <c r="C101" t="s">
        <v>46</v>
      </c>
      <c r="D101" t="s">
        <v>17</v>
      </c>
      <c r="E101" t="s">
        <v>50</v>
      </c>
      <c r="F101" t="s">
        <v>19</v>
      </c>
      <c r="G101" t="s">
        <v>26</v>
      </c>
      <c r="H101" t="s">
        <v>21</v>
      </c>
      <c r="I101" t="s">
        <v>24</v>
      </c>
      <c r="J101" t="s">
        <v>148</v>
      </c>
      <c r="K101" t="s">
        <v>23</v>
      </c>
      <c r="L101">
        <v>459</v>
      </c>
      <c r="M101" s="4">
        <v>50.692872700000002</v>
      </c>
      <c r="N101" s="4">
        <v>25.004419746450679</v>
      </c>
      <c r="O101" s="4">
        <v>-4.958993585098264E-2</v>
      </c>
      <c r="P101" s="1" t="str">
        <f>HYPERLINK(".\sm_car_250702_0917\sm_car_250702_0917_100_Ca145TrN_MaLSS_DrSt_ode23t_1.png","figure")</f>
        <v>figure</v>
      </c>
      <c r="Q101" t="s">
        <v>15</v>
      </c>
    </row>
    <row r="102" spans="1:17" x14ac:dyDescent="0.25">
      <c r="A102">
        <v>101</v>
      </c>
      <c r="B102">
        <v>184</v>
      </c>
      <c r="C102" t="s">
        <v>105</v>
      </c>
      <c r="D102" t="s">
        <v>120</v>
      </c>
      <c r="E102" t="s">
        <v>49</v>
      </c>
      <c r="F102" t="s">
        <v>19</v>
      </c>
      <c r="G102" t="s">
        <v>20</v>
      </c>
      <c r="H102" t="s">
        <v>21</v>
      </c>
      <c r="I102" t="s">
        <v>22</v>
      </c>
      <c r="J102" t="s">
        <v>148</v>
      </c>
      <c r="K102" t="s">
        <v>23</v>
      </c>
      <c r="L102">
        <v>311</v>
      </c>
      <c r="M102" s="4">
        <v>47.222155899999997</v>
      </c>
      <c r="N102" s="4">
        <v>294.64546055066154</v>
      </c>
      <c r="O102" s="4">
        <v>5.9485018793192866E-4</v>
      </c>
      <c r="P102" s="1" t="str">
        <f>HYPERLINK(".\sm_car_250702_0917\sm_car_250702_0917_101_Ca184TrN_MaWOT_DrSt_ode23t_1.png","figure")</f>
        <v>figure</v>
      </c>
      <c r="Q102" t="s">
        <v>15</v>
      </c>
    </row>
    <row r="103" spans="1:17" x14ac:dyDescent="0.25">
      <c r="A103">
        <v>102</v>
      </c>
      <c r="B103">
        <v>184</v>
      </c>
      <c r="C103" t="s">
        <v>105</v>
      </c>
      <c r="D103" t="s">
        <v>120</v>
      </c>
      <c r="E103" t="s">
        <v>49</v>
      </c>
      <c r="F103" t="s">
        <v>19</v>
      </c>
      <c r="G103" t="s">
        <v>20</v>
      </c>
      <c r="H103" t="s">
        <v>21</v>
      </c>
      <c r="I103" t="s">
        <v>24</v>
      </c>
      <c r="J103" t="s">
        <v>148</v>
      </c>
      <c r="K103" t="s">
        <v>23</v>
      </c>
      <c r="L103">
        <v>481</v>
      </c>
      <c r="M103" s="4">
        <v>33.453711800000001</v>
      </c>
      <c r="N103" s="4">
        <v>103.56281476907209</v>
      </c>
      <c r="O103" s="4">
        <v>-0.21255854813123123</v>
      </c>
      <c r="P103" s="1" t="str">
        <f>HYPERLINK(".\sm_car_250702_0917\sm_car_250702_0917_102_Ca184TrN_MaLSS_DrSt_ode23t_1.png","figure")</f>
        <v>figure</v>
      </c>
      <c r="Q103" t="s">
        <v>15</v>
      </c>
    </row>
    <row r="104" spans="1:17" x14ac:dyDescent="0.25">
      <c r="A104">
        <v>103</v>
      </c>
      <c r="B104">
        <v>217</v>
      </c>
      <c r="C104" t="s">
        <v>45</v>
      </c>
      <c r="D104" t="s">
        <v>17</v>
      </c>
      <c r="E104" t="s">
        <v>107</v>
      </c>
      <c r="F104" t="s">
        <v>119</v>
      </c>
      <c r="G104" t="s">
        <v>26</v>
      </c>
      <c r="H104" t="s">
        <v>21</v>
      </c>
      <c r="I104" t="s">
        <v>22</v>
      </c>
      <c r="J104" t="s">
        <v>148</v>
      </c>
      <c r="K104" t="s">
        <v>23</v>
      </c>
      <c r="L104">
        <v>730</v>
      </c>
      <c r="M104" s="4">
        <v>106.8775512</v>
      </c>
      <c r="N104" s="4">
        <v>278.53758847351867</v>
      </c>
      <c r="O104" s="4">
        <v>0.73464819476723753</v>
      </c>
      <c r="P104" s="1" t="str">
        <f>HYPERLINK(".\sm_car_250702_0917\sm_car_250702_0917_103_Ca217TrN_MaWOT_DrSt_ode23t_1.png","figure")</f>
        <v>figure</v>
      </c>
      <c r="Q104" t="s">
        <v>15</v>
      </c>
    </row>
    <row r="105" spans="1:17" x14ac:dyDescent="0.25">
      <c r="A105">
        <v>104</v>
      </c>
      <c r="B105">
        <v>217</v>
      </c>
      <c r="C105" t="s">
        <v>45</v>
      </c>
      <c r="D105" t="s">
        <v>17</v>
      </c>
      <c r="E105" t="s">
        <v>107</v>
      </c>
      <c r="F105" t="s">
        <v>119</v>
      </c>
      <c r="G105" t="s">
        <v>26</v>
      </c>
      <c r="H105" t="s">
        <v>21</v>
      </c>
      <c r="I105" t="s">
        <v>24</v>
      </c>
      <c r="J105" t="s">
        <v>148</v>
      </c>
      <c r="K105" t="s">
        <v>23</v>
      </c>
      <c r="L105">
        <v>855</v>
      </c>
      <c r="M105" s="4">
        <v>118.05413590000001</v>
      </c>
      <c r="N105" s="4">
        <v>110.06649911149103</v>
      </c>
      <c r="O105" s="4">
        <v>-0.35830147743820601</v>
      </c>
      <c r="P105" s="1" t="str">
        <f>HYPERLINK(".\sm_car_250702_0917\sm_car_250702_0917_104_Ca217TrN_MaLSS_DrSt_ode23t_1.png","figure")</f>
        <v>figure</v>
      </c>
      <c r="Q105" t="s">
        <v>15</v>
      </c>
    </row>
    <row r="106" spans="1:17" x14ac:dyDescent="0.25">
      <c r="A106">
        <v>105</v>
      </c>
      <c r="B106">
        <v>12</v>
      </c>
      <c r="C106" t="s">
        <v>16</v>
      </c>
      <c r="D106" t="s">
        <v>17</v>
      </c>
      <c r="E106" t="s">
        <v>49</v>
      </c>
      <c r="F106" t="s">
        <v>28</v>
      </c>
      <c r="G106" t="s">
        <v>20</v>
      </c>
      <c r="H106" t="s">
        <v>21</v>
      </c>
      <c r="I106" t="s">
        <v>53</v>
      </c>
      <c r="J106" t="s">
        <v>148</v>
      </c>
      <c r="K106" t="s">
        <v>23</v>
      </c>
      <c r="L106">
        <v>886</v>
      </c>
      <c r="M106" s="4">
        <v>34.835224799999999</v>
      </c>
      <c r="N106" s="4">
        <v>255.18857248486341</v>
      </c>
      <c r="O106" s="4">
        <v>4.0838259614094596E-2</v>
      </c>
      <c r="P106" s="1" t="str">
        <f>HYPERLINK(".\sm_car_250702_0917\sm_car_250702_0917_105_Ca012TrN_MaDLC_DrSt_ode23t_1.png","figure")</f>
        <v>figure</v>
      </c>
      <c r="Q106" t="s">
        <v>15</v>
      </c>
    </row>
    <row r="107" spans="1:17" x14ac:dyDescent="0.25">
      <c r="A107">
        <v>106</v>
      </c>
      <c r="B107">
        <v>12</v>
      </c>
      <c r="C107" t="s">
        <v>16</v>
      </c>
      <c r="D107" t="s">
        <v>17</v>
      </c>
      <c r="E107" t="s">
        <v>49</v>
      </c>
      <c r="F107" t="s">
        <v>28</v>
      </c>
      <c r="G107" t="s">
        <v>20</v>
      </c>
      <c r="H107" t="s">
        <v>21</v>
      </c>
      <c r="I107" t="s">
        <v>54</v>
      </c>
      <c r="J107" t="s">
        <v>148</v>
      </c>
      <c r="K107" t="s">
        <v>23</v>
      </c>
      <c r="L107">
        <v>928</v>
      </c>
      <c r="M107" s="4">
        <v>44.442213199999998</v>
      </c>
      <c r="N107" s="4">
        <v>74.803378420356452</v>
      </c>
      <c r="O107" s="4">
        <v>0.71987889792356108</v>
      </c>
      <c r="P107" s="1" t="str">
        <f>HYPERLINK(".\sm_car_250702_0917\sm_car_250702_0917_106_Ca012TrN_MaIPA_DrSt_ode23t_1.png","figure")</f>
        <v>figure</v>
      </c>
      <c r="Q107" t="s">
        <v>15</v>
      </c>
    </row>
    <row r="108" spans="1:17" x14ac:dyDescent="0.25">
      <c r="A108">
        <v>107</v>
      </c>
      <c r="B108">
        <v>142</v>
      </c>
      <c r="C108" t="s">
        <v>45</v>
      </c>
      <c r="D108" t="s">
        <v>17</v>
      </c>
      <c r="E108" t="s">
        <v>49</v>
      </c>
      <c r="F108" t="s">
        <v>28</v>
      </c>
      <c r="G108" t="s">
        <v>26</v>
      </c>
      <c r="H108" t="s">
        <v>21</v>
      </c>
      <c r="I108" t="s">
        <v>53</v>
      </c>
      <c r="J108" t="s">
        <v>148</v>
      </c>
      <c r="K108" t="s">
        <v>23</v>
      </c>
      <c r="L108">
        <v>969</v>
      </c>
      <c r="M108" s="4">
        <v>49.030005500000001</v>
      </c>
      <c r="N108" s="4">
        <v>254.21182065257688</v>
      </c>
      <c r="O108" s="4">
        <v>-6.9222060474483094E-3</v>
      </c>
      <c r="P108" s="1" t="str">
        <f>HYPERLINK(".\sm_car_250702_0917\sm_car_250702_0917_107_Ca142TrN_MaDLC_DrSt_ode23t_1.png","figure")</f>
        <v>figure</v>
      </c>
      <c r="Q108" t="s">
        <v>15</v>
      </c>
    </row>
    <row r="109" spans="1:17" x14ac:dyDescent="0.25">
      <c r="A109">
        <v>108</v>
      </c>
      <c r="B109">
        <v>142</v>
      </c>
      <c r="C109" t="s">
        <v>45</v>
      </c>
      <c r="D109" t="s">
        <v>17</v>
      </c>
      <c r="E109" t="s">
        <v>49</v>
      </c>
      <c r="F109" t="s">
        <v>28</v>
      </c>
      <c r="G109" t="s">
        <v>26</v>
      </c>
      <c r="H109" t="s">
        <v>21</v>
      </c>
      <c r="I109" t="s">
        <v>54</v>
      </c>
      <c r="J109" t="s">
        <v>148</v>
      </c>
      <c r="K109" t="s">
        <v>23</v>
      </c>
      <c r="L109">
        <v>1778</v>
      </c>
      <c r="M109" s="4">
        <v>191.56765250000001</v>
      </c>
      <c r="N109" s="4">
        <v>83.363426396712725</v>
      </c>
      <c r="O109" s="4">
        <v>0.8497273904578948</v>
      </c>
      <c r="P109" s="1" t="str">
        <f>HYPERLINK(".\sm_car_250702_0917\sm_car_250702_0917_108_Ca142TrN_MaIPA_DrSt_ode23t_1.png","figure")</f>
        <v>figure</v>
      </c>
      <c r="Q109" t="s">
        <v>15</v>
      </c>
    </row>
    <row r="110" spans="1:17" x14ac:dyDescent="0.25">
      <c r="A110">
        <v>109</v>
      </c>
      <c r="B110">
        <v>145</v>
      </c>
      <c r="C110" t="s">
        <v>46</v>
      </c>
      <c r="D110" t="s">
        <v>17</v>
      </c>
      <c r="E110" t="s">
        <v>50</v>
      </c>
      <c r="F110" t="s">
        <v>19</v>
      </c>
      <c r="G110" t="s">
        <v>26</v>
      </c>
      <c r="H110" t="s">
        <v>21</v>
      </c>
      <c r="I110" t="s">
        <v>53</v>
      </c>
      <c r="J110" t="s">
        <v>148</v>
      </c>
      <c r="K110" t="s">
        <v>23</v>
      </c>
      <c r="L110">
        <v>463</v>
      </c>
      <c r="M110" s="4">
        <v>49.162611599999998</v>
      </c>
      <c r="N110" s="4">
        <v>256.36744945465915</v>
      </c>
      <c r="O110" s="4">
        <v>6.3724642733067771E-2</v>
      </c>
      <c r="P110" s="1" t="str">
        <f>HYPERLINK(".\sm_car_250702_0917\sm_car_250702_0917_109_Ca145TrN_MaDLC_DrSt_ode23t_1.png","figure")</f>
        <v>figure</v>
      </c>
      <c r="Q110" t="s">
        <v>15</v>
      </c>
    </row>
    <row r="111" spans="1:17" x14ac:dyDescent="0.25">
      <c r="A111">
        <v>110</v>
      </c>
      <c r="B111">
        <v>145</v>
      </c>
      <c r="C111" t="s">
        <v>46</v>
      </c>
      <c r="D111" t="s">
        <v>17</v>
      </c>
      <c r="E111" t="s">
        <v>50</v>
      </c>
      <c r="F111" t="s">
        <v>19</v>
      </c>
      <c r="G111" t="s">
        <v>26</v>
      </c>
      <c r="H111" t="s">
        <v>21</v>
      </c>
      <c r="I111" t="s">
        <v>54</v>
      </c>
      <c r="J111" t="s">
        <v>148</v>
      </c>
      <c r="K111" t="s">
        <v>23</v>
      </c>
      <c r="L111">
        <v>325</v>
      </c>
      <c r="M111" s="4">
        <v>34.569348699999999</v>
      </c>
      <c r="N111" s="4">
        <v>28.088133495090787</v>
      </c>
      <c r="O111" s="4">
        <v>1.5909540235382741E-2</v>
      </c>
      <c r="P111" s="1" t="str">
        <f>HYPERLINK(".\sm_car_250702_0917\sm_car_250702_0917_110_Ca145TrN_MaIPA_DrSt_ode23t_1.png","figure")</f>
        <v>figure</v>
      </c>
      <c r="Q111" t="s">
        <v>15</v>
      </c>
    </row>
    <row r="112" spans="1:17" x14ac:dyDescent="0.25">
      <c r="A112">
        <v>111</v>
      </c>
      <c r="B112">
        <v>184</v>
      </c>
      <c r="C112" t="s">
        <v>105</v>
      </c>
      <c r="D112" t="s">
        <v>120</v>
      </c>
      <c r="E112" t="s">
        <v>49</v>
      </c>
      <c r="F112" t="s">
        <v>19</v>
      </c>
      <c r="G112" t="s">
        <v>20</v>
      </c>
      <c r="H112" t="s">
        <v>21</v>
      </c>
      <c r="I112" t="s">
        <v>53</v>
      </c>
      <c r="J112" t="s">
        <v>148</v>
      </c>
      <c r="K112" t="s">
        <v>23</v>
      </c>
      <c r="L112">
        <v>379</v>
      </c>
      <c r="M112" s="4">
        <v>30.3515245</v>
      </c>
      <c r="N112" s="4">
        <v>256.207185687334</v>
      </c>
      <c r="O112" s="4">
        <v>8.577524375905643E-3</v>
      </c>
      <c r="P112" s="1" t="str">
        <f>HYPERLINK(".\sm_car_250702_0917\sm_car_250702_0917_111_Ca184TrN_MaDLC_DrSt_ode23t_1.png","figure")</f>
        <v>figure</v>
      </c>
      <c r="Q112" t="s">
        <v>15</v>
      </c>
    </row>
    <row r="113" spans="1:17" x14ac:dyDescent="0.25">
      <c r="A113">
        <v>112</v>
      </c>
      <c r="B113">
        <v>184</v>
      </c>
      <c r="C113" t="s">
        <v>105</v>
      </c>
      <c r="D113" t="s">
        <v>120</v>
      </c>
      <c r="E113" t="s">
        <v>49</v>
      </c>
      <c r="F113" t="s">
        <v>19</v>
      </c>
      <c r="G113" t="s">
        <v>20</v>
      </c>
      <c r="H113" t="s">
        <v>21</v>
      </c>
      <c r="I113" t="s">
        <v>54</v>
      </c>
      <c r="J113" t="s">
        <v>148</v>
      </c>
      <c r="K113" t="s">
        <v>23</v>
      </c>
      <c r="L113">
        <v>316</v>
      </c>
      <c r="M113" s="4">
        <v>37.240777100000003</v>
      </c>
      <c r="N113" s="4">
        <v>55.272298865534218</v>
      </c>
      <c r="O113" s="4">
        <v>5.8677306534421622E-3</v>
      </c>
      <c r="P113" s="1" t="str">
        <f>HYPERLINK(".\sm_car_250702_0917\sm_car_250702_0917_112_Ca184TrN_MaIPA_DrSt_ode23t_1.png","figure")</f>
        <v>figure</v>
      </c>
      <c r="Q113" t="s">
        <v>15</v>
      </c>
    </row>
    <row r="114" spans="1:17" x14ac:dyDescent="0.25">
      <c r="A114">
        <v>113</v>
      </c>
      <c r="B114">
        <v>204</v>
      </c>
      <c r="C114" t="s">
        <v>105</v>
      </c>
      <c r="D114" t="s">
        <v>106</v>
      </c>
      <c r="E114" t="s">
        <v>18</v>
      </c>
      <c r="F114" t="s">
        <v>19</v>
      </c>
      <c r="G114" t="s">
        <v>20</v>
      </c>
      <c r="H114" t="s">
        <v>21</v>
      </c>
      <c r="I114" t="s">
        <v>53</v>
      </c>
      <c r="J114" t="s">
        <v>148</v>
      </c>
      <c r="K114" t="s">
        <v>23</v>
      </c>
      <c r="L114">
        <v>1814</v>
      </c>
      <c r="M114" s="4">
        <v>84.966862899999995</v>
      </c>
      <c r="N114" s="4">
        <v>254.63612453531636</v>
      </c>
      <c r="O114" s="4">
        <v>1.6716062355059513E-2</v>
      </c>
      <c r="P114" s="1" t="str">
        <f>HYPERLINK(".\sm_car_250702_0917\sm_car_250702_0917_113_Ca204TrN_MaDLC_DrSt_ode23t_1.png","figure")</f>
        <v>figure</v>
      </c>
      <c r="Q114" t="s">
        <v>15</v>
      </c>
    </row>
    <row r="115" spans="1:17" x14ac:dyDescent="0.25">
      <c r="A115">
        <v>114</v>
      </c>
      <c r="B115">
        <v>204</v>
      </c>
      <c r="C115" t="s">
        <v>105</v>
      </c>
      <c r="D115" t="s">
        <v>106</v>
      </c>
      <c r="E115" t="s">
        <v>18</v>
      </c>
      <c r="F115" t="s">
        <v>19</v>
      </c>
      <c r="G115" t="s">
        <v>20</v>
      </c>
      <c r="H115" t="s">
        <v>21</v>
      </c>
      <c r="I115" t="s">
        <v>54</v>
      </c>
      <c r="J115" t="s">
        <v>148</v>
      </c>
      <c r="K115" t="s">
        <v>23</v>
      </c>
      <c r="L115">
        <v>663</v>
      </c>
      <c r="M115" s="4">
        <v>34.797599699999999</v>
      </c>
      <c r="N115" s="4">
        <v>26.034582908336471</v>
      </c>
      <c r="O115" s="4">
        <v>9.6641497332310318E-3</v>
      </c>
      <c r="P115" s="1" t="str">
        <f>HYPERLINK(".\sm_car_250702_0917\sm_car_250702_0917_114_Ca204TrN_MaIPA_DrSt_ode23t_1.png","figure")</f>
        <v>figure</v>
      </c>
      <c r="Q115" t="s">
        <v>15</v>
      </c>
    </row>
    <row r="116" spans="1:17" x14ac:dyDescent="0.25">
      <c r="A116">
        <v>115</v>
      </c>
      <c r="B116">
        <v>12</v>
      </c>
      <c r="C116" t="s">
        <v>16</v>
      </c>
      <c r="D116" t="s">
        <v>17</v>
      </c>
      <c r="E116" t="s">
        <v>49</v>
      </c>
      <c r="F116" t="s">
        <v>28</v>
      </c>
      <c r="G116" t="s">
        <v>20</v>
      </c>
      <c r="H116" t="s">
        <v>21</v>
      </c>
      <c r="I116" t="s">
        <v>55</v>
      </c>
      <c r="J116" t="s">
        <v>148</v>
      </c>
      <c r="K116" t="s">
        <v>23</v>
      </c>
      <c r="L116">
        <v>2570</v>
      </c>
      <c r="M116" s="4">
        <v>132.45597670000001</v>
      </c>
      <c r="N116" s="4">
        <v>-1.1219252667264978E-2</v>
      </c>
      <c r="O116" s="4">
        <v>-0.64569869161781934</v>
      </c>
      <c r="P116" s="1" t="str">
        <f>HYPERLINK(".\sm_car_250702_0917\sm_car_250702_0917_115_Ca012TrN_MaMPK_DrSt_ode23t_1.png","figure")</f>
        <v>figure</v>
      </c>
      <c r="Q116" t="s">
        <v>15</v>
      </c>
    </row>
    <row r="117" spans="1:17" x14ac:dyDescent="0.25">
      <c r="A117">
        <v>116</v>
      </c>
      <c r="B117">
        <v>12</v>
      </c>
      <c r="C117" t="s">
        <v>16</v>
      </c>
      <c r="D117" t="s">
        <v>17</v>
      </c>
      <c r="E117" t="s">
        <v>49</v>
      </c>
      <c r="F117" t="s">
        <v>28</v>
      </c>
      <c r="G117" t="s">
        <v>20</v>
      </c>
      <c r="H117" t="s">
        <v>21</v>
      </c>
      <c r="I117" t="s">
        <v>55</v>
      </c>
      <c r="J117" t="s">
        <v>149</v>
      </c>
      <c r="K117" t="s">
        <v>23</v>
      </c>
      <c r="L117">
        <v>2404</v>
      </c>
      <c r="M117" s="4">
        <v>124.245733</v>
      </c>
      <c r="N117" s="4">
        <v>-9.297969315597801E-3</v>
      </c>
      <c r="O117" s="4">
        <v>-3.9701447901973025E-2</v>
      </c>
      <c r="P117" s="1" t="str">
        <f>HYPERLINK(".\sm_car_250702_0917\sm_car_250702_0917_116_Ca012TrN_MaMPK_DrSt_ode23t_1.png","figure")</f>
        <v>figure</v>
      </c>
      <c r="Q117" t="s">
        <v>15</v>
      </c>
    </row>
    <row r="118" spans="1:17" x14ac:dyDescent="0.25">
      <c r="A118">
        <v>117</v>
      </c>
      <c r="B118">
        <v>12</v>
      </c>
      <c r="C118" t="s">
        <v>16</v>
      </c>
      <c r="D118" t="s">
        <v>17</v>
      </c>
      <c r="E118" t="s">
        <v>49</v>
      </c>
      <c r="F118" t="s">
        <v>28</v>
      </c>
      <c r="G118" t="s">
        <v>20</v>
      </c>
      <c r="H118" t="s">
        <v>21</v>
      </c>
      <c r="I118" t="s">
        <v>56</v>
      </c>
      <c r="J118" t="s">
        <v>148</v>
      </c>
      <c r="K118" t="s">
        <v>23</v>
      </c>
      <c r="L118">
        <v>2401</v>
      </c>
      <c r="M118" s="4">
        <v>125.47548500000001</v>
      </c>
      <c r="N118" s="4">
        <v>0.78947554672702047</v>
      </c>
      <c r="O118" s="4">
        <v>-0.33111758781304973</v>
      </c>
      <c r="P118" s="1" t="str">
        <f>HYPERLINK(".\sm_car_250702_0917\sm_car_250702_0917_117_Ca012TrN_MaMPC_DrSt_ode23t_1.png","figure")</f>
        <v>figure</v>
      </c>
      <c r="Q118" t="s">
        <v>15</v>
      </c>
    </row>
    <row r="119" spans="1:17" x14ac:dyDescent="0.25">
      <c r="A119">
        <v>118</v>
      </c>
      <c r="B119">
        <v>12</v>
      </c>
      <c r="C119" t="s">
        <v>16</v>
      </c>
      <c r="D119" t="s">
        <v>17</v>
      </c>
      <c r="E119" t="s">
        <v>49</v>
      </c>
      <c r="F119" t="s">
        <v>28</v>
      </c>
      <c r="G119" t="s">
        <v>20</v>
      </c>
      <c r="H119" t="s">
        <v>21</v>
      </c>
      <c r="I119" t="s">
        <v>56</v>
      </c>
      <c r="J119" t="s">
        <v>149</v>
      </c>
      <c r="K119" t="s">
        <v>23</v>
      </c>
      <c r="L119">
        <v>2242</v>
      </c>
      <c r="M119" s="4">
        <v>118.8664386</v>
      </c>
      <c r="N119" s="4">
        <v>0.78882669799243921</v>
      </c>
      <c r="O119" s="4">
        <v>0.10857794002587473</v>
      </c>
      <c r="P119" s="1" t="str">
        <f>HYPERLINK(".\sm_car_250702_0917\sm_car_250702_0917_118_Ca012TrN_MaMPC_DrSt_ode23t_1.png","figure")</f>
        <v>figure</v>
      </c>
      <c r="Q119" t="s">
        <v>15</v>
      </c>
    </row>
    <row r="120" spans="1:17" x14ac:dyDescent="0.25">
      <c r="A120">
        <v>119</v>
      </c>
      <c r="B120">
        <v>142</v>
      </c>
      <c r="C120" t="s">
        <v>45</v>
      </c>
      <c r="D120" t="s">
        <v>17</v>
      </c>
      <c r="E120" t="s">
        <v>49</v>
      </c>
      <c r="F120" t="s">
        <v>28</v>
      </c>
      <c r="G120" t="s">
        <v>26</v>
      </c>
      <c r="H120" t="s">
        <v>21</v>
      </c>
      <c r="I120" t="s">
        <v>55</v>
      </c>
      <c r="J120" t="s">
        <v>148</v>
      </c>
      <c r="K120" t="s">
        <v>23</v>
      </c>
      <c r="L120">
        <v>2541</v>
      </c>
      <c r="M120" s="4">
        <v>141.247761</v>
      </c>
      <c r="N120" s="4">
        <v>-1.9939867627165486E-2</v>
      </c>
      <c r="O120" s="4">
        <v>-0.56213222918451877</v>
      </c>
      <c r="P120" s="1" t="str">
        <f>HYPERLINK(".\sm_car_250702_0917\sm_car_250702_0917_119_Ca142TrN_MaMPK_DrSt_ode23t_1.png","figure")</f>
        <v>figure</v>
      </c>
      <c r="Q120" t="s">
        <v>15</v>
      </c>
    </row>
    <row r="121" spans="1:17" x14ac:dyDescent="0.25">
      <c r="A121">
        <v>120</v>
      </c>
      <c r="B121">
        <v>142</v>
      </c>
      <c r="C121" t="s">
        <v>45</v>
      </c>
      <c r="D121" t="s">
        <v>17</v>
      </c>
      <c r="E121" t="s">
        <v>49</v>
      </c>
      <c r="F121" t="s">
        <v>28</v>
      </c>
      <c r="G121" t="s">
        <v>26</v>
      </c>
      <c r="H121" t="s">
        <v>21</v>
      </c>
      <c r="I121" t="s">
        <v>55</v>
      </c>
      <c r="J121" t="s">
        <v>149</v>
      </c>
      <c r="K121" t="s">
        <v>23</v>
      </c>
      <c r="L121">
        <v>2942</v>
      </c>
      <c r="M121" s="4">
        <v>174.51157799999999</v>
      </c>
      <c r="N121" s="4">
        <v>-1.0792041540046607E-2</v>
      </c>
      <c r="O121" s="4">
        <v>-8.1709783033163313E-2</v>
      </c>
      <c r="P121" s="1" t="str">
        <f>HYPERLINK(".\sm_car_250702_0917\sm_car_250702_0917_120_Ca142TrN_MaMPK_DrSt_ode23t_1.png","figure")</f>
        <v>figure</v>
      </c>
      <c r="Q121" t="s">
        <v>15</v>
      </c>
    </row>
    <row r="122" spans="1:17" x14ac:dyDescent="0.25">
      <c r="A122">
        <v>121</v>
      </c>
      <c r="B122">
        <v>142</v>
      </c>
      <c r="C122" t="s">
        <v>45</v>
      </c>
      <c r="D122" t="s">
        <v>17</v>
      </c>
      <c r="E122" t="s">
        <v>49</v>
      </c>
      <c r="F122" t="s">
        <v>28</v>
      </c>
      <c r="G122" t="s">
        <v>26</v>
      </c>
      <c r="H122" t="s">
        <v>21</v>
      </c>
      <c r="I122" t="s">
        <v>56</v>
      </c>
      <c r="J122" t="s">
        <v>148</v>
      </c>
      <c r="K122" t="s">
        <v>23</v>
      </c>
      <c r="L122">
        <v>2408</v>
      </c>
      <c r="M122" s="4">
        <v>154.000068</v>
      </c>
      <c r="N122" s="4">
        <v>0.78895110089255205</v>
      </c>
      <c r="O122" s="4">
        <v>-0.37000733602661035</v>
      </c>
      <c r="P122" s="1" t="str">
        <f>HYPERLINK(".\sm_car_250702_0917\sm_car_250702_0917_121_Ca142TrN_MaMPC_DrSt_ode23t_1.png","figure")</f>
        <v>figure</v>
      </c>
      <c r="Q122" t="s">
        <v>15</v>
      </c>
    </row>
    <row r="123" spans="1:17" x14ac:dyDescent="0.25">
      <c r="A123">
        <v>122</v>
      </c>
      <c r="B123">
        <v>142</v>
      </c>
      <c r="C123" t="s">
        <v>45</v>
      </c>
      <c r="D123" t="s">
        <v>17</v>
      </c>
      <c r="E123" t="s">
        <v>49</v>
      </c>
      <c r="F123" t="s">
        <v>28</v>
      </c>
      <c r="G123" t="s">
        <v>26</v>
      </c>
      <c r="H123" t="s">
        <v>21</v>
      </c>
      <c r="I123" t="s">
        <v>56</v>
      </c>
      <c r="J123" t="s">
        <v>149</v>
      </c>
      <c r="K123" t="s">
        <v>23</v>
      </c>
      <c r="L123">
        <v>2770</v>
      </c>
      <c r="M123" s="4">
        <v>166.85684259999999</v>
      </c>
      <c r="N123" s="4">
        <v>0.78494619257610054</v>
      </c>
      <c r="O123" s="4">
        <v>2.1100383280174263E-2</v>
      </c>
      <c r="P123" s="1" t="str">
        <f>HYPERLINK(".\sm_car_250702_0917\sm_car_250702_0917_122_Ca142TrN_MaMPC_DrSt_ode23t_1.png","figure")</f>
        <v>figure</v>
      </c>
      <c r="Q123" t="s">
        <v>15</v>
      </c>
    </row>
    <row r="124" spans="1:17" x14ac:dyDescent="0.25">
      <c r="A124">
        <v>123</v>
      </c>
      <c r="B124">
        <v>116</v>
      </c>
      <c r="C124" t="s">
        <v>16</v>
      </c>
      <c r="D124" t="s">
        <v>35</v>
      </c>
      <c r="E124" t="s">
        <v>18</v>
      </c>
      <c r="F124" t="s">
        <v>28</v>
      </c>
      <c r="G124" t="s">
        <v>20</v>
      </c>
      <c r="H124" t="s">
        <v>21</v>
      </c>
      <c r="I124" t="s">
        <v>55</v>
      </c>
      <c r="J124" t="s">
        <v>148</v>
      </c>
      <c r="K124" t="s">
        <v>23</v>
      </c>
      <c r="L124">
        <v>2866</v>
      </c>
      <c r="M124" s="4">
        <v>52.139421200000001</v>
      </c>
      <c r="N124" s="4">
        <v>-7.7868195619406472E-3</v>
      </c>
      <c r="O124" s="4">
        <v>-0.54236887188777083</v>
      </c>
      <c r="P124" s="1" t="str">
        <f>HYPERLINK(".\sm_car_250702_0917\sm_car_250702_0917_123_Ca116TrN_MaMPK_DrSt_ode23t_1.png","figure")</f>
        <v>figure</v>
      </c>
      <c r="Q124" t="s">
        <v>15</v>
      </c>
    </row>
    <row r="125" spans="1:17" x14ac:dyDescent="0.25">
      <c r="A125">
        <v>124</v>
      </c>
      <c r="B125">
        <v>116</v>
      </c>
      <c r="C125" t="s">
        <v>16</v>
      </c>
      <c r="D125" t="s">
        <v>35</v>
      </c>
      <c r="E125" t="s">
        <v>18</v>
      </c>
      <c r="F125" t="s">
        <v>28</v>
      </c>
      <c r="G125" t="s">
        <v>20</v>
      </c>
      <c r="H125" t="s">
        <v>21</v>
      </c>
      <c r="I125" t="s">
        <v>55</v>
      </c>
      <c r="J125" t="s">
        <v>149</v>
      </c>
      <c r="K125" t="s">
        <v>23</v>
      </c>
      <c r="L125">
        <v>2794</v>
      </c>
      <c r="M125" s="4">
        <v>53.090933100000001</v>
      </c>
      <c r="N125" s="4">
        <v>-1.9064036376282276E-2</v>
      </c>
      <c r="O125" s="4">
        <v>-0.53232879872146721</v>
      </c>
      <c r="P125" s="1" t="str">
        <f>HYPERLINK(".\sm_car_250702_0917\sm_car_250702_0917_124_Ca116TrN_MaMPK_DrSt_ode23t_1.png","figure")</f>
        <v>figure</v>
      </c>
      <c r="Q125" t="s">
        <v>15</v>
      </c>
    </row>
    <row r="126" spans="1:17" x14ac:dyDescent="0.25">
      <c r="A126">
        <v>125</v>
      </c>
      <c r="B126">
        <v>116</v>
      </c>
      <c r="C126" t="s">
        <v>16</v>
      </c>
      <c r="D126" t="s">
        <v>35</v>
      </c>
      <c r="E126" t="s">
        <v>18</v>
      </c>
      <c r="F126" t="s">
        <v>28</v>
      </c>
      <c r="G126" t="s">
        <v>20</v>
      </c>
      <c r="H126" t="s">
        <v>21</v>
      </c>
      <c r="I126" t="s">
        <v>56</v>
      </c>
      <c r="J126" t="s">
        <v>148</v>
      </c>
      <c r="K126" t="s">
        <v>23</v>
      </c>
      <c r="L126">
        <v>2777</v>
      </c>
      <c r="M126" s="4">
        <v>28.796973699999999</v>
      </c>
      <c r="N126" s="4">
        <v>0.78828993250395918</v>
      </c>
      <c r="O126" s="4">
        <v>-0.3632246638659089</v>
      </c>
      <c r="P126" s="1" t="str">
        <f>HYPERLINK(".\sm_car_250702_0917\sm_car_250702_0917_125_Ca116TrN_MaMPC_DrSt_ode23t_1.png","figure")</f>
        <v>figure</v>
      </c>
      <c r="Q126" t="s">
        <v>15</v>
      </c>
    </row>
    <row r="127" spans="1:17" x14ac:dyDescent="0.25">
      <c r="A127">
        <v>126</v>
      </c>
      <c r="B127">
        <v>116</v>
      </c>
      <c r="C127" t="s">
        <v>16</v>
      </c>
      <c r="D127" t="s">
        <v>35</v>
      </c>
      <c r="E127" t="s">
        <v>18</v>
      </c>
      <c r="F127" t="s">
        <v>28</v>
      </c>
      <c r="G127" t="s">
        <v>20</v>
      </c>
      <c r="H127" t="s">
        <v>21</v>
      </c>
      <c r="I127" t="s">
        <v>56</v>
      </c>
      <c r="J127" t="s">
        <v>149</v>
      </c>
      <c r="K127" t="s">
        <v>23</v>
      </c>
      <c r="L127">
        <v>2608</v>
      </c>
      <c r="M127" s="4">
        <v>17.999122400000001</v>
      </c>
      <c r="N127" s="4">
        <v>0.78699031241872675</v>
      </c>
      <c r="O127" s="4">
        <v>0.44898092553287805</v>
      </c>
      <c r="P127" s="1" t="str">
        <f>HYPERLINK(".\sm_car_250702_0917\sm_car_250702_0917_126_Ca116TrN_MaMPC_DrSt_ode23t_1.png","figure")</f>
        <v>figure</v>
      </c>
      <c r="Q127" t="s">
        <v>15</v>
      </c>
    </row>
    <row r="128" spans="1:17" x14ac:dyDescent="0.25">
      <c r="A128">
        <v>127</v>
      </c>
      <c r="B128">
        <v>143</v>
      </c>
      <c r="C128" t="s">
        <v>46</v>
      </c>
      <c r="D128" t="s">
        <v>17</v>
      </c>
      <c r="E128" t="s">
        <v>47</v>
      </c>
      <c r="F128" t="s">
        <v>19</v>
      </c>
      <c r="G128" t="s">
        <v>26</v>
      </c>
      <c r="H128" t="s">
        <v>21</v>
      </c>
      <c r="I128" t="s">
        <v>55</v>
      </c>
      <c r="J128" t="s">
        <v>148</v>
      </c>
      <c r="K128" t="s">
        <v>23</v>
      </c>
      <c r="L128">
        <v>2444</v>
      </c>
      <c r="M128" s="4">
        <v>59.991251599999998</v>
      </c>
      <c r="N128" s="4">
        <v>-1.6715854141833575E-2</v>
      </c>
      <c r="O128" s="4">
        <v>-0.40374090205343627</v>
      </c>
      <c r="P128" s="1" t="str">
        <f>HYPERLINK(".\sm_car_250702_0917\sm_car_250702_0917_127_Ca143TrN_MaMPK_DrSt_ode23t_1.png","figure")</f>
        <v>figure</v>
      </c>
      <c r="Q128" t="s">
        <v>15</v>
      </c>
    </row>
    <row r="129" spans="1:17" x14ac:dyDescent="0.25">
      <c r="A129">
        <v>128</v>
      </c>
      <c r="B129">
        <v>143</v>
      </c>
      <c r="C129" t="s">
        <v>46</v>
      </c>
      <c r="D129" t="s">
        <v>17</v>
      </c>
      <c r="E129" t="s">
        <v>47</v>
      </c>
      <c r="F129" t="s">
        <v>19</v>
      </c>
      <c r="G129" t="s">
        <v>26</v>
      </c>
      <c r="H129" t="s">
        <v>21</v>
      </c>
      <c r="I129" t="s">
        <v>55</v>
      </c>
      <c r="J129" t="s">
        <v>149</v>
      </c>
      <c r="K129" t="s">
        <v>23</v>
      </c>
      <c r="L129">
        <v>2186</v>
      </c>
      <c r="M129" s="4">
        <v>52.529055999999997</v>
      </c>
      <c r="N129" s="4">
        <v>1.7247512020873296E-3</v>
      </c>
      <c r="O129" s="4">
        <v>-9.3665102688477511E-2</v>
      </c>
      <c r="P129" s="1" t="str">
        <f>HYPERLINK(".\sm_car_250702_0917\sm_car_250702_0917_128_Ca143TrN_MaMPK_DrSt_ode23t_1.png","figure")</f>
        <v>figure</v>
      </c>
      <c r="Q129" t="s">
        <v>15</v>
      </c>
    </row>
    <row r="130" spans="1:17" x14ac:dyDescent="0.25">
      <c r="A130">
        <v>129</v>
      </c>
      <c r="B130">
        <v>143</v>
      </c>
      <c r="C130" t="s">
        <v>46</v>
      </c>
      <c r="D130" t="s">
        <v>17</v>
      </c>
      <c r="E130" t="s">
        <v>47</v>
      </c>
      <c r="F130" t="s">
        <v>19</v>
      </c>
      <c r="G130" t="s">
        <v>26</v>
      </c>
      <c r="H130" t="s">
        <v>21</v>
      </c>
      <c r="I130" t="s">
        <v>56</v>
      </c>
      <c r="J130" t="s">
        <v>148</v>
      </c>
      <c r="K130" t="s">
        <v>23</v>
      </c>
      <c r="L130">
        <v>2346</v>
      </c>
      <c r="M130" s="4">
        <v>62.078835099999999</v>
      </c>
      <c r="N130" s="4">
        <v>0.78575353498062661</v>
      </c>
      <c r="O130" s="4">
        <v>-0.27271907403783435</v>
      </c>
      <c r="P130" s="1" t="str">
        <f>HYPERLINK(".\sm_car_250702_0917\sm_car_250702_0917_129_Ca143TrN_MaMPC_DrSt_ode23t_1.png","figure")</f>
        <v>figure</v>
      </c>
      <c r="Q130" t="s">
        <v>15</v>
      </c>
    </row>
    <row r="131" spans="1:17" x14ac:dyDescent="0.25">
      <c r="A131">
        <v>130</v>
      </c>
      <c r="B131">
        <v>143</v>
      </c>
      <c r="C131" t="s">
        <v>46</v>
      </c>
      <c r="D131" t="s">
        <v>17</v>
      </c>
      <c r="E131" t="s">
        <v>47</v>
      </c>
      <c r="F131" t="s">
        <v>19</v>
      </c>
      <c r="G131" t="s">
        <v>26</v>
      </c>
      <c r="H131" t="s">
        <v>21</v>
      </c>
      <c r="I131" t="s">
        <v>56</v>
      </c>
      <c r="J131" t="s">
        <v>149</v>
      </c>
      <c r="K131" t="s">
        <v>23</v>
      </c>
      <c r="L131">
        <v>2118</v>
      </c>
      <c r="M131" s="4">
        <v>55.869568600000001</v>
      </c>
      <c r="N131" s="4">
        <v>0.78538642577691498</v>
      </c>
      <c r="O131" s="4">
        <v>-0.15841654495944568</v>
      </c>
      <c r="P131" s="1" t="str">
        <f>HYPERLINK(".\sm_car_250702_0917\sm_car_250702_0917_130_Ca143TrN_MaMPC_DrSt_ode23t_1.png","figure")</f>
        <v>figure</v>
      </c>
      <c r="Q131" t="s">
        <v>15</v>
      </c>
    </row>
    <row r="132" spans="1:17" x14ac:dyDescent="0.25">
      <c r="A132">
        <v>131</v>
      </c>
      <c r="B132">
        <v>166</v>
      </c>
      <c r="C132" t="s">
        <v>45</v>
      </c>
      <c r="D132" t="s">
        <v>57</v>
      </c>
      <c r="E132" t="s">
        <v>18</v>
      </c>
      <c r="F132" t="s">
        <v>19</v>
      </c>
      <c r="G132" t="s">
        <v>26</v>
      </c>
      <c r="H132" t="s">
        <v>21</v>
      </c>
      <c r="I132" t="s">
        <v>55</v>
      </c>
      <c r="J132" t="s">
        <v>148</v>
      </c>
      <c r="K132" t="s">
        <v>23</v>
      </c>
      <c r="L132">
        <v>3160</v>
      </c>
      <c r="M132" s="4">
        <v>68.031902799999997</v>
      </c>
      <c r="N132" s="4">
        <v>-1.7695919803244461E-2</v>
      </c>
      <c r="O132" s="4">
        <v>-0.5725704812328678</v>
      </c>
      <c r="P132" s="1" t="str">
        <f>HYPERLINK(".\sm_car_250702_0917\sm_car_250702_0917_131_Ca166TrN_MaMPK_DrSt_ode23t_1.png","figure")</f>
        <v>figure</v>
      </c>
      <c r="Q132" t="s">
        <v>15</v>
      </c>
    </row>
    <row r="133" spans="1:17" x14ac:dyDescent="0.25">
      <c r="A133">
        <v>132</v>
      </c>
      <c r="B133">
        <v>166</v>
      </c>
      <c r="C133" t="s">
        <v>45</v>
      </c>
      <c r="D133" t="s">
        <v>57</v>
      </c>
      <c r="E133" t="s">
        <v>18</v>
      </c>
      <c r="F133" t="s">
        <v>19</v>
      </c>
      <c r="G133" t="s">
        <v>26</v>
      </c>
      <c r="H133" t="s">
        <v>21</v>
      </c>
      <c r="I133" t="s">
        <v>55</v>
      </c>
      <c r="J133" t="s">
        <v>149</v>
      </c>
      <c r="K133" t="s">
        <v>23</v>
      </c>
      <c r="L133">
        <v>3770</v>
      </c>
      <c r="M133" s="4">
        <v>71.9803517</v>
      </c>
      <c r="N133" s="4">
        <v>-1.1082172339285865E-2</v>
      </c>
      <c r="O133" s="4">
        <v>-8.4735980862582674E-2</v>
      </c>
      <c r="P133" s="1" t="str">
        <f>HYPERLINK(".\sm_car_250702_0917\sm_car_250702_0917_132_Ca166TrN_MaMPK_DrSt_ode23t_1.png","figure")</f>
        <v>figure</v>
      </c>
      <c r="Q133" t="s">
        <v>15</v>
      </c>
    </row>
    <row r="134" spans="1:17" x14ac:dyDescent="0.25">
      <c r="A134">
        <v>133</v>
      </c>
      <c r="B134">
        <v>166</v>
      </c>
      <c r="C134" t="s">
        <v>45</v>
      </c>
      <c r="D134" t="s">
        <v>57</v>
      </c>
      <c r="E134" t="s">
        <v>18</v>
      </c>
      <c r="F134" t="s">
        <v>19</v>
      </c>
      <c r="G134" t="s">
        <v>26</v>
      </c>
      <c r="H134" t="s">
        <v>21</v>
      </c>
      <c r="I134" t="s">
        <v>56</v>
      </c>
      <c r="J134" t="s">
        <v>148</v>
      </c>
      <c r="K134" t="s">
        <v>23</v>
      </c>
      <c r="L134">
        <v>3035</v>
      </c>
      <c r="M134" s="4">
        <v>65.037021100000004</v>
      </c>
      <c r="N134" s="4">
        <v>0.78919842782775262</v>
      </c>
      <c r="O134" s="4">
        <v>-0.36195421602846733</v>
      </c>
      <c r="P134" s="1" t="str">
        <f>HYPERLINK(".\sm_car_250702_0917\sm_car_250702_0917_133_Ca166TrN_MaMPC_DrSt_ode23t_1.png","figure")</f>
        <v>figure</v>
      </c>
      <c r="Q134" t="s">
        <v>15</v>
      </c>
    </row>
    <row r="135" spans="1:17" x14ac:dyDescent="0.25">
      <c r="A135">
        <v>134</v>
      </c>
      <c r="B135">
        <v>166</v>
      </c>
      <c r="C135" t="s">
        <v>45</v>
      </c>
      <c r="D135" t="s">
        <v>57</v>
      </c>
      <c r="E135" t="s">
        <v>18</v>
      </c>
      <c r="F135" t="s">
        <v>19</v>
      </c>
      <c r="G135" t="s">
        <v>26</v>
      </c>
      <c r="H135" t="s">
        <v>21</v>
      </c>
      <c r="I135" t="s">
        <v>56</v>
      </c>
      <c r="J135" t="s">
        <v>149</v>
      </c>
      <c r="K135" t="s">
        <v>23</v>
      </c>
      <c r="L135">
        <v>3482</v>
      </c>
      <c r="M135" s="4">
        <v>65.958903300000003</v>
      </c>
      <c r="N135" s="4">
        <v>0.78945696627916462</v>
      </c>
      <c r="O135" s="4">
        <v>2.6457542484986146E-2</v>
      </c>
      <c r="P135" s="1" t="str">
        <f>HYPERLINK(".\sm_car_250702_0917\sm_car_250702_0917_134_Ca166TrN_MaMPC_DrSt_ode23t_1.png","figure")</f>
        <v>figure</v>
      </c>
      <c r="Q135" t="s">
        <v>15</v>
      </c>
    </row>
    <row r="136" spans="1:17" x14ac:dyDescent="0.25">
      <c r="A136">
        <v>135</v>
      </c>
      <c r="B136">
        <v>169</v>
      </c>
      <c r="C136" t="s">
        <v>45</v>
      </c>
      <c r="D136" t="s">
        <v>58</v>
      </c>
      <c r="E136" t="s">
        <v>49</v>
      </c>
      <c r="F136" t="s">
        <v>19</v>
      </c>
      <c r="G136" t="s">
        <v>26</v>
      </c>
      <c r="H136" t="s">
        <v>21</v>
      </c>
      <c r="I136" t="s">
        <v>55</v>
      </c>
      <c r="J136" t="s">
        <v>148</v>
      </c>
      <c r="K136" t="s">
        <v>23</v>
      </c>
      <c r="L136">
        <v>3310</v>
      </c>
      <c r="M136" s="4">
        <v>62.018877799999999</v>
      </c>
      <c r="N136" s="4">
        <v>-1.2703803370227973E-2</v>
      </c>
      <c r="O136" s="4">
        <v>-0.573676848158575</v>
      </c>
      <c r="P136" s="1" t="str">
        <f>HYPERLINK(".\sm_car_250702_0917\sm_car_250702_0917_135_Ca169TrN_MaMPK_DrSt_ode23t_1.png","figure")</f>
        <v>figure</v>
      </c>
      <c r="Q136" t="s">
        <v>15</v>
      </c>
    </row>
    <row r="137" spans="1:17" x14ac:dyDescent="0.25">
      <c r="A137">
        <v>136</v>
      </c>
      <c r="B137">
        <v>169</v>
      </c>
      <c r="C137" t="s">
        <v>45</v>
      </c>
      <c r="D137" t="s">
        <v>58</v>
      </c>
      <c r="E137" t="s">
        <v>49</v>
      </c>
      <c r="F137" t="s">
        <v>19</v>
      </c>
      <c r="G137" t="s">
        <v>26</v>
      </c>
      <c r="H137" t="s">
        <v>21</v>
      </c>
      <c r="I137" t="s">
        <v>55</v>
      </c>
      <c r="J137" t="s">
        <v>149</v>
      </c>
      <c r="K137" t="s">
        <v>23</v>
      </c>
      <c r="L137">
        <v>3938</v>
      </c>
      <c r="M137" s="4">
        <v>66.720407499999993</v>
      </c>
      <c r="N137" s="4">
        <v>-1.0986086442310278E-2</v>
      </c>
      <c r="O137" s="4">
        <v>-8.3797931131359416E-2</v>
      </c>
      <c r="P137" s="1" t="str">
        <f>HYPERLINK(".\sm_car_250702_0917\sm_car_250702_0917_136_Ca169TrN_MaMPK_DrSt_ode23t_1.png","figure")</f>
        <v>figure</v>
      </c>
      <c r="Q137" t="s">
        <v>15</v>
      </c>
    </row>
    <row r="138" spans="1:17" x14ac:dyDescent="0.25">
      <c r="A138">
        <v>137</v>
      </c>
      <c r="B138">
        <v>169</v>
      </c>
      <c r="C138" t="s">
        <v>45</v>
      </c>
      <c r="D138" t="s">
        <v>58</v>
      </c>
      <c r="E138" t="s">
        <v>49</v>
      </c>
      <c r="F138" t="s">
        <v>19</v>
      </c>
      <c r="G138" t="s">
        <v>26</v>
      </c>
      <c r="H138" t="s">
        <v>21</v>
      </c>
      <c r="I138" t="s">
        <v>56</v>
      </c>
      <c r="J138" t="s">
        <v>148</v>
      </c>
      <c r="K138" t="s">
        <v>23</v>
      </c>
      <c r="L138">
        <v>3038</v>
      </c>
      <c r="M138" s="4">
        <v>56.179154199999999</v>
      </c>
      <c r="N138" s="4">
        <v>0.78827954106548859</v>
      </c>
      <c r="O138" s="4">
        <v>-0.359628350176038</v>
      </c>
      <c r="P138" s="1" t="str">
        <f>HYPERLINK(".\sm_car_250702_0917\sm_car_250702_0917_137_Ca169TrN_MaMPC_DrSt_ode23t_1.png","figure")</f>
        <v>figure</v>
      </c>
      <c r="Q138" t="s">
        <v>15</v>
      </c>
    </row>
    <row r="139" spans="1:17" x14ac:dyDescent="0.25">
      <c r="A139">
        <v>138</v>
      </c>
      <c r="B139">
        <v>169</v>
      </c>
      <c r="C139" t="s">
        <v>45</v>
      </c>
      <c r="D139" t="s">
        <v>58</v>
      </c>
      <c r="E139" t="s">
        <v>49</v>
      </c>
      <c r="F139" t="s">
        <v>19</v>
      </c>
      <c r="G139" t="s">
        <v>26</v>
      </c>
      <c r="H139" t="s">
        <v>21</v>
      </c>
      <c r="I139" t="s">
        <v>56</v>
      </c>
      <c r="J139" t="s">
        <v>149</v>
      </c>
      <c r="K139" t="s">
        <v>23</v>
      </c>
      <c r="L139">
        <v>3514</v>
      </c>
      <c r="M139" s="4">
        <v>58.193776800000002</v>
      </c>
      <c r="N139" s="4">
        <v>0.78865995704973457</v>
      </c>
      <c r="O139" s="4">
        <v>2.8229697599677032E-2</v>
      </c>
      <c r="P139" s="1" t="str">
        <f>HYPERLINK(".\sm_car_250702_0917\sm_car_250702_0917_138_Ca169TrN_MaMPC_DrSt_ode23t_1.png","figure")</f>
        <v>figure</v>
      </c>
      <c r="Q139" t="s">
        <v>15</v>
      </c>
    </row>
    <row r="140" spans="1:17" x14ac:dyDescent="0.25">
      <c r="A140">
        <v>139</v>
      </c>
      <c r="B140">
        <v>184</v>
      </c>
      <c r="C140" t="s">
        <v>105</v>
      </c>
      <c r="D140" t="s">
        <v>120</v>
      </c>
      <c r="E140" t="s">
        <v>49</v>
      </c>
      <c r="F140" t="s">
        <v>19</v>
      </c>
      <c r="G140" t="s">
        <v>20</v>
      </c>
      <c r="H140" t="s">
        <v>21</v>
      </c>
      <c r="I140" t="s">
        <v>55</v>
      </c>
      <c r="J140" t="s">
        <v>148</v>
      </c>
      <c r="K140" t="s">
        <v>23</v>
      </c>
      <c r="L140">
        <v>2236</v>
      </c>
      <c r="M140" s="4">
        <v>59.139518899999999</v>
      </c>
      <c r="N140" s="4">
        <v>-2.2958105542737459E-2</v>
      </c>
      <c r="O140" s="4">
        <v>-0.74405021237629509</v>
      </c>
      <c r="P140" s="1" t="str">
        <f>HYPERLINK(".\sm_car_250702_0917\sm_car_250702_0917_139_Ca184TrN_MaMPK_DrSt_ode23t_1.png","figure")</f>
        <v>figure</v>
      </c>
      <c r="Q140" t="s">
        <v>15</v>
      </c>
    </row>
    <row r="141" spans="1:17" x14ac:dyDescent="0.25">
      <c r="A141">
        <v>140</v>
      </c>
      <c r="B141">
        <v>184</v>
      </c>
      <c r="C141" t="s">
        <v>105</v>
      </c>
      <c r="D141" t="s">
        <v>120</v>
      </c>
      <c r="E141" t="s">
        <v>49</v>
      </c>
      <c r="F141" t="s">
        <v>19</v>
      </c>
      <c r="G141" t="s">
        <v>20</v>
      </c>
      <c r="H141" t="s">
        <v>21</v>
      </c>
      <c r="I141" t="s">
        <v>55</v>
      </c>
      <c r="J141" t="s">
        <v>149</v>
      </c>
      <c r="K141" t="s">
        <v>23</v>
      </c>
      <c r="L141">
        <v>2347</v>
      </c>
      <c r="M141" s="4">
        <v>95.208512900000002</v>
      </c>
      <c r="N141" s="4">
        <v>0.10941583891813789</v>
      </c>
      <c r="O141" s="4">
        <v>-3.0977654566718454E-2</v>
      </c>
      <c r="P141" s="1" t="str">
        <f>HYPERLINK(".\sm_car_250702_0917\sm_car_250702_0917_140_Ca184TrN_MaMPK_DrSt_ode23t_1.png","figure")</f>
        <v>figure</v>
      </c>
      <c r="Q141" t="s">
        <v>15</v>
      </c>
    </row>
    <row r="142" spans="1:17" x14ac:dyDescent="0.25">
      <c r="A142">
        <v>141</v>
      </c>
      <c r="B142">
        <v>184</v>
      </c>
      <c r="C142" t="s">
        <v>105</v>
      </c>
      <c r="D142" t="s">
        <v>120</v>
      </c>
      <c r="E142" t="s">
        <v>49</v>
      </c>
      <c r="F142" t="s">
        <v>19</v>
      </c>
      <c r="G142" t="s">
        <v>20</v>
      </c>
      <c r="H142" t="s">
        <v>21</v>
      </c>
      <c r="I142" t="s">
        <v>56</v>
      </c>
      <c r="J142" t="s">
        <v>148</v>
      </c>
      <c r="K142" t="s">
        <v>23</v>
      </c>
      <c r="L142">
        <v>2066</v>
      </c>
      <c r="M142" s="4">
        <v>79.746852000000004</v>
      </c>
      <c r="N142" s="4">
        <v>0.78874735767830195</v>
      </c>
      <c r="O142" s="4">
        <v>-0.33819101057686474</v>
      </c>
      <c r="P142" s="1" t="str">
        <f>HYPERLINK(".\sm_car_250702_0917\sm_car_250702_0917_141_Ca184TrN_MaMPC_DrSt_ode23t_1.png","figure")</f>
        <v>figure</v>
      </c>
      <c r="Q142" t="s">
        <v>15</v>
      </c>
    </row>
    <row r="143" spans="1:17" x14ac:dyDescent="0.25">
      <c r="A143">
        <v>142</v>
      </c>
      <c r="B143">
        <v>184</v>
      </c>
      <c r="C143" t="s">
        <v>105</v>
      </c>
      <c r="D143" t="s">
        <v>120</v>
      </c>
      <c r="E143" t="s">
        <v>49</v>
      </c>
      <c r="F143" t="s">
        <v>19</v>
      </c>
      <c r="G143" t="s">
        <v>20</v>
      </c>
      <c r="H143" t="s">
        <v>21</v>
      </c>
      <c r="I143" t="s">
        <v>56</v>
      </c>
      <c r="J143" t="s">
        <v>149</v>
      </c>
      <c r="K143" t="s">
        <v>23</v>
      </c>
      <c r="L143">
        <v>2011</v>
      </c>
      <c r="M143" s="4">
        <v>55.873998700000001</v>
      </c>
      <c r="N143" s="4">
        <v>0.671011051253668</v>
      </c>
      <c r="O143" s="4">
        <v>-8.1151168560519404E-2</v>
      </c>
      <c r="P143" s="1" t="str">
        <f>HYPERLINK(".\sm_car_250702_0917\sm_car_250702_0917_142_Ca184TrN_MaMPC_DrSt_ode23t_1.png","figure")</f>
        <v>figure</v>
      </c>
      <c r="Q143" t="s">
        <v>15</v>
      </c>
    </row>
    <row r="144" spans="1:17" x14ac:dyDescent="0.25">
      <c r="A144">
        <v>143</v>
      </c>
      <c r="B144">
        <v>195</v>
      </c>
      <c r="C144" t="s">
        <v>45</v>
      </c>
      <c r="D144" t="s">
        <v>58</v>
      </c>
      <c r="E144" t="s">
        <v>107</v>
      </c>
      <c r="F144" t="s">
        <v>19</v>
      </c>
      <c r="G144" t="s">
        <v>26</v>
      </c>
      <c r="H144" t="s">
        <v>21</v>
      </c>
      <c r="I144" t="s">
        <v>55</v>
      </c>
      <c r="J144" t="s">
        <v>148</v>
      </c>
      <c r="K144" t="s">
        <v>23</v>
      </c>
      <c r="L144">
        <v>3309</v>
      </c>
      <c r="M144" s="4">
        <v>57.204120600000003</v>
      </c>
      <c r="N144" s="4">
        <v>-1.9334800606913116E-2</v>
      </c>
      <c r="O144" s="4">
        <v>-0.57353101866195899</v>
      </c>
      <c r="P144" s="1" t="str">
        <f>HYPERLINK(".\sm_car_250702_0917\sm_car_250702_0917_143_Ca195TrN_MaMPK_DrSt_ode23t_1.png","figure")</f>
        <v>figure</v>
      </c>
      <c r="Q144" t="s">
        <v>15</v>
      </c>
    </row>
    <row r="145" spans="1:17" x14ac:dyDescent="0.25">
      <c r="A145">
        <v>144</v>
      </c>
      <c r="B145">
        <v>195</v>
      </c>
      <c r="C145" t="s">
        <v>45</v>
      </c>
      <c r="D145" t="s">
        <v>58</v>
      </c>
      <c r="E145" t="s">
        <v>107</v>
      </c>
      <c r="F145" t="s">
        <v>19</v>
      </c>
      <c r="G145" t="s">
        <v>26</v>
      </c>
      <c r="H145" t="s">
        <v>21</v>
      </c>
      <c r="I145" t="s">
        <v>55</v>
      </c>
      <c r="J145" t="s">
        <v>149</v>
      </c>
      <c r="K145" t="s">
        <v>23</v>
      </c>
      <c r="L145">
        <v>3934</v>
      </c>
      <c r="M145" s="4">
        <v>64.402422599999994</v>
      </c>
      <c r="N145" s="4">
        <v>-1.0630212053186566E-2</v>
      </c>
      <c r="O145" s="4">
        <v>-8.3799598782640483E-2</v>
      </c>
      <c r="P145" s="1" t="str">
        <f>HYPERLINK(".\sm_car_250702_0917\sm_car_250702_0917_144_Ca195TrN_MaMPK_DrSt_ode23t_1.png","figure")</f>
        <v>figure</v>
      </c>
      <c r="Q145" t="s">
        <v>15</v>
      </c>
    </row>
    <row r="146" spans="1:17" x14ac:dyDescent="0.25">
      <c r="A146">
        <v>145</v>
      </c>
      <c r="B146">
        <v>195</v>
      </c>
      <c r="C146" t="s">
        <v>45</v>
      </c>
      <c r="D146" t="s">
        <v>58</v>
      </c>
      <c r="E146" t="s">
        <v>107</v>
      </c>
      <c r="F146" t="s">
        <v>19</v>
      </c>
      <c r="G146" t="s">
        <v>26</v>
      </c>
      <c r="H146" t="s">
        <v>21</v>
      </c>
      <c r="I146" t="s">
        <v>56</v>
      </c>
      <c r="J146" t="s">
        <v>148</v>
      </c>
      <c r="K146" t="s">
        <v>23</v>
      </c>
      <c r="L146">
        <v>3029</v>
      </c>
      <c r="M146" s="4">
        <v>52.778974099999999</v>
      </c>
      <c r="N146" s="4">
        <v>0.78556891878572799</v>
      </c>
      <c r="O146" s="4">
        <v>-0.35957873141023122</v>
      </c>
      <c r="P146" s="1" t="str">
        <f>HYPERLINK(".\sm_car_250702_0917\sm_car_250702_0917_145_Ca195TrN_MaMPC_DrSt_ode23t_1.png","figure")</f>
        <v>figure</v>
      </c>
      <c r="Q146" t="s">
        <v>15</v>
      </c>
    </row>
    <row r="147" spans="1:17" x14ac:dyDescent="0.25">
      <c r="A147">
        <v>146</v>
      </c>
      <c r="B147">
        <v>195</v>
      </c>
      <c r="C147" t="s">
        <v>45</v>
      </c>
      <c r="D147" t="s">
        <v>58</v>
      </c>
      <c r="E147" t="s">
        <v>107</v>
      </c>
      <c r="F147" t="s">
        <v>19</v>
      </c>
      <c r="G147" t="s">
        <v>26</v>
      </c>
      <c r="H147" t="s">
        <v>21</v>
      </c>
      <c r="I147" t="s">
        <v>56</v>
      </c>
      <c r="J147" t="s">
        <v>149</v>
      </c>
      <c r="K147" t="s">
        <v>23</v>
      </c>
      <c r="L147">
        <v>3471</v>
      </c>
      <c r="M147" s="4">
        <v>55.635260799999998</v>
      </c>
      <c r="N147" s="4">
        <v>0.78364519619100115</v>
      </c>
      <c r="O147" s="4">
        <v>2.8303881627893376E-2</v>
      </c>
      <c r="P147" s="1" t="str">
        <f>HYPERLINK(".\sm_car_250702_0917\sm_car_250702_0917_146_Ca195TrN_MaMPC_DrSt_ode23t_1.png","figure")</f>
        <v>figure</v>
      </c>
      <c r="Q147" t="s">
        <v>15</v>
      </c>
    </row>
    <row r="148" spans="1:17" x14ac:dyDescent="0.25">
      <c r="A148">
        <v>147</v>
      </c>
      <c r="B148">
        <v>198</v>
      </c>
      <c r="C148" t="s">
        <v>105</v>
      </c>
      <c r="D148" t="s">
        <v>120</v>
      </c>
      <c r="E148" t="s">
        <v>107</v>
      </c>
      <c r="F148" t="s">
        <v>19</v>
      </c>
      <c r="G148" t="s">
        <v>20</v>
      </c>
      <c r="H148" t="s">
        <v>21</v>
      </c>
      <c r="I148" t="s">
        <v>55</v>
      </c>
      <c r="J148" t="s">
        <v>148</v>
      </c>
      <c r="K148" t="s">
        <v>23</v>
      </c>
      <c r="L148">
        <v>2322</v>
      </c>
      <c r="M148" s="4">
        <v>37.629469899999997</v>
      </c>
      <c r="N148" s="4">
        <v>-2.1995746740698346E-2</v>
      </c>
      <c r="O148" s="4">
        <v>-0.74413013156196517</v>
      </c>
      <c r="P148" s="1" t="str">
        <f>HYPERLINK(".\sm_car_250702_0917\sm_car_250702_0917_147_Ca198TrN_MaMPK_DrSt_ode23t_1.png","figure")</f>
        <v>figure</v>
      </c>
      <c r="Q148" t="s">
        <v>15</v>
      </c>
    </row>
    <row r="149" spans="1:17" x14ac:dyDescent="0.25">
      <c r="A149">
        <v>148</v>
      </c>
      <c r="B149">
        <v>198</v>
      </c>
      <c r="C149" t="s">
        <v>105</v>
      </c>
      <c r="D149" t="s">
        <v>120</v>
      </c>
      <c r="E149" t="s">
        <v>107</v>
      </c>
      <c r="F149" t="s">
        <v>19</v>
      </c>
      <c r="G149" t="s">
        <v>20</v>
      </c>
      <c r="H149" t="s">
        <v>21</v>
      </c>
      <c r="I149" t="s">
        <v>55</v>
      </c>
      <c r="J149" t="s">
        <v>149</v>
      </c>
      <c r="K149" t="s">
        <v>23</v>
      </c>
      <c r="L149">
        <v>2592</v>
      </c>
      <c r="M149" s="4">
        <v>40.4856318</v>
      </c>
      <c r="N149" s="4">
        <v>-8.599387266499281E-3</v>
      </c>
      <c r="O149" s="4">
        <v>-3.0968705320672252E-2</v>
      </c>
      <c r="P149" s="1" t="str">
        <f>HYPERLINK(".\sm_car_250702_0917\sm_car_250702_0917_148_Ca198TrN_MaMPK_DrSt_ode23t_1.png","figure")</f>
        <v>figure</v>
      </c>
      <c r="Q149" t="s">
        <v>15</v>
      </c>
    </row>
    <row r="150" spans="1:17" x14ac:dyDescent="0.25">
      <c r="A150">
        <v>149</v>
      </c>
      <c r="B150">
        <v>198</v>
      </c>
      <c r="C150" t="s">
        <v>105</v>
      </c>
      <c r="D150" t="s">
        <v>120</v>
      </c>
      <c r="E150" t="s">
        <v>107</v>
      </c>
      <c r="F150" t="s">
        <v>19</v>
      </c>
      <c r="G150" t="s">
        <v>20</v>
      </c>
      <c r="H150" t="s">
        <v>21</v>
      </c>
      <c r="I150" t="s">
        <v>56</v>
      </c>
      <c r="J150" t="s">
        <v>148</v>
      </c>
      <c r="K150" t="s">
        <v>23</v>
      </c>
      <c r="L150">
        <v>2073</v>
      </c>
      <c r="M150" s="4">
        <v>35.7368576</v>
      </c>
      <c r="N150" s="4">
        <v>0.76453845505700002</v>
      </c>
      <c r="O150" s="4">
        <v>-0.33810720755994411</v>
      </c>
      <c r="P150" s="1" t="str">
        <f>HYPERLINK(".\sm_car_250702_0917\sm_car_250702_0917_149_Ca198TrN_MaMPC_DrSt_ode23t_1.png","figure")</f>
        <v>figure</v>
      </c>
      <c r="Q150" t="s">
        <v>15</v>
      </c>
    </row>
    <row r="151" spans="1:17" x14ac:dyDescent="0.25">
      <c r="A151">
        <v>150</v>
      </c>
      <c r="B151">
        <v>198</v>
      </c>
      <c r="C151" t="s">
        <v>105</v>
      </c>
      <c r="D151" t="s">
        <v>120</v>
      </c>
      <c r="E151" t="s">
        <v>107</v>
      </c>
      <c r="F151" t="s">
        <v>19</v>
      </c>
      <c r="G151" t="s">
        <v>20</v>
      </c>
      <c r="H151" t="s">
        <v>21</v>
      </c>
      <c r="I151" t="s">
        <v>56</v>
      </c>
      <c r="J151" t="s">
        <v>149</v>
      </c>
      <c r="K151" t="s">
        <v>23</v>
      </c>
      <c r="L151">
        <v>2087</v>
      </c>
      <c r="M151" s="4">
        <v>36.6638655</v>
      </c>
      <c r="N151" s="4">
        <v>0.78827906524540126</v>
      </c>
      <c r="O151" s="4">
        <v>-8.2539627106735916E-2</v>
      </c>
      <c r="P151" s="1" t="str">
        <f>HYPERLINK(".\sm_car_250702_0917\sm_car_250702_0917_150_Ca198TrN_MaMPC_DrSt_ode23t_1.png","figure")</f>
        <v>figure</v>
      </c>
      <c r="Q151" t="s">
        <v>15</v>
      </c>
    </row>
    <row r="152" spans="1:17" x14ac:dyDescent="0.25">
      <c r="A152">
        <v>151</v>
      </c>
      <c r="B152">
        <v>151</v>
      </c>
      <c r="C152" t="s">
        <v>16</v>
      </c>
      <c r="D152" t="s">
        <v>17</v>
      </c>
      <c r="E152" t="s">
        <v>18</v>
      </c>
      <c r="F152" t="s">
        <v>19</v>
      </c>
      <c r="G152" t="s">
        <v>59</v>
      </c>
      <c r="H152" t="s">
        <v>21</v>
      </c>
      <c r="I152" t="s">
        <v>24</v>
      </c>
      <c r="J152" t="s">
        <v>148</v>
      </c>
      <c r="K152" t="s">
        <v>23</v>
      </c>
      <c r="L152">
        <v>523</v>
      </c>
      <c r="M152" s="4">
        <v>13.817970799999999</v>
      </c>
      <c r="N152" s="4">
        <v>72.551483141729932</v>
      </c>
      <c r="O152" s="4">
        <v>-0.80463037599742193</v>
      </c>
      <c r="P152" s="1" t="str">
        <f>HYPERLINK(".\sm_car_250702_0917\sm_car_250702_0917_151_Ca151TrN_MaLSS_DrSt_ode23t_1.png","figure")</f>
        <v>figure</v>
      </c>
      <c r="Q152" t="s">
        <v>15</v>
      </c>
    </row>
    <row r="153" spans="1:17" x14ac:dyDescent="0.25">
      <c r="A153">
        <v>152</v>
      </c>
      <c r="B153">
        <v>152</v>
      </c>
      <c r="C153" t="s">
        <v>16</v>
      </c>
      <c r="D153" t="s">
        <v>17</v>
      </c>
      <c r="E153" t="s">
        <v>18</v>
      </c>
      <c r="F153" t="s">
        <v>19</v>
      </c>
      <c r="G153" t="s">
        <v>60</v>
      </c>
      <c r="H153" t="s">
        <v>21</v>
      </c>
      <c r="I153" t="s">
        <v>24</v>
      </c>
      <c r="J153" t="s">
        <v>148</v>
      </c>
      <c r="K153" t="s">
        <v>23</v>
      </c>
      <c r="L153">
        <v>531</v>
      </c>
      <c r="M153" s="4">
        <v>14.8104548</v>
      </c>
      <c r="N153" s="4">
        <v>70.955869350370747</v>
      </c>
      <c r="O153" s="4">
        <v>-0.52950022542498942</v>
      </c>
      <c r="P153" s="1" t="str">
        <f>HYPERLINK(".\sm_car_250702_0917\sm_car_250702_0917_152_Ca152TrN_MaLSS_DrSt_ode23t_1.png","figure")</f>
        <v>figure</v>
      </c>
      <c r="Q153" t="s">
        <v>15</v>
      </c>
    </row>
    <row r="154" spans="1:17" x14ac:dyDescent="0.25">
      <c r="A154">
        <v>153</v>
      </c>
      <c r="B154">
        <v>153</v>
      </c>
      <c r="C154" t="s">
        <v>16</v>
      </c>
      <c r="D154" t="s">
        <v>17</v>
      </c>
      <c r="E154" t="s">
        <v>18</v>
      </c>
      <c r="F154" t="s">
        <v>19</v>
      </c>
      <c r="G154" t="s">
        <v>61</v>
      </c>
      <c r="H154" t="s">
        <v>21</v>
      </c>
      <c r="I154" t="s">
        <v>24</v>
      </c>
      <c r="J154" t="s">
        <v>148</v>
      </c>
      <c r="K154" t="s">
        <v>23</v>
      </c>
      <c r="L154">
        <v>548</v>
      </c>
      <c r="M154" s="4">
        <v>15.0070791</v>
      </c>
      <c r="N154" s="4">
        <v>70.805860388659454</v>
      </c>
      <c r="O154" s="4">
        <v>-0.86851360959838986</v>
      </c>
      <c r="P154" s="1" t="str">
        <f>HYPERLINK(".\sm_car_250702_0917\sm_car_250702_0917_153_Ca153TrN_MaLSS_DrSt_ode23t_1.png","figure")</f>
        <v>figure</v>
      </c>
      <c r="Q154" t="s">
        <v>15</v>
      </c>
    </row>
    <row r="155" spans="1:17" x14ac:dyDescent="0.25">
      <c r="A155">
        <v>154</v>
      </c>
      <c r="B155">
        <v>154</v>
      </c>
      <c r="C155" t="s">
        <v>16</v>
      </c>
      <c r="D155" t="s">
        <v>17</v>
      </c>
      <c r="E155" t="s">
        <v>18</v>
      </c>
      <c r="F155" t="s">
        <v>19</v>
      </c>
      <c r="G155" t="s">
        <v>108</v>
      </c>
      <c r="H155" t="s">
        <v>21</v>
      </c>
      <c r="I155" t="s">
        <v>24</v>
      </c>
      <c r="J155" t="s">
        <v>148</v>
      </c>
      <c r="K155" t="s">
        <v>23</v>
      </c>
      <c r="L155">
        <v>497</v>
      </c>
      <c r="M155" s="4">
        <v>17.847323299999999</v>
      </c>
      <c r="N155" s="4">
        <v>70.98428043058</v>
      </c>
      <c r="O155" s="4">
        <v>-0.36102888347529238</v>
      </c>
      <c r="P155" s="1" t="str">
        <f>HYPERLINK(".\sm_car_250702_0917\sm_car_250702_0917_154_Ca154TrN_MaLSS_DrSt_ode23t_1.png","figure")</f>
        <v>figure</v>
      </c>
      <c r="Q155" t="s">
        <v>15</v>
      </c>
    </row>
    <row r="156" spans="1:17" x14ac:dyDescent="0.25">
      <c r="A156">
        <v>155</v>
      </c>
      <c r="B156">
        <v>155</v>
      </c>
      <c r="C156" t="s">
        <v>16</v>
      </c>
      <c r="D156" t="s">
        <v>17</v>
      </c>
      <c r="E156" t="s">
        <v>18</v>
      </c>
      <c r="F156" t="s">
        <v>19</v>
      </c>
      <c r="G156" t="s">
        <v>62</v>
      </c>
      <c r="H156" t="s">
        <v>21</v>
      </c>
      <c r="I156" t="s">
        <v>24</v>
      </c>
      <c r="J156" t="s">
        <v>148</v>
      </c>
      <c r="K156" t="s">
        <v>23</v>
      </c>
      <c r="L156">
        <v>558</v>
      </c>
      <c r="M156" s="4">
        <v>20.658087200000001</v>
      </c>
      <c r="N156" s="4">
        <v>70.831496287405585</v>
      </c>
      <c r="O156" s="4">
        <v>-0.84746192934203457</v>
      </c>
      <c r="P156" s="1" t="str">
        <f>HYPERLINK(".\sm_car_250702_0917\sm_car_250702_0917_155_Ca155TrN_MaLSS_DrSt_ode23t_1.png","figure")</f>
        <v>figure</v>
      </c>
      <c r="Q156" t="s">
        <v>15</v>
      </c>
    </row>
    <row r="157" spans="1:17" x14ac:dyDescent="0.25">
      <c r="A157">
        <v>156</v>
      </c>
      <c r="B157">
        <v>4</v>
      </c>
      <c r="C157" t="s">
        <v>16</v>
      </c>
      <c r="D157" t="s">
        <v>17</v>
      </c>
      <c r="E157" t="s">
        <v>18</v>
      </c>
      <c r="F157" t="s">
        <v>28</v>
      </c>
      <c r="G157" t="s">
        <v>20</v>
      </c>
      <c r="H157" t="s">
        <v>21</v>
      </c>
      <c r="I157" t="s">
        <v>22</v>
      </c>
      <c r="J157" t="s">
        <v>148</v>
      </c>
      <c r="K157" t="s">
        <v>63</v>
      </c>
      <c r="L157">
        <v>3247</v>
      </c>
      <c r="M157" s="4">
        <v>9.9751410000000007</v>
      </c>
      <c r="N157" s="4">
        <v>231.38224683871496</v>
      </c>
      <c r="O157" s="4">
        <v>2.2339937171260366E-3</v>
      </c>
      <c r="P157" s="1" t="str">
        <f>HYPERLINK(".\sm_car_250702_0917\sm_car_250702_0917_156_Ca004TrN_MaWOT_DrSt_ode3_1.png","figure")</f>
        <v>figure</v>
      </c>
      <c r="Q157" t="s">
        <v>15</v>
      </c>
    </row>
    <row r="158" spans="1:17" x14ac:dyDescent="0.25">
      <c r="A158">
        <v>157</v>
      </c>
      <c r="B158">
        <v>4</v>
      </c>
      <c r="C158" t="s">
        <v>16</v>
      </c>
      <c r="D158" t="s">
        <v>17</v>
      </c>
      <c r="E158" t="s">
        <v>18</v>
      </c>
      <c r="F158" t="s">
        <v>28</v>
      </c>
      <c r="G158" t="s">
        <v>20</v>
      </c>
      <c r="H158" t="s">
        <v>21</v>
      </c>
      <c r="I158" t="s">
        <v>24</v>
      </c>
      <c r="J158" t="s">
        <v>148</v>
      </c>
      <c r="K158" t="s">
        <v>63</v>
      </c>
      <c r="L158">
        <v>2564</v>
      </c>
      <c r="M158" s="4">
        <v>7.9665404000000004</v>
      </c>
      <c r="N158" s="4">
        <v>71.251895399548502</v>
      </c>
      <c r="O158" s="4">
        <v>-0.54030571140992245</v>
      </c>
      <c r="P158" s="1" t="str">
        <f>HYPERLINK(".\sm_car_250702_0917\sm_car_250702_0917_157_Ca004TrN_MaLSS_DrSt_ode3_1.png","figure")</f>
        <v>figure</v>
      </c>
      <c r="Q158" t="s">
        <v>15</v>
      </c>
    </row>
    <row r="159" spans="1:17" x14ac:dyDescent="0.25">
      <c r="A159">
        <v>158</v>
      </c>
      <c r="B159">
        <v>4</v>
      </c>
      <c r="C159" t="s">
        <v>16</v>
      </c>
      <c r="D159" t="s">
        <v>17</v>
      </c>
      <c r="E159" t="s">
        <v>18</v>
      </c>
      <c r="F159" t="s">
        <v>28</v>
      </c>
      <c r="G159" t="s">
        <v>20</v>
      </c>
      <c r="H159" t="s">
        <v>21</v>
      </c>
      <c r="I159" t="s">
        <v>64</v>
      </c>
      <c r="J159" t="s">
        <v>148</v>
      </c>
      <c r="K159" t="s">
        <v>63</v>
      </c>
      <c r="L159">
        <v>2562</v>
      </c>
      <c r="M159" s="4">
        <v>7.9153957000000004</v>
      </c>
      <c r="N159" s="4">
        <v>63.784285151621532</v>
      </c>
      <c r="O159" s="4">
        <v>-25.042725609682812</v>
      </c>
      <c r="P159" s="1" t="str">
        <f>HYPERLINK(".\sm_car_250702_0917\sm_car_250702_0917_158_Ca004TrN_MaTUR_DrSt_ode3_1.png","figure")</f>
        <v>figure</v>
      </c>
      <c r="Q159" t="s">
        <v>15</v>
      </c>
    </row>
    <row r="160" spans="1:17" x14ac:dyDescent="0.25">
      <c r="A160">
        <v>159</v>
      </c>
      <c r="B160">
        <v>116</v>
      </c>
      <c r="C160" t="s">
        <v>16</v>
      </c>
      <c r="D160" t="s">
        <v>35</v>
      </c>
      <c r="E160" t="s">
        <v>18</v>
      </c>
      <c r="F160" t="s">
        <v>28</v>
      </c>
      <c r="G160" t="s">
        <v>20</v>
      </c>
      <c r="H160" t="s">
        <v>21</v>
      </c>
      <c r="I160" t="s">
        <v>22</v>
      </c>
      <c r="J160" t="s">
        <v>148</v>
      </c>
      <c r="K160" t="s">
        <v>63</v>
      </c>
      <c r="L160">
        <v>3244</v>
      </c>
      <c r="M160" s="4">
        <v>4.2403027</v>
      </c>
      <c r="N160" s="4">
        <v>242.69607452341987</v>
      </c>
      <c r="O160" s="4">
        <v>0.23635446031101723</v>
      </c>
      <c r="P160" s="1" t="str">
        <f>HYPERLINK(".\sm_car_250702_0917\sm_car_250702_0917_159_Ca116TrN_MaWOT_DrSt_ode3_1.png","figure")</f>
        <v>figure</v>
      </c>
      <c r="Q160" t="s">
        <v>15</v>
      </c>
    </row>
    <row r="161" spans="1:17" x14ac:dyDescent="0.25">
      <c r="A161">
        <v>160</v>
      </c>
      <c r="B161">
        <v>116</v>
      </c>
      <c r="C161" t="s">
        <v>16</v>
      </c>
      <c r="D161" t="s">
        <v>35</v>
      </c>
      <c r="E161" t="s">
        <v>18</v>
      </c>
      <c r="F161" t="s">
        <v>28</v>
      </c>
      <c r="G161" t="s">
        <v>20</v>
      </c>
      <c r="H161" t="s">
        <v>21</v>
      </c>
      <c r="I161" t="s">
        <v>24</v>
      </c>
      <c r="J161" t="s">
        <v>148</v>
      </c>
      <c r="K161" t="s">
        <v>63</v>
      </c>
      <c r="L161">
        <v>2564</v>
      </c>
      <c r="M161" s="4">
        <v>3.4276602</v>
      </c>
      <c r="N161" s="4">
        <v>74.657190781644118</v>
      </c>
      <c r="O161" s="4">
        <v>-0.34075824439014252</v>
      </c>
      <c r="P161" s="1" t="str">
        <f>HYPERLINK(".\sm_car_250702_0917\sm_car_250702_0917_160_Ca116TrN_MaLSS_DrSt_ode3_1.png","figure")</f>
        <v>figure</v>
      </c>
      <c r="Q161" t="s">
        <v>15</v>
      </c>
    </row>
    <row r="162" spans="1:17" x14ac:dyDescent="0.25">
      <c r="A162">
        <v>161</v>
      </c>
      <c r="B162">
        <v>116</v>
      </c>
      <c r="C162" t="s">
        <v>16</v>
      </c>
      <c r="D162" t="s">
        <v>35</v>
      </c>
      <c r="E162" t="s">
        <v>18</v>
      </c>
      <c r="F162" t="s">
        <v>28</v>
      </c>
      <c r="G162" t="s">
        <v>20</v>
      </c>
      <c r="H162" t="s">
        <v>21</v>
      </c>
      <c r="I162" t="s">
        <v>64</v>
      </c>
      <c r="J162" t="s">
        <v>148</v>
      </c>
      <c r="K162" t="s">
        <v>63</v>
      </c>
      <c r="L162">
        <v>2563</v>
      </c>
      <c r="M162" s="4">
        <v>3.6372092</v>
      </c>
      <c r="N162" s="4">
        <v>71.322015477791922</v>
      </c>
      <c r="O162" s="4">
        <v>-17.59032913116118</v>
      </c>
      <c r="P162" s="1" t="str">
        <f>HYPERLINK(".\sm_car_250702_0917\sm_car_250702_0917_161_Ca116TrN_MaTUR_DrSt_ode3_1.png","figure")</f>
        <v>figure</v>
      </c>
      <c r="Q162" t="s">
        <v>15</v>
      </c>
    </row>
    <row r="163" spans="1:17" x14ac:dyDescent="0.25">
      <c r="A163">
        <v>162</v>
      </c>
      <c r="B163">
        <v>124</v>
      </c>
      <c r="C163" t="s">
        <v>16</v>
      </c>
      <c r="D163" t="s">
        <v>35</v>
      </c>
      <c r="E163" t="s">
        <v>49</v>
      </c>
      <c r="F163" t="s">
        <v>28</v>
      </c>
      <c r="G163" t="s">
        <v>20</v>
      </c>
      <c r="H163" t="s">
        <v>21</v>
      </c>
      <c r="I163" t="s">
        <v>22</v>
      </c>
      <c r="J163" t="s">
        <v>148</v>
      </c>
      <c r="K163" t="s">
        <v>63</v>
      </c>
      <c r="L163">
        <v>3244</v>
      </c>
      <c r="M163" s="4">
        <v>2.3637747</v>
      </c>
      <c r="N163" s="4">
        <v>242.87242715534205</v>
      </c>
      <c r="O163" s="4">
        <v>0.23615864655911284</v>
      </c>
      <c r="P163" s="1" t="str">
        <f>HYPERLINK(".\sm_car_250702_0917\sm_car_250702_0917_162_Ca124TrN_MaWOT_DrSt_ode3_1.png","figure")</f>
        <v>figure</v>
      </c>
      <c r="Q163" t="s">
        <v>15</v>
      </c>
    </row>
    <row r="164" spans="1:17" x14ac:dyDescent="0.25">
      <c r="A164">
        <v>163</v>
      </c>
      <c r="B164">
        <v>124</v>
      </c>
      <c r="C164" t="s">
        <v>16</v>
      </c>
      <c r="D164" t="s">
        <v>35</v>
      </c>
      <c r="E164" t="s">
        <v>49</v>
      </c>
      <c r="F164" t="s">
        <v>28</v>
      </c>
      <c r="G164" t="s">
        <v>20</v>
      </c>
      <c r="H164" t="s">
        <v>21</v>
      </c>
      <c r="I164" t="s">
        <v>24</v>
      </c>
      <c r="J164" t="s">
        <v>148</v>
      </c>
      <c r="K164" t="s">
        <v>63</v>
      </c>
      <c r="L164">
        <v>2565</v>
      </c>
      <c r="M164" s="4">
        <v>1.9217761</v>
      </c>
      <c r="N164" s="4">
        <v>74.796106047599508</v>
      </c>
      <c r="O164" s="4">
        <v>-0.34233746651595287</v>
      </c>
      <c r="P164" s="1" t="str">
        <f>HYPERLINK(".\sm_car_250702_0917\sm_car_250702_0917_163_Ca124TrN_MaLSS_DrSt_ode3_1.png","figure")</f>
        <v>figure</v>
      </c>
      <c r="Q164" t="s">
        <v>15</v>
      </c>
    </row>
    <row r="165" spans="1:17" x14ac:dyDescent="0.25">
      <c r="A165">
        <v>164</v>
      </c>
      <c r="B165">
        <v>124</v>
      </c>
      <c r="C165" t="s">
        <v>16</v>
      </c>
      <c r="D165" t="s">
        <v>35</v>
      </c>
      <c r="E165" t="s">
        <v>49</v>
      </c>
      <c r="F165" t="s">
        <v>28</v>
      </c>
      <c r="G165" t="s">
        <v>20</v>
      </c>
      <c r="H165" t="s">
        <v>21</v>
      </c>
      <c r="I165" t="s">
        <v>64</v>
      </c>
      <c r="J165" t="s">
        <v>148</v>
      </c>
      <c r="K165" t="s">
        <v>63</v>
      </c>
      <c r="L165">
        <v>2564</v>
      </c>
      <c r="M165" s="4">
        <v>2.1908846999999998</v>
      </c>
      <c r="N165" s="4">
        <v>71.447408139703924</v>
      </c>
      <c r="O165" s="4">
        <v>-17.636376353758362</v>
      </c>
      <c r="P165" s="1" t="str">
        <f>HYPERLINK(".\sm_car_250702_0917\sm_car_250702_0917_164_Ca124TrN_MaTUR_DrSt_ode3_1.png","figure")</f>
        <v>figure</v>
      </c>
      <c r="Q165" t="s">
        <v>15</v>
      </c>
    </row>
    <row r="166" spans="1:17" x14ac:dyDescent="0.25">
      <c r="A166">
        <v>165</v>
      </c>
      <c r="B166">
        <v>141</v>
      </c>
      <c r="C166" t="s">
        <v>45</v>
      </c>
      <c r="D166" t="s">
        <v>17</v>
      </c>
      <c r="E166" t="s">
        <v>18</v>
      </c>
      <c r="F166" t="s">
        <v>28</v>
      </c>
      <c r="G166" t="s">
        <v>26</v>
      </c>
      <c r="H166" t="s">
        <v>21</v>
      </c>
      <c r="I166" t="s">
        <v>22</v>
      </c>
      <c r="J166" t="s">
        <v>148</v>
      </c>
      <c r="K166" t="s">
        <v>63</v>
      </c>
      <c r="L166">
        <v>3837</v>
      </c>
      <c r="M166" s="4">
        <v>14.5812066</v>
      </c>
      <c r="N166" s="4">
        <v>405.26699927161485</v>
      </c>
      <c r="O166" s="4">
        <v>1.5961569122996149</v>
      </c>
      <c r="P166" s="1" t="str">
        <f>HYPERLINK(".\sm_car_250702_0917\sm_car_250702_0917_165_Ca141TrN_MaWOT_DrSt_ode3_1.png","figure")</f>
        <v>figure</v>
      </c>
      <c r="Q166" t="s">
        <v>15</v>
      </c>
    </row>
    <row r="167" spans="1:17" x14ac:dyDescent="0.25">
      <c r="A167">
        <v>166</v>
      </c>
      <c r="B167">
        <v>141</v>
      </c>
      <c r="C167" t="s">
        <v>45</v>
      </c>
      <c r="D167" t="s">
        <v>17</v>
      </c>
      <c r="E167" t="s">
        <v>18</v>
      </c>
      <c r="F167" t="s">
        <v>28</v>
      </c>
      <c r="G167" t="s">
        <v>26</v>
      </c>
      <c r="H167" t="s">
        <v>21</v>
      </c>
      <c r="I167" t="s">
        <v>24</v>
      </c>
      <c r="J167" t="s">
        <v>148</v>
      </c>
      <c r="K167" t="s">
        <v>63</v>
      </c>
      <c r="L167">
        <v>3192</v>
      </c>
      <c r="M167" s="4">
        <v>12.5920369</v>
      </c>
      <c r="N167" s="4">
        <v>154.45726064104292</v>
      </c>
      <c r="O167" s="4">
        <v>-0.58045900798927486</v>
      </c>
      <c r="P167" s="1" t="str">
        <f>HYPERLINK(".\sm_car_250702_0917\sm_car_250702_0917_166_Ca141TrN_MaLSS_DrSt_ode3_1.png","figure")</f>
        <v>figure</v>
      </c>
      <c r="Q167" t="s">
        <v>15</v>
      </c>
    </row>
    <row r="168" spans="1:17" x14ac:dyDescent="0.25">
      <c r="A168">
        <v>167</v>
      </c>
      <c r="B168">
        <v>141</v>
      </c>
      <c r="C168" t="s">
        <v>45</v>
      </c>
      <c r="D168" t="s">
        <v>17</v>
      </c>
      <c r="E168" t="s">
        <v>18</v>
      </c>
      <c r="F168" t="s">
        <v>28</v>
      </c>
      <c r="G168" t="s">
        <v>26</v>
      </c>
      <c r="H168" t="s">
        <v>21</v>
      </c>
      <c r="I168" t="s">
        <v>64</v>
      </c>
      <c r="J168" t="s">
        <v>148</v>
      </c>
      <c r="K168" t="s">
        <v>63</v>
      </c>
      <c r="L168">
        <v>3160</v>
      </c>
      <c r="M168" s="4">
        <v>12.084769700000001</v>
      </c>
      <c r="N168" s="4">
        <v>98.352619069086302</v>
      </c>
      <c r="O168" s="4">
        <v>-87.510631613405067</v>
      </c>
      <c r="P168" s="1" t="str">
        <f>HYPERLINK(".\sm_car_250702_0917\sm_car_250702_0917_167_Ca141TrN_MaTUR_DrSt_ode3_1.png","figure")</f>
        <v>figure</v>
      </c>
      <c r="Q168" t="s">
        <v>15</v>
      </c>
    </row>
    <row r="169" spans="1:17" x14ac:dyDescent="0.25">
      <c r="A169">
        <v>168</v>
      </c>
      <c r="B169">
        <v>145</v>
      </c>
      <c r="C169" t="s">
        <v>46</v>
      </c>
      <c r="D169" t="s">
        <v>17</v>
      </c>
      <c r="E169" t="s">
        <v>50</v>
      </c>
      <c r="F169" t="s">
        <v>19</v>
      </c>
      <c r="G169" t="s">
        <v>26</v>
      </c>
      <c r="H169" t="s">
        <v>21</v>
      </c>
      <c r="I169" t="s">
        <v>22</v>
      </c>
      <c r="J169" t="s">
        <v>148</v>
      </c>
      <c r="K169" t="s">
        <v>63</v>
      </c>
      <c r="L169">
        <v>2858</v>
      </c>
      <c r="M169" s="4">
        <v>8.8948155</v>
      </c>
      <c r="N169" s="4">
        <v>96.144896635394275</v>
      </c>
      <c r="O169" s="4">
        <v>7.623552642315566E-4</v>
      </c>
      <c r="P169" s="1" t="str">
        <f>HYPERLINK(".\sm_car_250702_0917\sm_car_250702_0917_168_Ca145TrN_MaWOT_DrSt_ode3_1.png","figure")</f>
        <v>figure</v>
      </c>
      <c r="Q169" t="s">
        <v>15</v>
      </c>
    </row>
    <row r="170" spans="1:17" x14ac:dyDescent="0.25">
      <c r="A170">
        <v>169</v>
      </c>
      <c r="B170">
        <v>145</v>
      </c>
      <c r="C170" t="s">
        <v>46</v>
      </c>
      <c r="D170" t="s">
        <v>17</v>
      </c>
      <c r="E170" t="s">
        <v>50</v>
      </c>
      <c r="F170" t="s">
        <v>19</v>
      </c>
      <c r="G170" t="s">
        <v>26</v>
      </c>
      <c r="H170" t="s">
        <v>21</v>
      </c>
      <c r="I170" t="s">
        <v>24</v>
      </c>
      <c r="J170" t="s">
        <v>148</v>
      </c>
      <c r="K170" t="s">
        <v>63</v>
      </c>
      <c r="L170">
        <v>2383</v>
      </c>
      <c r="M170" s="4">
        <v>7.5847528999999998</v>
      </c>
      <c r="N170" s="4">
        <v>25.350384528538779</v>
      </c>
      <c r="O170" s="4">
        <v>-4.147040037020653E-2</v>
      </c>
      <c r="P170" s="1" t="str">
        <f>HYPERLINK(".\sm_car_250702_0917\sm_car_250702_0917_169_Ca145TrN_MaLSS_DrSt_ode3_1.png","figure")</f>
        <v>figure</v>
      </c>
      <c r="Q170" t="s">
        <v>15</v>
      </c>
    </row>
    <row r="171" spans="1:17" x14ac:dyDescent="0.25">
      <c r="A171">
        <v>170</v>
      </c>
      <c r="B171">
        <v>145</v>
      </c>
      <c r="C171" t="s">
        <v>46</v>
      </c>
      <c r="D171" t="s">
        <v>17</v>
      </c>
      <c r="E171" t="s">
        <v>50</v>
      </c>
      <c r="F171" t="s">
        <v>19</v>
      </c>
      <c r="G171" t="s">
        <v>26</v>
      </c>
      <c r="H171" t="s">
        <v>21</v>
      </c>
      <c r="I171" t="s">
        <v>64</v>
      </c>
      <c r="J171" t="s">
        <v>148</v>
      </c>
      <c r="K171" t="s">
        <v>63</v>
      </c>
      <c r="L171">
        <v>2381</v>
      </c>
      <c r="M171" s="4">
        <v>8.0945313999999993</v>
      </c>
      <c r="N171" s="4">
        <v>25.137841099484849</v>
      </c>
      <c r="O171" s="4">
        <v>-2.6089116950163844</v>
      </c>
      <c r="P171" s="1" t="str">
        <f>HYPERLINK(".\sm_car_250702_0917\sm_car_250702_0917_170_Ca145TrN_MaTUR_DrSt_ode3_1.png","figure")</f>
        <v>figure</v>
      </c>
      <c r="Q171" t="s">
        <v>15</v>
      </c>
    </row>
    <row r="172" spans="1:17" x14ac:dyDescent="0.25">
      <c r="A172">
        <v>171</v>
      </c>
      <c r="B172">
        <v>199</v>
      </c>
      <c r="C172" t="s">
        <v>46</v>
      </c>
      <c r="D172" t="s">
        <v>17</v>
      </c>
      <c r="E172" t="s">
        <v>109</v>
      </c>
      <c r="F172" t="s">
        <v>19</v>
      </c>
      <c r="G172" t="s">
        <v>26</v>
      </c>
      <c r="H172" t="s">
        <v>21</v>
      </c>
      <c r="I172" t="s">
        <v>22</v>
      </c>
      <c r="J172" t="s">
        <v>148</v>
      </c>
      <c r="K172" t="s">
        <v>63</v>
      </c>
      <c r="L172">
        <v>2859</v>
      </c>
      <c r="M172" s="4">
        <v>10.352252099999999</v>
      </c>
      <c r="N172" s="4">
        <v>96.876712511862664</v>
      </c>
      <c r="O172" s="4">
        <v>0.14710687090715335</v>
      </c>
      <c r="P172" s="1" t="str">
        <f>HYPERLINK(".\sm_car_250702_0917\sm_car_250702_0917_171_Ca199TrN_MaWOT_DrSt_ode3_1.png","figure")</f>
        <v>figure</v>
      </c>
      <c r="Q172" t="s">
        <v>15</v>
      </c>
    </row>
    <row r="173" spans="1:17" x14ac:dyDescent="0.25">
      <c r="A173">
        <v>172</v>
      </c>
      <c r="B173">
        <v>199</v>
      </c>
      <c r="C173" t="s">
        <v>46</v>
      </c>
      <c r="D173" t="s">
        <v>17</v>
      </c>
      <c r="E173" t="s">
        <v>109</v>
      </c>
      <c r="F173" t="s">
        <v>19</v>
      </c>
      <c r="G173" t="s">
        <v>26</v>
      </c>
      <c r="H173" t="s">
        <v>21</v>
      </c>
      <c r="I173" t="s">
        <v>24</v>
      </c>
      <c r="J173" t="s">
        <v>148</v>
      </c>
      <c r="K173" t="s">
        <v>63</v>
      </c>
      <c r="L173">
        <v>2387</v>
      </c>
      <c r="M173" s="4">
        <v>9.2095681999999996</v>
      </c>
      <c r="N173" s="4">
        <v>25.965284803801108</v>
      </c>
      <c r="O173" s="4">
        <v>-2.8437674276315383E-2</v>
      </c>
      <c r="P173" s="1" t="str">
        <f>HYPERLINK(".\sm_car_250702_0917\sm_car_250702_0917_172_Ca199TrN_MaLSS_DrSt_ode3_1.png","figure")</f>
        <v>figure</v>
      </c>
      <c r="Q173" t="s">
        <v>15</v>
      </c>
    </row>
    <row r="174" spans="1:17" x14ac:dyDescent="0.25">
      <c r="A174">
        <v>173</v>
      </c>
      <c r="B174">
        <v>199</v>
      </c>
      <c r="C174" t="s">
        <v>46</v>
      </c>
      <c r="D174" t="s">
        <v>17</v>
      </c>
      <c r="E174" t="s">
        <v>109</v>
      </c>
      <c r="F174" t="s">
        <v>19</v>
      </c>
      <c r="G174" t="s">
        <v>26</v>
      </c>
      <c r="H174" t="s">
        <v>21</v>
      </c>
      <c r="I174" t="s">
        <v>64</v>
      </c>
      <c r="J174" t="s">
        <v>148</v>
      </c>
      <c r="K174" t="s">
        <v>63</v>
      </c>
      <c r="L174">
        <v>2383</v>
      </c>
      <c r="M174" s="4">
        <v>8.4938277000000006</v>
      </c>
      <c r="N174" s="4">
        <v>25.754133243783855</v>
      </c>
      <c r="O174" s="4">
        <v>-2.6783870275139745</v>
      </c>
      <c r="P174" s="1" t="str">
        <f>HYPERLINK(".\sm_car_250702_0917\sm_car_250702_0917_173_Ca199TrN_MaTUR_DrSt_ode3_1.png","figure")</f>
        <v>figure</v>
      </c>
      <c r="Q174" t="s">
        <v>15</v>
      </c>
    </row>
    <row r="175" spans="1:17" x14ac:dyDescent="0.25">
      <c r="A175">
        <v>174</v>
      </c>
      <c r="B175">
        <v>139</v>
      </c>
      <c r="C175" t="s">
        <v>45</v>
      </c>
      <c r="D175" t="s">
        <v>17</v>
      </c>
      <c r="E175" t="s">
        <v>18</v>
      </c>
      <c r="F175" t="s">
        <v>19</v>
      </c>
      <c r="G175" t="s">
        <v>26</v>
      </c>
      <c r="H175" t="s">
        <v>21</v>
      </c>
      <c r="I175" t="s">
        <v>53</v>
      </c>
      <c r="J175" t="s">
        <v>148</v>
      </c>
      <c r="K175" t="s">
        <v>23</v>
      </c>
      <c r="L175">
        <v>536</v>
      </c>
      <c r="M175" s="4">
        <v>15.894165599999999</v>
      </c>
      <c r="N175" s="4">
        <v>253.96049351968031</v>
      </c>
      <c r="O175" s="4">
        <v>-8.0027056684572884E-3</v>
      </c>
      <c r="P175" s="1" t="str">
        <f>HYPERLINK(".\sm_car_250702_0917\sm_car_250702_0917_174_Ca139TrN_MaDLC_DrSt_ode23t_1.png","figure")</f>
        <v>figure</v>
      </c>
      <c r="Q175" t="s">
        <v>15</v>
      </c>
    </row>
    <row r="176" spans="1:17" x14ac:dyDescent="0.25">
      <c r="A176">
        <v>175</v>
      </c>
      <c r="B176">
        <v>139</v>
      </c>
      <c r="C176" t="s">
        <v>45</v>
      </c>
      <c r="D176" t="s">
        <v>17</v>
      </c>
      <c r="E176" t="s">
        <v>18</v>
      </c>
      <c r="F176" t="s">
        <v>19</v>
      </c>
      <c r="G176" t="s">
        <v>26</v>
      </c>
      <c r="H176" t="s">
        <v>65</v>
      </c>
      <c r="I176" t="s">
        <v>53</v>
      </c>
      <c r="J176" t="s">
        <v>148</v>
      </c>
      <c r="K176" t="s">
        <v>23</v>
      </c>
      <c r="L176">
        <v>791</v>
      </c>
      <c r="M176" s="4">
        <v>36.354193500000001</v>
      </c>
      <c r="N176" s="4">
        <v>254.17102316459506</v>
      </c>
      <c r="O176" s="4">
        <v>1.1781929868024843E-2</v>
      </c>
      <c r="P176" s="1" t="str">
        <f>HYPERLINK(".\sm_car_250702_0917\sm_car_250702_0917_175_Ca139TrE_MaDLC_DrSt_ode23t_1.png","figure")</f>
        <v>figure</v>
      </c>
      <c r="Q176" t="s">
        <v>15</v>
      </c>
    </row>
    <row r="177" spans="1:17" x14ac:dyDescent="0.25">
      <c r="A177">
        <v>176</v>
      </c>
      <c r="B177">
        <v>139</v>
      </c>
      <c r="C177" t="s">
        <v>45</v>
      </c>
      <c r="D177" t="s">
        <v>17</v>
      </c>
      <c r="E177" t="s">
        <v>18</v>
      </c>
      <c r="F177" t="s">
        <v>19</v>
      </c>
      <c r="G177" t="s">
        <v>26</v>
      </c>
      <c r="H177" t="s">
        <v>66</v>
      </c>
      <c r="I177" t="s">
        <v>53</v>
      </c>
      <c r="J177" t="s">
        <v>148</v>
      </c>
      <c r="K177" t="s">
        <v>23</v>
      </c>
      <c r="L177">
        <v>1042</v>
      </c>
      <c r="M177" s="4">
        <v>44.133814999999998</v>
      </c>
      <c r="N177" s="4">
        <v>257.09439734706507</v>
      </c>
      <c r="O177" s="4">
        <v>-5.7272396791749891E-3</v>
      </c>
      <c r="P177" s="1" t="str">
        <f>HYPERLINK(".\sm_car_250702_0917\sm_car_250702_0917_176_Ca139TrT_MaDLC_DrSt_ode23t_1.png","figure")</f>
        <v>figure</v>
      </c>
      <c r="Q177" t="s">
        <v>15</v>
      </c>
    </row>
    <row r="178" spans="1:17" x14ac:dyDescent="0.25">
      <c r="A178">
        <v>177</v>
      </c>
      <c r="B178">
        <v>139</v>
      </c>
      <c r="C178" t="s">
        <v>45</v>
      </c>
      <c r="D178" t="s">
        <v>17</v>
      </c>
      <c r="E178" t="s">
        <v>18</v>
      </c>
      <c r="F178" t="s">
        <v>19</v>
      </c>
      <c r="G178" t="s">
        <v>26</v>
      </c>
      <c r="H178" t="s">
        <v>65</v>
      </c>
      <c r="I178" t="s">
        <v>53</v>
      </c>
      <c r="J178" t="s">
        <v>148</v>
      </c>
      <c r="K178" t="s">
        <v>23</v>
      </c>
      <c r="L178">
        <v>950</v>
      </c>
      <c r="M178" s="4">
        <v>34.032218399999998</v>
      </c>
      <c r="N178" s="4">
        <v>253.25345853499118</v>
      </c>
      <c r="O178" s="4">
        <v>0.12954371292730604</v>
      </c>
      <c r="P178" s="1" t="str">
        <f>HYPERLINK(".\sm_car_250702_0917\sm_car_250702_0917_177_Ca139TrE_MaDLC_DrSt_ode23t_1.png","figure")</f>
        <v>figure</v>
      </c>
      <c r="Q178" t="s">
        <v>15</v>
      </c>
    </row>
    <row r="179" spans="1:17" x14ac:dyDescent="0.25">
      <c r="A179">
        <v>178</v>
      </c>
      <c r="B179">
        <v>2</v>
      </c>
      <c r="C179" t="s">
        <v>16</v>
      </c>
      <c r="D179" t="s">
        <v>17</v>
      </c>
      <c r="E179" t="s">
        <v>18</v>
      </c>
      <c r="F179" t="s">
        <v>19</v>
      </c>
      <c r="G179" t="s">
        <v>26</v>
      </c>
      <c r="H179" t="s">
        <v>21</v>
      </c>
      <c r="I179" t="s">
        <v>53</v>
      </c>
      <c r="J179" t="s">
        <v>148</v>
      </c>
      <c r="K179" t="s">
        <v>23</v>
      </c>
      <c r="L179">
        <v>533</v>
      </c>
      <c r="M179" s="4">
        <v>11.6851313</v>
      </c>
      <c r="N179" s="4">
        <v>255.23665771627645</v>
      </c>
      <c r="O179" s="4">
        <v>4.0054657191747278E-2</v>
      </c>
      <c r="P179" s="1" t="str">
        <f>HYPERLINK(".\sm_car_250702_0917\sm_car_250702_0917_178_Ca002TrN_MaDLC_DrSt_ode23t_1.png","figure")</f>
        <v>figure</v>
      </c>
      <c r="Q179" t="s">
        <v>15</v>
      </c>
    </row>
    <row r="180" spans="1:17" x14ac:dyDescent="0.25">
      <c r="A180">
        <v>179</v>
      </c>
      <c r="B180">
        <v>2</v>
      </c>
      <c r="C180" t="s">
        <v>16</v>
      </c>
      <c r="D180" t="s">
        <v>17</v>
      </c>
      <c r="E180" t="s">
        <v>18</v>
      </c>
      <c r="F180" t="s">
        <v>19</v>
      </c>
      <c r="G180" t="s">
        <v>26</v>
      </c>
      <c r="H180" t="s">
        <v>65</v>
      </c>
      <c r="I180" t="s">
        <v>53</v>
      </c>
      <c r="J180" t="s">
        <v>148</v>
      </c>
      <c r="K180" t="s">
        <v>23</v>
      </c>
      <c r="L180">
        <v>583</v>
      </c>
      <c r="M180" s="4">
        <v>22.579151</v>
      </c>
      <c r="N180" s="4">
        <v>253.59036412630689</v>
      </c>
      <c r="O180" s="4">
        <v>4.6510530822904794E-2</v>
      </c>
      <c r="P180" s="1" t="str">
        <f>HYPERLINK(".\sm_car_250702_0917\sm_car_250702_0917_179_Ca002TrE_MaDLC_DrSt_ode23t_1.png","figure")</f>
        <v>figure</v>
      </c>
      <c r="Q180" t="s">
        <v>15</v>
      </c>
    </row>
    <row r="181" spans="1:17" x14ac:dyDescent="0.25">
      <c r="A181">
        <v>180</v>
      </c>
      <c r="B181">
        <v>2</v>
      </c>
      <c r="C181" t="s">
        <v>16</v>
      </c>
      <c r="D181" t="s">
        <v>17</v>
      </c>
      <c r="E181" t="s">
        <v>18</v>
      </c>
      <c r="F181" t="s">
        <v>19</v>
      </c>
      <c r="G181" t="s">
        <v>26</v>
      </c>
      <c r="H181" t="s">
        <v>66</v>
      </c>
      <c r="I181" t="s">
        <v>53</v>
      </c>
      <c r="J181" t="s">
        <v>148</v>
      </c>
      <c r="K181" t="s">
        <v>23</v>
      </c>
      <c r="L181">
        <v>857</v>
      </c>
      <c r="M181" s="4">
        <v>32.786372499999999</v>
      </c>
      <c r="N181" s="4">
        <v>253.66057161467307</v>
      </c>
      <c r="O181" s="4">
        <v>4.5759979442287602E-2</v>
      </c>
      <c r="P181" s="1" t="str">
        <f>HYPERLINK(".\sm_car_250702_0917\sm_car_250702_0917_180_Ca002TrT_MaDLC_DrSt_ode23t_1.png","figure")</f>
        <v>figure</v>
      </c>
      <c r="Q181" t="s">
        <v>15</v>
      </c>
    </row>
    <row r="182" spans="1:17" x14ac:dyDescent="0.25">
      <c r="A182">
        <v>181</v>
      </c>
      <c r="B182">
        <v>2</v>
      </c>
      <c r="C182" t="s">
        <v>16</v>
      </c>
      <c r="D182" t="s">
        <v>17</v>
      </c>
      <c r="E182" t="s">
        <v>18</v>
      </c>
      <c r="F182" t="s">
        <v>19</v>
      </c>
      <c r="G182" t="s">
        <v>26</v>
      </c>
      <c r="H182" t="s">
        <v>65</v>
      </c>
      <c r="I182" t="s">
        <v>53</v>
      </c>
      <c r="J182" t="s">
        <v>148</v>
      </c>
      <c r="K182" t="s">
        <v>23</v>
      </c>
      <c r="L182">
        <v>571</v>
      </c>
      <c r="M182" s="4">
        <v>17.595845499999999</v>
      </c>
      <c r="N182" s="4">
        <v>253.50506316647767</v>
      </c>
      <c r="O182" s="4">
        <v>4.6911789980578433E-2</v>
      </c>
      <c r="P182" s="1" t="str">
        <f>HYPERLINK(".\sm_car_250702_0917\sm_car_250702_0917_181_Ca002TrE_MaDLC_DrSt_ode23t_1.png","figure")</f>
        <v>figure</v>
      </c>
      <c r="Q182" t="s">
        <v>15</v>
      </c>
    </row>
    <row r="183" spans="1:17" x14ac:dyDescent="0.25">
      <c r="A183">
        <v>182</v>
      </c>
      <c r="B183">
        <v>145</v>
      </c>
      <c r="C183" t="s">
        <v>46</v>
      </c>
      <c r="D183" t="s">
        <v>17</v>
      </c>
      <c r="E183" t="s">
        <v>50</v>
      </c>
      <c r="F183" t="s">
        <v>19</v>
      </c>
      <c r="G183" t="s">
        <v>26</v>
      </c>
      <c r="H183" t="s">
        <v>21</v>
      </c>
      <c r="I183" t="s">
        <v>53</v>
      </c>
      <c r="J183" t="s">
        <v>148</v>
      </c>
      <c r="K183" t="s">
        <v>23</v>
      </c>
      <c r="L183">
        <v>460</v>
      </c>
      <c r="M183" s="4">
        <v>19.637333699999999</v>
      </c>
      <c r="N183" s="4">
        <v>254.43675365798316</v>
      </c>
      <c r="O183" s="4">
        <v>7.2329547241482661E-2</v>
      </c>
      <c r="P183" s="1" t="str">
        <f>HYPERLINK(".\sm_car_250702_0917\sm_car_250702_0917_182_Ca145TrN_MaDLC_DrSt_ode23t_1.png","figure")</f>
        <v>figure</v>
      </c>
      <c r="Q183" t="s">
        <v>15</v>
      </c>
    </row>
    <row r="184" spans="1:17" x14ac:dyDescent="0.25">
      <c r="A184">
        <v>183</v>
      </c>
      <c r="B184">
        <v>145</v>
      </c>
      <c r="C184" t="s">
        <v>46</v>
      </c>
      <c r="D184" t="s">
        <v>17</v>
      </c>
      <c r="E184" t="s">
        <v>50</v>
      </c>
      <c r="F184" t="s">
        <v>19</v>
      </c>
      <c r="G184" t="s">
        <v>26</v>
      </c>
      <c r="H184" t="s">
        <v>65</v>
      </c>
      <c r="I184" t="s">
        <v>53</v>
      </c>
      <c r="J184" t="s">
        <v>148</v>
      </c>
      <c r="K184" t="s">
        <v>23</v>
      </c>
      <c r="L184">
        <v>563</v>
      </c>
      <c r="M184" s="4">
        <v>41.030276399999998</v>
      </c>
      <c r="N184" s="4">
        <v>256.04765896899346</v>
      </c>
      <c r="O184" s="4">
        <v>6.5761129946686481E-2</v>
      </c>
      <c r="P184" s="1" t="str">
        <f>HYPERLINK(".\sm_car_250702_0917\sm_car_250702_0917_183_Ca145TrE_MaDLC_DrSt_ode23t_1.png","figure")</f>
        <v>figure</v>
      </c>
      <c r="Q184" t="s">
        <v>15</v>
      </c>
    </row>
    <row r="185" spans="1:17" x14ac:dyDescent="0.25">
      <c r="A185">
        <v>184</v>
      </c>
      <c r="B185">
        <v>145</v>
      </c>
      <c r="C185" t="s">
        <v>46</v>
      </c>
      <c r="D185" t="s">
        <v>17</v>
      </c>
      <c r="E185" t="s">
        <v>50</v>
      </c>
      <c r="F185" t="s">
        <v>19</v>
      </c>
      <c r="G185" t="s">
        <v>26</v>
      </c>
      <c r="H185" t="s">
        <v>66</v>
      </c>
      <c r="I185" t="s">
        <v>53</v>
      </c>
      <c r="J185" t="s">
        <v>148</v>
      </c>
      <c r="K185" t="s">
        <v>23</v>
      </c>
      <c r="L185">
        <v>795</v>
      </c>
      <c r="M185" s="4">
        <v>57.2213444</v>
      </c>
      <c r="N185" s="4">
        <v>254.73426191254345</v>
      </c>
      <c r="O185" s="4">
        <v>7.1387282516920614E-2</v>
      </c>
      <c r="P185" s="1" t="str">
        <f>HYPERLINK(".\sm_car_250702_0917\sm_car_250702_0917_184_Ca145TrT_MaDLC_DrSt_ode23t_1.png","figure")</f>
        <v>figure</v>
      </c>
      <c r="Q185" t="s">
        <v>15</v>
      </c>
    </row>
    <row r="186" spans="1:17" x14ac:dyDescent="0.25">
      <c r="A186">
        <v>185</v>
      </c>
      <c r="B186">
        <v>145</v>
      </c>
      <c r="C186" t="s">
        <v>46</v>
      </c>
      <c r="D186" t="s">
        <v>17</v>
      </c>
      <c r="E186" t="s">
        <v>50</v>
      </c>
      <c r="F186" t="s">
        <v>19</v>
      </c>
      <c r="G186" t="s">
        <v>26</v>
      </c>
      <c r="H186" t="s">
        <v>65</v>
      </c>
      <c r="I186" t="s">
        <v>53</v>
      </c>
      <c r="J186" t="s">
        <v>148</v>
      </c>
      <c r="K186" t="s">
        <v>23</v>
      </c>
      <c r="L186">
        <v>579</v>
      </c>
      <c r="M186" s="4">
        <v>35.606759599999997</v>
      </c>
      <c r="N186" s="4">
        <v>256.02969729253499</v>
      </c>
      <c r="O186" s="4">
        <v>6.5869165360959769E-2</v>
      </c>
      <c r="P186" s="1" t="str">
        <f>HYPERLINK(".\sm_car_250702_0917\sm_car_250702_0917_185_Ca145TrE_MaDLC_DrSt_ode23t_1.png","figure")</f>
        <v>figure</v>
      </c>
      <c r="Q186" t="s">
        <v>15</v>
      </c>
    </row>
    <row r="187" spans="1:17" x14ac:dyDescent="0.25">
      <c r="A187">
        <v>186</v>
      </c>
      <c r="B187">
        <v>199</v>
      </c>
      <c r="C187" t="s">
        <v>46</v>
      </c>
      <c r="D187" t="s">
        <v>17</v>
      </c>
      <c r="E187" t="s">
        <v>109</v>
      </c>
      <c r="F187" t="s">
        <v>19</v>
      </c>
      <c r="G187" t="s">
        <v>26</v>
      </c>
      <c r="H187" t="s">
        <v>21</v>
      </c>
      <c r="I187" t="s">
        <v>53</v>
      </c>
      <c r="J187" t="s">
        <v>148</v>
      </c>
      <c r="K187" t="s">
        <v>23</v>
      </c>
      <c r="L187">
        <v>464</v>
      </c>
      <c r="M187" s="4">
        <v>9.1700669000000001</v>
      </c>
      <c r="N187" s="4">
        <v>255.55435995789344</v>
      </c>
      <c r="O187" s="4">
        <v>6.7308142389769454E-2</v>
      </c>
      <c r="P187" s="1" t="str">
        <f>HYPERLINK(".\sm_car_250702_0917\sm_car_250702_0917_186_Ca199TrN_MaDLC_DrSt_ode23t_1.png","figure")</f>
        <v>figure</v>
      </c>
      <c r="Q187" t="s">
        <v>15</v>
      </c>
    </row>
    <row r="188" spans="1:17" x14ac:dyDescent="0.25">
      <c r="A188">
        <v>187</v>
      </c>
      <c r="B188">
        <v>199</v>
      </c>
      <c r="C188" t="s">
        <v>46</v>
      </c>
      <c r="D188" t="s">
        <v>17</v>
      </c>
      <c r="E188" t="s">
        <v>109</v>
      </c>
      <c r="F188" t="s">
        <v>19</v>
      </c>
      <c r="G188" t="s">
        <v>26</v>
      </c>
      <c r="H188" t="s">
        <v>65</v>
      </c>
      <c r="I188" t="s">
        <v>53</v>
      </c>
      <c r="J188" t="s">
        <v>148</v>
      </c>
      <c r="K188" t="s">
        <v>23</v>
      </c>
      <c r="L188">
        <v>583</v>
      </c>
      <c r="M188" s="4">
        <v>21.784167199999999</v>
      </c>
      <c r="N188" s="4">
        <v>253.36592316960207</v>
      </c>
      <c r="O188" s="4">
        <v>7.8091694633191544E-2</v>
      </c>
      <c r="P188" s="1" t="str">
        <f>HYPERLINK(".\sm_car_250702_0917\sm_car_250702_0917_187_Ca199TrE_MaDLC_DrSt_ode23t_1.png","figure")</f>
        <v>figure</v>
      </c>
      <c r="Q188" t="s">
        <v>15</v>
      </c>
    </row>
    <row r="189" spans="1:17" x14ac:dyDescent="0.25">
      <c r="A189">
        <v>188</v>
      </c>
      <c r="B189">
        <v>199</v>
      </c>
      <c r="C189" t="s">
        <v>46</v>
      </c>
      <c r="D189" t="s">
        <v>17</v>
      </c>
      <c r="E189" t="s">
        <v>109</v>
      </c>
      <c r="F189" t="s">
        <v>19</v>
      </c>
      <c r="G189" t="s">
        <v>26</v>
      </c>
      <c r="H189" t="s">
        <v>66</v>
      </c>
      <c r="I189" t="s">
        <v>53</v>
      </c>
      <c r="J189" t="s">
        <v>148</v>
      </c>
      <c r="K189" t="s">
        <v>23</v>
      </c>
      <c r="L189">
        <v>866</v>
      </c>
      <c r="M189" s="4">
        <v>34.406680399999999</v>
      </c>
      <c r="N189" s="4">
        <v>257.24367524681787</v>
      </c>
      <c r="O189" s="4">
        <v>6.0606326410849398E-2</v>
      </c>
      <c r="P189" s="1" t="str">
        <f>HYPERLINK(".\sm_car_250702_0917\sm_car_250702_0917_188_Ca199TrT_MaDLC_DrSt_ode23t_1.png","figure")</f>
        <v>figure</v>
      </c>
      <c r="Q189" t="s">
        <v>15</v>
      </c>
    </row>
    <row r="190" spans="1:17" x14ac:dyDescent="0.25">
      <c r="A190">
        <v>189</v>
      </c>
      <c r="B190">
        <v>199</v>
      </c>
      <c r="C190" t="s">
        <v>46</v>
      </c>
      <c r="D190" t="s">
        <v>17</v>
      </c>
      <c r="E190" t="s">
        <v>109</v>
      </c>
      <c r="F190" t="s">
        <v>19</v>
      </c>
      <c r="G190" t="s">
        <v>26</v>
      </c>
      <c r="H190" t="s">
        <v>65</v>
      </c>
      <c r="I190" t="s">
        <v>53</v>
      </c>
      <c r="J190" t="s">
        <v>148</v>
      </c>
      <c r="K190" t="s">
        <v>23</v>
      </c>
      <c r="L190">
        <v>575</v>
      </c>
      <c r="M190" s="4">
        <v>15.2489919</v>
      </c>
      <c r="N190" s="4">
        <v>253.22017278046155</v>
      </c>
      <c r="O190" s="4">
        <v>7.8786519631972141E-2</v>
      </c>
      <c r="P190" s="1" t="str">
        <f>HYPERLINK(".\sm_car_250702_0917\sm_car_250702_0917_189_Ca199TrE_MaDLC_DrSt_ode23t_1.png","figure")</f>
        <v>figure</v>
      </c>
      <c r="Q190" t="s">
        <v>15</v>
      </c>
    </row>
    <row r="191" spans="1:17" x14ac:dyDescent="0.25">
      <c r="A191">
        <v>190</v>
      </c>
      <c r="B191">
        <v>189</v>
      </c>
      <c r="C191" t="s">
        <v>45</v>
      </c>
      <c r="D191" t="s">
        <v>17</v>
      </c>
      <c r="E191" t="s">
        <v>107</v>
      </c>
      <c r="F191" t="s">
        <v>19</v>
      </c>
      <c r="G191" t="s">
        <v>26</v>
      </c>
      <c r="H191" t="s">
        <v>65</v>
      </c>
      <c r="I191" t="s">
        <v>67</v>
      </c>
      <c r="J191" t="s">
        <v>148</v>
      </c>
      <c r="K191" t="s">
        <v>23</v>
      </c>
      <c r="L191">
        <v>421</v>
      </c>
      <c r="M191" s="4">
        <v>14.4948844</v>
      </c>
      <c r="N191" s="4">
        <v>265.884172507237</v>
      </c>
      <c r="O191" s="4">
        <v>1.1733742531698788E-3</v>
      </c>
      <c r="P191" s="1" t="str">
        <f>HYPERLINK(".\sm_car_250702_0917\sm_car_250702_0917_190_Ca189TrE_MaTRD_DrSt_ode23t_1.png","figure")</f>
        <v>figure</v>
      </c>
      <c r="Q191" t="s">
        <v>15</v>
      </c>
    </row>
    <row r="192" spans="1:17" x14ac:dyDescent="0.25">
      <c r="A192">
        <v>191</v>
      </c>
      <c r="B192">
        <v>189</v>
      </c>
      <c r="C192" t="s">
        <v>45</v>
      </c>
      <c r="D192" t="s">
        <v>17</v>
      </c>
      <c r="E192" t="s">
        <v>107</v>
      </c>
      <c r="F192" t="s">
        <v>19</v>
      </c>
      <c r="G192" t="s">
        <v>26</v>
      </c>
      <c r="H192" t="s">
        <v>65</v>
      </c>
      <c r="I192" t="s">
        <v>67</v>
      </c>
      <c r="J192" t="s">
        <v>148</v>
      </c>
      <c r="K192" t="s">
        <v>23</v>
      </c>
      <c r="L192">
        <v>594</v>
      </c>
      <c r="M192" s="4">
        <v>16.341344200000002</v>
      </c>
      <c r="N192" s="4">
        <v>265.71583867217572</v>
      </c>
      <c r="O192" s="4">
        <v>-0.14390151867495771</v>
      </c>
      <c r="P192" s="1" t="str">
        <f>HYPERLINK(".\sm_car_250702_0917\sm_car_250702_0917_191_Ca189TrU_MaTRD_DrSt_ode23t_1.png","figure")</f>
        <v>figure</v>
      </c>
      <c r="Q192" t="s">
        <v>15</v>
      </c>
    </row>
    <row r="193" spans="1:17" x14ac:dyDescent="0.25">
      <c r="A193">
        <v>192</v>
      </c>
      <c r="B193">
        <v>149</v>
      </c>
      <c r="C193" t="s">
        <v>46</v>
      </c>
      <c r="D193" t="s">
        <v>17</v>
      </c>
      <c r="E193" t="s">
        <v>68</v>
      </c>
      <c r="F193" t="s">
        <v>19</v>
      </c>
      <c r="G193" t="s">
        <v>26</v>
      </c>
      <c r="H193" t="s">
        <v>21</v>
      </c>
      <c r="I193" t="s">
        <v>69</v>
      </c>
      <c r="J193" t="s">
        <v>148</v>
      </c>
      <c r="K193" t="s">
        <v>23</v>
      </c>
      <c r="L193">
        <v>669</v>
      </c>
      <c r="M193" s="4">
        <v>10.857579100000001</v>
      </c>
      <c r="N193" s="4">
        <v>-5.8747693058971429E-3</v>
      </c>
      <c r="O193" s="4">
        <v>-3.5942483481082865E-4</v>
      </c>
      <c r="P193" s="1" t="str">
        <f>HYPERLINK(".\sm_car_250702_0917\sm_car_250702_0917_192_Ca149TrN_MaPST_DrSt_ode23t_1.png","figure")</f>
        <v>figure</v>
      </c>
      <c r="Q193" t="s">
        <v>15</v>
      </c>
    </row>
    <row r="194" spans="1:17" x14ac:dyDescent="0.25">
      <c r="A194">
        <v>193</v>
      </c>
      <c r="B194">
        <v>139</v>
      </c>
      <c r="C194" t="s">
        <v>45</v>
      </c>
      <c r="D194" t="s">
        <v>17</v>
      </c>
      <c r="E194" t="s">
        <v>18</v>
      </c>
      <c r="F194" t="s">
        <v>19</v>
      </c>
      <c r="G194" t="s">
        <v>26</v>
      </c>
      <c r="H194" t="s">
        <v>21</v>
      </c>
      <c r="I194" t="s">
        <v>70</v>
      </c>
      <c r="J194" t="s">
        <v>148</v>
      </c>
      <c r="K194" t="s">
        <v>23</v>
      </c>
      <c r="L194">
        <v>1545</v>
      </c>
      <c r="M194" s="4">
        <v>40.168524900000001</v>
      </c>
      <c r="N194" s="4">
        <v>36.557821659259552</v>
      </c>
      <c r="O194" s="4">
        <v>0.22489646533355348</v>
      </c>
      <c r="P194" s="1" t="str">
        <f>HYPERLINK(".\sm_car_250702_0917\sm_car_250702_0917_193_Ca139TrN_MaSKD_DrSt_ode23t_1.png","figure")</f>
        <v>figure</v>
      </c>
      <c r="Q194" t="s">
        <v>15</v>
      </c>
    </row>
    <row r="195" spans="1:17" x14ac:dyDescent="0.25">
      <c r="A195">
        <v>194</v>
      </c>
      <c r="B195">
        <v>139</v>
      </c>
      <c r="C195" t="s">
        <v>45</v>
      </c>
      <c r="D195" t="s">
        <v>17</v>
      </c>
      <c r="E195" t="s">
        <v>18</v>
      </c>
      <c r="F195" t="s">
        <v>19</v>
      </c>
      <c r="G195" t="s">
        <v>26</v>
      </c>
      <c r="H195" t="s">
        <v>21</v>
      </c>
      <c r="I195" t="s">
        <v>71</v>
      </c>
      <c r="J195" t="s">
        <v>148</v>
      </c>
      <c r="K195" t="s">
        <v>23</v>
      </c>
      <c r="L195">
        <v>855</v>
      </c>
      <c r="M195" s="4">
        <v>23.461732399999999</v>
      </c>
      <c r="N195" s="4">
        <v>-1.507731788267666</v>
      </c>
      <c r="O195" s="4">
        <v>21.376728123528693</v>
      </c>
      <c r="P195" s="1" t="str">
        <f>HYPERLINK(".\sm_car_250702_0917\sm_car_250702_0917_194_Ca139TrN_MaRAD_DrSt_ode23t_1.png","figure")</f>
        <v>figure</v>
      </c>
      <c r="Q195" t="s">
        <v>15</v>
      </c>
    </row>
    <row r="196" spans="1:17" x14ac:dyDescent="0.25">
      <c r="A196">
        <v>195</v>
      </c>
      <c r="B196">
        <v>184</v>
      </c>
      <c r="C196" t="s">
        <v>105</v>
      </c>
      <c r="D196" t="s">
        <v>120</v>
      </c>
      <c r="E196" t="s">
        <v>49</v>
      </c>
      <c r="F196" t="s">
        <v>19</v>
      </c>
      <c r="G196" t="s">
        <v>20</v>
      </c>
      <c r="H196" t="s">
        <v>21</v>
      </c>
      <c r="I196" t="s">
        <v>70</v>
      </c>
      <c r="J196" t="s">
        <v>148</v>
      </c>
      <c r="K196" t="s">
        <v>23</v>
      </c>
      <c r="L196">
        <v>1306</v>
      </c>
      <c r="M196" s="4">
        <v>54.977555600000002</v>
      </c>
      <c r="N196" s="4">
        <v>36.821075002833204</v>
      </c>
      <c r="O196" s="4">
        <v>0.14752763982252137</v>
      </c>
      <c r="P196" s="1" t="str">
        <f>HYPERLINK(".\sm_car_250702_0917\sm_car_250702_0917_195_Ca184TrN_MaSKD_DrSt_ode23t_1.png","figure")</f>
        <v>figure</v>
      </c>
      <c r="Q196" t="s">
        <v>15</v>
      </c>
    </row>
    <row r="197" spans="1:17" x14ac:dyDescent="0.25">
      <c r="A197">
        <v>196</v>
      </c>
      <c r="B197">
        <v>184</v>
      </c>
      <c r="C197" t="s">
        <v>105</v>
      </c>
      <c r="D197" t="s">
        <v>120</v>
      </c>
      <c r="E197" t="s">
        <v>49</v>
      </c>
      <c r="F197" t="s">
        <v>19</v>
      </c>
      <c r="G197" t="s">
        <v>20</v>
      </c>
      <c r="H197" t="s">
        <v>21</v>
      </c>
      <c r="I197" t="s">
        <v>71</v>
      </c>
      <c r="J197" t="s">
        <v>148</v>
      </c>
      <c r="K197" t="s">
        <v>23</v>
      </c>
      <c r="L197">
        <v>641</v>
      </c>
      <c r="M197" s="4">
        <v>24.195535599999999</v>
      </c>
      <c r="N197" s="4">
        <v>7.429075002345364</v>
      </c>
      <c r="O197" s="4">
        <v>7.4285967502062453</v>
      </c>
      <c r="P197" s="1" t="str">
        <f>HYPERLINK(".\sm_car_250702_0917\sm_car_250702_0917_196_Ca184TrN_MaRAD_DrSt_ode23t_1.png","figure")</f>
        <v>figure</v>
      </c>
      <c r="Q197" t="s">
        <v>15</v>
      </c>
    </row>
    <row r="198" spans="1:17" x14ac:dyDescent="0.25">
      <c r="A198">
        <v>197</v>
      </c>
      <c r="B198">
        <v>198</v>
      </c>
      <c r="C198" t="s">
        <v>105</v>
      </c>
      <c r="D198" t="s">
        <v>120</v>
      </c>
      <c r="E198" t="s">
        <v>107</v>
      </c>
      <c r="F198" t="s">
        <v>19</v>
      </c>
      <c r="G198" t="s">
        <v>20</v>
      </c>
      <c r="H198" t="s">
        <v>21</v>
      </c>
      <c r="I198" t="s">
        <v>70</v>
      </c>
      <c r="J198" t="s">
        <v>148</v>
      </c>
      <c r="K198" t="s">
        <v>23</v>
      </c>
      <c r="L198">
        <v>1408</v>
      </c>
      <c r="M198" s="4">
        <v>31.047366700000001</v>
      </c>
      <c r="N198" s="4">
        <v>36.813542642119387</v>
      </c>
      <c r="O198" s="4">
        <v>0.14771635611911046</v>
      </c>
      <c r="P198" s="1" t="str">
        <f>HYPERLINK(".\sm_car_250702_0917\sm_car_250702_0917_197_Ca198TrN_MaSKD_DrSt_ode23t_1.png","figure")</f>
        <v>figure</v>
      </c>
      <c r="Q198" t="s">
        <v>15</v>
      </c>
    </row>
    <row r="199" spans="1:17" x14ac:dyDescent="0.25">
      <c r="A199">
        <v>198</v>
      </c>
      <c r="B199">
        <v>198</v>
      </c>
      <c r="C199" t="s">
        <v>105</v>
      </c>
      <c r="D199" t="s">
        <v>120</v>
      </c>
      <c r="E199" t="s">
        <v>107</v>
      </c>
      <c r="F199" t="s">
        <v>19</v>
      </c>
      <c r="G199" t="s">
        <v>20</v>
      </c>
      <c r="H199" t="s">
        <v>21</v>
      </c>
      <c r="I199" t="s">
        <v>71</v>
      </c>
      <c r="J199" t="s">
        <v>148</v>
      </c>
      <c r="K199" t="s">
        <v>23</v>
      </c>
      <c r="L199">
        <v>692</v>
      </c>
      <c r="M199" s="4">
        <v>15.7671165</v>
      </c>
      <c r="N199" s="4">
        <v>7.4918077633559754</v>
      </c>
      <c r="O199" s="4">
        <v>7.3292517510498492</v>
      </c>
      <c r="P199" s="1" t="str">
        <f>HYPERLINK(".\sm_car_250702_0917\sm_car_250702_0917_198_Ca198TrN_MaRAD_DrSt_ode23t_1.png","figure")</f>
        <v>figure</v>
      </c>
      <c r="Q199" t="s">
        <v>15</v>
      </c>
    </row>
    <row r="200" spans="1:17" x14ac:dyDescent="0.25">
      <c r="A200">
        <v>199</v>
      </c>
      <c r="B200">
        <v>189</v>
      </c>
      <c r="C200" t="s">
        <v>45</v>
      </c>
      <c r="D200" t="s">
        <v>17</v>
      </c>
      <c r="E200" t="s">
        <v>107</v>
      </c>
      <c r="F200" t="s">
        <v>19</v>
      </c>
      <c r="G200" t="s">
        <v>26</v>
      </c>
      <c r="H200" t="s">
        <v>21</v>
      </c>
      <c r="I200" t="s">
        <v>132</v>
      </c>
      <c r="J200" t="s">
        <v>148</v>
      </c>
      <c r="K200" t="s">
        <v>23</v>
      </c>
      <c r="L200">
        <v>561</v>
      </c>
      <c r="M200" s="4">
        <v>13.0438291</v>
      </c>
      <c r="N200" s="4">
        <v>134.48909057475859</v>
      </c>
      <c r="O200" s="4">
        <v>-15.426371648709138</v>
      </c>
      <c r="P200" s="1" t="str">
        <f>HYPERLINK(".\sm_car_250702_0917\sm_car_250702_0917_199_Ca189TrN_MaFSH_DrSt_ode23t_1.png","figure")</f>
        <v>figure</v>
      </c>
      <c r="Q200" t="s">
        <v>15</v>
      </c>
    </row>
    <row r="201" spans="1:17" x14ac:dyDescent="0.25">
      <c r="A201">
        <v>200</v>
      </c>
      <c r="B201">
        <v>189</v>
      </c>
      <c r="C201" t="s">
        <v>45</v>
      </c>
      <c r="D201" t="s">
        <v>17</v>
      </c>
      <c r="E201" t="s">
        <v>107</v>
      </c>
      <c r="F201" t="s">
        <v>19</v>
      </c>
      <c r="G201" t="s">
        <v>26</v>
      </c>
      <c r="H201" t="s">
        <v>21</v>
      </c>
      <c r="I201" t="s">
        <v>133</v>
      </c>
      <c r="J201" t="s">
        <v>148</v>
      </c>
      <c r="K201" t="s">
        <v>23</v>
      </c>
      <c r="L201">
        <v>427</v>
      </c>
      <c r="M201" s="4">
        <v>7.1167455999999998</v>
      </c>
      <c r="N201" s="4">
        <v>131.22225252311284</v>
      </c>
      <c r="O201" s="4">
        <v>-8.9923099126622059</v>
      </c>
      <c r="P201" s="1" t="str">
        <f>HYPERLINK(".\sm_car_250702_0917\sm_car_250702_0917_200_Ca189TrN_MaSWD_DrSt_ode23t_1.png","figure")</f>
        <v>figure</v>
      </c>
      <c r="Q201" t="s">
        <v>15</v>
      </c>
    </row>
    <row r="202" spans="1:17" x14ac:dyDescent="0.25">
      <c r="A202">
        <v>201</v>
      </c>
      <c r="B202">
        <v>189</v>
      </c>
      <c r="C202" t="s">
        <v>45</v>
      </c>
      <c r="D202" t="s">
        <v>17</v>
      </c>
      <c r="E202" t="s">
        <v>107</v>
      </c>
      <c r="F202" t="s">
        <v>19</v>
      </c>
      <c r="G202" t="s">
        <v>26</v>
      </c>
      <c r="H202" t="s">
        <v>21</v>
      </c>
      <c r="I202" t="s">
        <v>134</v>
      </c>
      <c r="J202" t="s">
        <v>148</v>
      </c>
      <c r="K202" t="s">
        <v>23</v>
      </c>
      <c r="L202">
        <v>437</v>
      </c>
      <c r="M202" s="4">
        <v>8.7575772999999995</v>
      </c>
      <c r="N202" s="4">
        <v>114.89094819774496</v>
      </c>
      <c r="O202" s="4">
        <v>18.121918764737099</v>
      </c>
      <c r="P202" s="1" t="str">
        <f>HYPERLINK(".\sm_car_250702_0917\sm_car_250702_0917_201_Ca189TrN_MaRST_DrSt_ode23t_1.png","figure")</f>
        <v>figure</v>
      </c>
      <c r="Q202" t="s">
        <v>15</v>
      </c>
    </row>
    <row r="203" spans="1:17" x14ac:dyDescent="0.25">
      <c r="A203">
        <v>202</v>
      </c>
      <c r="B203">
        <v>189</v>
      </c>
      <c r="C203" t="s">
        <v>45</v>
      </c>
      <c r="D203" t="s">
        <v>17</v>
      </c>
      <c r="E203" t="s">
        <v>107</v>
      </c>
      <c r="F203" t="s">
        <v>19</v>
      </c>
      <c r="G203" t="s">
        <v>26</v>
      </c>
      <c r="H203" t="s">
        <v>21</v>
      </c>
      <c r="I203" t="s">
        <v>135</v>
      </c>
      <c r="J203" t="s">
        <v>148</v>
      </c>
      <c r="K203" t="s">
        <v>23</v>
      </c>
      <c r="L203">
        <v>602</v>
      </c>
      <c r="M203" s="4">
        <v>23.6680849</v>
      </c>
      <c r="N203" s="4">
        <v>225.3447448694059</v>
      </c>
      <c r="O203" s="4">
        <v>9.3194549358555132E-2</v>
      </c>
      <c r="P203" s="1" t="str">
        <f>HYPERLINK(".\sm_car_250702_0917\sm_car_250702_0917_202_Ca189TrN_MaSLA_DrSt_ode23t_1.png","figure")</f>
        <v>figure</v>
      </c>
      <c r="Q203" t="s">
        <v>15</v>
      </c>
    </row>
    <row r="204" spans="1:17" x14ac:dyDescent="0.25">
      <c r="A204">
        <v>203</v>
      </c>
      <c r="B204">
        <v>218</v>
      </c>
      <c r="C204" t="s">
        <v>16</v>
      </c>
      <c r="D204" t="s">
        <v>128</v>
      </c>
      <c r="E204" t="s">
        <v>107</v>
      </c>
      <c r="F204" t="s">
        <v>19</v>
      </c>
      <c r="G204" t="s">
        <v>26</v>
      </c>
      <c r="H204" t="s">
        <v>21</v>
      </c>
      <c r="I204" t="s">
        <v>132</v>
      </c>
      <c r="J204" t="s">
        <v>148</v>
      </c>
      <c r="K204" t="s">
        <v>23</v>
      </c>
      <c r="L204">
        <v>573</v>
      </c>
      <c r="M204" s="4">
        <v>8.8060556999999999</v>
      </c>
      <c r="N204" s="4">
        <v>104.15394223661426</v>
      </c>
      <c r="O204" s="4">
        <v>-21.988069785772819</v>
      </c>
      <c r="P204" s="1" t="str">
        <f>HYPERLINK(".\sm_car_250702_0917\sm_car_250702_0917_203_Ca218TrN_MaFSH_DrSt_ode23t_1.png","figure")</f>
        <v>figure</v>
      </c>
      <c r="Q204" t="s">
        <v>15</v>
      </c>
    </row>
    <row r="205" spans="1:17" x14ac:dyDescent="0.25">
      <c r="A205">
        <v>204</v>
      </c>
      <c r="B205">
        <v>218</v>
      </c>
      <c r="C205" t="s">
        <v>16</v>
      </c>
      <c r="D205" t="s">
        <v>128</v>
      </c>
      <c r="E205" t="s">
        <v>107</v>
      </c>
      <c r="F205" t="s">
        <v>19</v>
      </c>
      <c r="G205" t="s">
        <v>26</v>
      </c>
      <c r="H205" t="s">
        <v>21</v>
      </c>
      <c r="I205" t="s">
        <v>133</v>
      </c>
      <c r="J205" t="s">
        <v>148</v>
      </c>
      <c r="K205" t="s">
        <v>23</v>
      </c>
      <c r="L205">
        <v>456</v>
      </c>
      <c r="M205" s="4">
        <v>7.0132250000000003</v>
      </c>
      <c r="N205" s="4">
        <v>139.043056293109</v>
      </c>
      <c r="O205" s="4">
        <v>-8.8113542193123191</v>
      </c>
      <c r="P205" s="1" t="str">
        <f>HYPERLINK(".\sm_car_250702_0917\sm_car_250702_0917_204_Ca218TrN_MaSWD_DrSt_ode23t_1.png","figure")</f>
        <v>figure</v>
      </c>
      <c r="Q205" t="s">
        <v>15</v>
      </c>
    </row>
    <row r="206" spans="1:17" x14ac:dyDescent="0.25">
      <c r="A206">
        <v>205</v>
      </c>
      <c r="B206">
        <v>218</v>
      </c>
      <c r="C206" t="s">
        <v>16</v>
      </c>
      <c r="D206" t="s">
        <v>128</v>
      </c>
      <c r="E206" t="s">
        <v>107</v>
      </c>
      <c r="F206" t="s">
        <v>19</v>
      </c>
      <c r="G206" t="s">
        <v>26</v>
      </c>
      <c r="H206" t="s">
        <v>21</v>
      </c>
      <c r="I206" t="s">
        <v>134</v>
      </c>
      <c r="J206" t="s">
        <v>148</v>
      </c>
      <c r="K206" t="s">
        <v>23</v>
      </c>
      <c r="L206">
        <v>386</v>
      </c>
      <c r="M206" s="4">
        <v>6.2894619</v>
      </c>
      <c r="N206" s="4">
        <v>104.66661979669865</v>
      </c>
      <c r="O206" s="4">
        <v>29.483609190187433</v>
      </c>
      <c r="P206" s="1" t="str">
        <f>HYPERLINK(".\sm_car_250702_0917\sm_car_250702_0917_205_Ca218TrN_MaRST_DrSt_ode23t_1.png","figure")</f>
        <v>figure</v>
      </c>
      <c r="Q206" t="s">
        <v>15</v>
      </c>
    </row>
    <row r="207" spans="1:17" x14ac:dyDescent="0.25">
      <c r="A207">
        <v>206</v>
      </c>
      <c r="B207">
        <v>218</v>
      </c>
      <c r="C207" t="s">
        <v>16</v>
      </c>
      <c r="D207" t="s">
        <v>128</v>
      </c>
      <c r="E207" t="s">
        <v>107</v>
      </c>
      <c r="F207" t="s">
        <v>19</v>
      </c>
      <c r="G207" t="s">
        <v>26</v>
      </c>
      <c r="H207" t="s">
        <v>21</v>
      </c>
      <c r="I207" t="s">
        <v>135</v>
      </c>
      <c r="J207" t="s">
        <v>148</v>
      </c>
      <c r="K207" t="s">
        <v>23</v>
      </c>
      <c r="L207">
        <v>673</v>
      </c>
      <c r="M207" s="4">
        <v>19.1249781</v>
      </c>
      <c r="N207" s="4">
        <v>224.07670545476685</v>
      </c>
      <c r="O207" s="4">
        <v>9.2868790527341927E-2</v>
      </c>
      <c r="P207" s="1" t="str">
        <f>HYPERLINK(".\sm_car_250702_0917\sm_car_250702_0917_206_Ca218TrN_MaSLA_DrSt_ode23t_1.png","figure")</f>
        <v>figure</v>
      </c>
      <c r="Q207" t="s">
        <v>15</v>
      </c>
    </row>
    <row r="208" spans="1:17" x14ac:dyDescent="0.25">
      <c r="A208">
        <v>207</v>
      </c>
      <c r="B208">
        <v>156</v>
      </c>
      <c r="C208" t="s">
        <v>45</v>
      </c>
      <c r="D208" t="s">
        <v>17</v>
      </c>
      <c r="E208" t="s">
        <v>18</v>
      </c>
      <c r="F208" t="s">
        <v>19</v>
      </c>
      <c r="G208" t="s">
        <v>38</v>
      </c>
      <c r="H208" t="s">
        <v>21</v>
      </c>
      <c r="I208" t="s">
        <v>54</v>
      </c>
      <c r="J208" t="s">
        <v>148</v>
      </c>
      <c r="K208" t="s">
        <v>23</v>
      </c>
      <c r="L208">
        <v>26318</v>
      </c>
      <c r="M208" s="4">
        <v>393.21356050000003</v>
      </c>
      <c r="N208" s="4">
        <v>19.414066437447758</v>
      </c>
      <c r="O208" s="4">
        <v>2.7139079070805141</v>
      </c>
      <c r="P208" s="1" t="str">
        <f>HYPERLINK(".\sm_car_250702_0917\sm_car_250702_0917_207_Ca156TrN_MaIPA_DrSt_ode23t.png","figure")</f>
        <v>figure</v>
      </c>
      <c r="Q208" t="s">
        <v>15</v>
      </c>
    </row>
    <row r="209" spans="1:17" x14ac:dyDescent="0.25">
      <c r="A209">
        <v>208</v>
      </c>
      <c r="B209">
        <v>130</v>
      </c>
      <c r="C209" t="s">
        <v>16</v>
      </c>
      <c r="D209" t="s">
        <v>17</v>
      </c>
      <c r="E209" t="s">
        <v>18</v>
      </c>
      <c r="F209" t="s">
        <v>19</v>
      </c>
      <c r="G209" t="s">
        <v>38</v>
      </c>
      <c r="H209" t="s">
        <v>21</v>
      </c>
      <c r="I209" t="s">
        <v>54</v>
      </c>
      <c r="J209" t="s">
        <v>148</v>
      </c>
      <c r="K209" t="s">
        <v>23</v>
      </c>
      <c r="L209">
        <v>18379</v>
      </c>
      <c r="M209" s="4">
        <v>267.3353864</v>
      </c>
      <c r="N209" s="4">
        <v>16.36945245711226</v>
      </c>
      <c r="O209" s="4">
        <v>0.56684424046172122</v>
      </c>
      <c r="P209" s="1" t="str">
        <f>HYPERLINK(".\sm_car_250702_0917\sm_car_250702_0917_208_Ca130TrN_MaIPA_DrSt_ode23t.png","figure")</f>
        <v>figure</v>
      </c>
      <c r="Q209" t="s">
        <v>15</v>
      </c>
    </row>
    <row r="210" spans="1:17" x14ac:dyDescent="0.25">
      <c r="A210">
        <v>209</v>
      </c>
      <c r="B210">
        <v>171</v>
      </c>
      <c r="C210" t="s">
        <v>45</v>
      </c>
      <c r="D210" t="s">
        <v>17</v>
      </c>
      <c r="E210" t="s">
        <v>72</v>
      </c>
      <c r="F210" t="s">
        <v>19</v>
      </c>
      <c r="G210" t="s">
        <v>26</v>
      </c>
      <c r="H210" t="s">
        <v>21</v>
      </c>
      <c r="I210" t="s">
        <v>73</v>
      </c>
      <c r="J210" t="s">
        <v>148</v>
      </c>
      <c r="K210" t="s">
        <v>23</v>
      </c>
      <c r="L210">
        <v>1370</v>
      </c>
      <c r="M210" s="4">
        <v>22.535193100000001</v>
      </c>
      <c r="N210" s="4">
        <v>338.70299408615864</v>
      </c>
      <c r="O210" s="4">
        <v>0.69507929594247353</v>
      </c>
      <c r="P210" s="1" t="str">
        <f>HYPERLINK(".\sm_car_250702_0917\sm_car_250702_0917_209_Ca171TrN_MaRDP_DrSt_ode23t_1.png","figure")</f>
        <v>figure</v>
      </c>
      <c r="Q210" t="s">
        <v>15</v>
      </c>
    </row>
    <row r="211" spans="1:17" x14ac:dyDescent="0.25">
      <c r="A211">
        <v>210</v>
      </c>
      <c r="B211">
        <v>172</v>
      </c>
      <c r="C211" t="s">
        <v>46</v>
      </c>
      <c r="D211" t="s">
        <v>17</v>
      </c>
      <c r="E211" t="s">
        <v>72</v>
      </c>
      <c r="F211" t="s">
        <v>19</v>
      </c>
      <c r="G211" t="s">
        <v>26</v>
      </c>
      <c r="H211" t="s">
        <v>21</v>
      </c>
      <c r="I211" t="s">
        <v>73</v>
      </c>
      <c r="J211" t="s">
        <v>148</v>
      </c>
      <c r="K211" t="s">
        <v>23</v>
      </c>
      <c r="L211">
        <v>1239</v>
      </c>
      <c r="M211" s="4">
        <v>11.940952599999999</v>
      </c>
      <c r="N211" s="4">
        <v>137.31324907911886</v>
      </c>
      <c r="O211" s="4">
        <v>3.6867395266246723E-2</v>
      </c>
      <c r="P211" s="1" t="str">
        <f>HYPERLINK(".\sm_car_250702_0917\sm_car_250702_0917_210_Ca172TrN_MaRDP_DrSt_ode23t_1.png","figure")</f>
        <v>figure</v>
      </c>
      <c r="Q211" t="s">
        <v>15</v>
      </c>
    </row>
    <row r="212" spans="1:17" x14ac:dyDescent="0.25">
      <c r="A212">
        <v>211</v>
      </c>
      <c r="B212">
        <v>139</v>
      </c>
      <c r="C212" t="s">
        <v>45</v>
      </c>
      <c r="D212" t="s">
        <v>17</v>
      </c>
      <c r="E212" t="s">
        <v>18</v>
      </c>
      <c r="F212" t="s">
        <v>19</v>
      </c>
      <c r="G212" t="s">
        <v>26</v>
      </c>
      <c r="H212" t="s">
        <v>21</v>
      </c>
      <c r="I212" t="s">
        <v>74</v>
      </c>
      <c r="J212" t="s">
        <v>148</v>
      </c>
      <c r="K212" t="s">
        <v>23</v>
      </c>
      <c r="L212">
        <v>1437</v>
      </c>
      <c r="M212" s="4">
        <v>18.571082499999999</v>
      </c>
      <c r="N212" s="4">
        <v>364.59408165534882</v>
      </c>
      <c r="O212" s="4">
        <v>0.74703279937509426</v>
      </c>
      <c r="P212" s="1" t="str">
        <f>HYPERLINK(".\sm_car_250702_0917\sm_car_250702_0917_211_Ca139TrN_MaZPL_DrSt_ode23t_1.png","figure")</f>
        <v>figure</v>
      </c>
      <c r="Q212" t="s">
        <v>15</v>
      </c>
    </row>
    <row r="213" spans="1:17" x14ac:dyDescent="0.25">
      <c r="A213">
        <v>212</v>
      </c>
      <c r="B213">
        <v>165</v>
      </c>
      <c r="C213" t="s">
        <v>45</v>
      </c>
      <c r="D213" t="s">
        <v>35</v>
      </c>
      <c r="E213" t="s">
        <v>49</v>
      </c>
      <c r="F213" t="s">
        <v>19</v>
      </c>
      <c r="G213" t="s">
        <v>26</v>
      </c>
      <c r="H213" t="s">
        <v>21</v>
      </c>
      <c r="I213" t="s">
        <v>74</v>
      </c>
      <c r="J213" t="s">
        <v>148</v>
      </c>
      <c r="K213" t="s">
        <v>23</v>
      </c>
      <c r="L213">
        <v>2094</v>
      </c>
      <c r="M213" s="4">
        <v>10.391593800000001</v>
      </c>
      <c r="N213" s="4">
        <v>397.61607101449135</v>
      </c>
      <c r="O213" s="4">
        <v>0.34019174798526847</v>
      </c>
      <c r="P213" s="1" t="str">
        <f>HYPERLINK(".\sm_car_250702_0917\sm_car_250702_0917_212_Ca165TrN_MaZPL_DrSt_ode23t_1.png","figure")</f>
        <v>figure</v>
      </c>
      <c r="Q213" t="s">
        <v>15</v>
      </c>
    </row>
    <row r="214" spans="1:17" x14ac:dyDescent="0.25">
      <c r="A214">
        <v>213</v>
      </c>
      <c r="B214">
        <v>171</v>
      </c>
      <c r="C214" t="s">
        <v>45</v>
      </c>
      <c r="D214" t="s">
        <v>17</v>
      </c>
      <c r="E214" t="s">
        <v>72</v>
      </c>
      <c r="F214" t="s">
        <v>19</v>
      </c>
      <c r="G214" t="s">
        <v>26</v>
      </c>
      <c r="H214" t="s">
        <v>21</v>
      </c>
      <c r="I214" t="s">
        <v>74</v>
      </c>
      <c r="J214" t="s">
        <v>148</v>
      </c>
      <c r="K214" t="s">
        <v>23</v>
      </c>
      <c r="L214">
        <v>1477</v>
      </c>
      <c r="M214" s="4">
        <v>23.2731192</v>
      </c>
      <c r="N214" s="4">
        <v>364.26821920110206</v>
      </c>
      <c r="O214" s="4">
        <v>0.76658452668842181</v>
      </c>
      <c r="P214" s="1" t="str">
        <f>HYPERLINK(".\sm_car_250702_0917\sm_car_250702_0917_213_Ca171TrN_MaZPL_DrSt_ode23t_1.png","figure")</f>
        <v>figure</v>
      </c>
      <c r="Q214" t="s">
        <v>15</v>
      </c>
    </row>
    <row r="215" spans="1:17" x14ac:dyDescent="0.25">
      <c r="A215">
        <v>214</v>
      </c>
      <c r="B215">
        <v>165</v>
      </c>
      <c r="C215" t="s">
        <v>45</v>
      </c>
      <c r="D215" t="s">
        <v>35</v>
      </c>
      <c r="E215" t="s">
        <v>49</v>
      </c>
      <c r="F215" t="s">
        <v>19</v>
      </c>
      <c r="G215" t="s">
        <v>26</v>
      </c>
      <c r="H215" t="s">
        <v>21</v>
      </c>
      <c r="I215" t="s">
        <v>75</v>
      </c>
      <c r="J215" t="s">
        <v>148</v>
      </c>
      <c r="K215" t="s">
        <v>23</v>
      </c>
      <c r="L215">
        <v>507</v>
      </c>
      <c r="M215" s="4">
        <v>4.3212574000000004</v>
      </c>
      <c r="N215" s="4">
        <v>378.28089541793895</v>
      </c>
      <c r="O215" s="4">
        <v>0.32740788226517265</v>
      </c>
      <c r="P215" s="1" t="str">
        <f>HYPERLINK(".\sm_car_250702_0917\sm_car_250702_0917_214_Ca165TrN_MaCPL_DrSt_ode23t_1.png","figure")</f>
        <v>figure</v>
      </c>
      <c r="Q215" t="s">
        <v>15</v>
      </c>
    </row>
    <row r="216" spans="1:17" x14ac:dyDescent="0.25">
      <c r="A216">
        <v>215</v>
      </c>
      <c r="B216">
        <v>170</v>
      </c>
      <c r="C216" t="s">
        <v>45</v>
      </c>
      <c r="D216" t="s">
        <v>35</v>
      </c>
      <c r="E216" t="s">
        <v>49</v>
      </c>
      <c r="F216" t="s">
        <v>19</v>
      </c>
      <c r="G216" t="s">
        <v>20</v>
      </c>
      <c r="H216" t="s">
        <v>21</v>
      </c>
      <c r="I216" t="s">
        <v>75</v>
      </c>
      <c r="J216" t="s">
        <v>148</v>
      </c>
      <c r="K216" t="s">
        <v>23</v>
      </c>
      <c r="L216">
        <v>470</v>
      </c>
      <c r="M216" s="4">
        <v>3.3471397000000001</v>
      </c>
      <c r="N216" s="4">
        <v>381.42969780778117</v>
      </c>
      <c r="O216" s="4">
        <v>0.33424114293474594</v>
      </c>
      <c r="P216" s="1" t="str">
        <f>HYPERLINK(".\sm_car_250702_0917\sm_car_250702_0917_215_Ca170TrN_MaCPL_DrSt_ode23t_1.png","figure")</f>
        <v>figure</v>
      </c>
      <c r="Q216" t="s">
        <v>15</v>
      </c>
    </row>
    <row r="217" spans="1:17" x14ac:dyDescent="0.25">
      <c r="A217">
        <v>216</v>
      </c>
      <c r="B217">
        <v>171</v>
      </c>
      <c r="C217" t="s">
        <v>45</v>
      </c>
      <c r="D217" t="s">
        <v>17</v>
      </c>
      <c r="E217" t="s">
        <v>72</v>
      </c>
      <c r="F217" t="s">
        <v>19</v>
      </c>
      <c r="G217" t="s">
        <v>26</v>
      </c>
      <c r="H217" t="s">
        <v>21</v>
      </c>
      <c r="I217" t="s">
        <v>76</v>
      </c>
      <c r="J217" t="s">
        <v>148</v>
      </c>
      <c r="K217" t="s">
        <v>23</v>
      </c>
      <c r="L217">
        <v>2775</v>
      </c>
      <c r="M217" s="4">
        <v>44.6192055</v>
      </c>
      <c r="N217" s="4">
        <v>167.29368865952227</v>
      </c>
      <c r="O217" s="4">
        <v>9.8414402922425578E-4</v>
      </c>
      <c r="P217" s="1" t="str">
        <f>HYPERLINK(".\sm_car_250702_0917\sm_car_250702_0917_216_Ca171TrN_MaRDR_DrSt_ode23t_1.png","figure")</f>
        <v>figure</v>
      </c>
      <c r="Q217" t="s">
        <v>15</v>
      </c>
    </row>
    <row r="218" spans="1:17" x14ac:dyDescent="0.25">
      <c r="A218">
        <v>217</v>
      </c>
      <c r="B218">
        <v>172</v>
      </c>
      <c r="C218" t="s">
        <v>46</v>
      </c>
      <c r="D218" t="s">
        <v>17</v>
      </c>
      <c r="E218" t="s">
        <v>72</v>
      </c>
      <c r="F218" t="s">
        <v>19</v>
      </c>
      <c r="G218" t="s">
        <v>26</v>
      </c>
      <c r="H218" t="s">
        <v>21</v>
      </c>
      <c r="I218" t="s">
        <v>76</v>
      </c>
      <c r="J218" t="s">
        <v>148</v>
      </c>
      <c r="K218" t="s">
        <v>23</v>
      </c>
      <c r="L218">
        <v>3431</v>
      </c>
      <c r="M218" s="4">
        <v>30.552520099999999</v>
      </c>
      <c r="N218" s="4">
        <v>165.43458108214625</v>
      </c>
      <c r="O218" s="4">
        <v>3.5857488477558186E-4</v>
      </c>
      <c r="P218" s="1" t="str">
        <f>HYPERLINK(".\sm_car_250702_0917\sm_car_250702_0917_217_Ca172TrN_MaRDR_DrSt_ode23t_1.png","figure")</f>
        <v>figure</v>
      </c>
      <c r="Q218" t="s">
        <v>15</v>
      </c>
    </row>
    <row r="219" spans="1:17" x14ac:dyDescent="0.25">
      <c r="A219">
        <v>218</v>
      </c>
      <c r="B219">
        <v>139</v>
      </c>
      <c r="C219" t="s">
        <v>45</v>
      </c>
      <c r="D219" t="s">
        <v>17</v>
      </c>
      <c r="E219" t="s">
        <v>18</v>
      </c>
      <c r="F219" t="s">
        <v>19</v>
      </c>
      <c r="G219" t="s">
        <v>26</v>
      </c>
      <c r="H219" t="s">
        <v>21</v>
      </c>
      <c r="I219" t="s">
        <v>77</v>
      </c>
      <c r="J219" t="s">
        <v>148</v>
      </c>
      <c r="K219" t="s">
        <v>23</v>
      </c>
      <c r="L219">
        <v>2964</v>
      </c>
      <c r="M219" s="4">
        <v>35.198827999999999</v>
      </c>
      <c r="N219" s="4">
        <v>191.42399457797666</v>
      </c>
      <c r="O219" s="4">
        <v>6.9374024973052574E-4</v>
      </c>
      <c r="P219" s="1" t="str">
        <f>HYPERLINK(".\sm_car_250702_0917\sm_car_250702_0917_218_Ca139TrN_MaZRR_DrSt_ode23t_1.png","figure")</f>
        <v>figure</v>
      </c>
      <c r="Q219" t="s">
        <v>15</v>
      </c>
    </row>
    <row r="220" spans="1:17" x14ac:dyDescent="0.25">
      <c r="A220">
        <v>219</v>
      </c>
      <c r="B220">
        <v>165</v>
      </c>
      <c r="C220" t="s">
        <v>45</v>
      </c>
      <c r="D220" t="s">
        <v>35</v>
      </c>
      <c r="E220" t="s">
        <v>49</v>
      </c>
      <c r="F220" t="s">
        <v>19</v>
      </c>
      <c r="G220" t="s">
        <v>26</v>
      </c>
      <c r="H220" t="s">
        <v>21</v>
      </c>
      <c r="I220" t="s">
        <v>77</v>
      </c>
      <c r="J220" t="s">
        <v>148</v>
      </c>
      <c r="K220" t="s">
        <v>23</v>
      </c>
      <c r="L220">
        <v>3456</v>
      </c>
      <c r="M220" s="4">
        <v>19.3142584</v>
      </c>
      <c r="N220" s="4">
        <v>191.47020127580021</v>
      </c>
      <c r="O220" s="4">
        <v>5.496385050904215E-5</v>
      </c>
      <c r="P220" s="1" t="str">
        <f>HYPERLINK(".\sm_car_250702_0917\sm_car_250702_0917_219_Ca165TrN_MaZRR_DrSt_ode23t_1.png","figure")</f>
        <v>figure</v>
      </c>
      <c r="Q220" t="s">
        <v>15</v>
      </c>
    </row>
    <row r="221" spans="1:17" x14ac:dyDescent="0.25">
      <c r="A221">
        <v>220</v>
      </c>
      <c r="B221">
        <v>171</v>
      </c>
      <c r="C221" t="s">
        <v>45</v>
      </c>
      <c r="D221" t="s">
        <v>17</v>
      </c>
      <c r="E221" t="s">
        <v>72</v>
      </c>
      <c r="F221" t="s">
        <v>19</v>
      </c>
      <c r="G221" t="s">
        <v>26</v>
      </c>
      <c r="H221" t="s">
        <v>21</v>
      </c>
      <c r="I221" t="s">
        <v>77</v>
      </c>
      <c r="J221" t="s">
        <v>148</v>
      </c>
      <c r="K221" t="s">
        <v>23</v>
      </c>
      <c r="L221">
        <v>2961</v>
      </c>
      <c r="M221" s="4">
        <v>48.636846400000003</v>
      </c>
      <c r="N221" s="4">
        <v>191.42046759164322</v>
      </c>
      <c r="O221" s="4">
        <v>6.7326743218334994E-4</v>
      </c>
      <c r="P221" s="1" t="str">
        <f>HYPERLINK(".\sm_car_250702_0917\sm_car_250702_0917_220_Ca171TrN_MaZRR_DrSt_ode23t_1.png","figure")</f>
        <v>figure</v>
      </c>
      <c r="Q221" t="s">
        <v>15</v>
      </c>
    </row>
    <row r="222" spans="1:17" x14ac:dyDescent="0.25">
      <c r="A222">
        <v>221</v>
      </c>
      <c r="B222">
        <v>170</v>
      </c>
      <c r="C222" t="s">
        <v>45</v>
      </c>
      <c r="D222" t="s">
        <v>35</v>
      </c>
      <c r="E222" t="s">
        <v>49</v>
      </c>
      <c r="F222" t="s">
        <v>19</v>
      </c>
      <c r="G222" t="s">
        <v>20</v>
      </c>
      <c r="H222" t="s">
        <v>21</v>
      </c>
      <c r="I222" t="s">
        <v>78</v>
      </c>
      <c r="J222" t="s">
        <v>148</v>
      </c>
      <c r="K222" t="s">
        <v>23</v>
      </c>
      <c r="L222">
        <v>6286</v>
      </c>
      <c r="M222" s="4">
        <v>21.946589800000002</v>
      </c>
      <c r="N222" s="4">
        <v>-5.9990109036403041</v>
      </c>
      <c r="O222" s="4">
        <v>-6.2419039181482146E-3</v>
      </c>
      <c r="P222" s="1" t="str">
        <f>HYPERLINK(".\sm_car_250702_0917\sm_car_250702_0917_221_Ca170TrN_MaCMP_DrSt_ode23t_1.png","figure")</f>
        <v>figure</v>
      </c>
      <c r="Q222" t="s">
        <v>15</v>
      </c>
    </row>
    <row r="223" spans="1:17" x14ac:dyDescent="0.25">
      <c r="A223">
        <v>222</v>
      </c>
      <c r="B223">
        <v>170</v>
      </c>
      <c r="C223" t="s">
        <v>45</v>
      </c>
      <c r="D223" t="s">
        <v>35</v>
      </c>
      <c r="E223" t="s">
        <v>49</v>
      </c>
      <c r="F223" t="s">
        <v>19</v>
      </c>
      <c r="G223" t="s">
        <v>20</v>
      </c>
      <c r="H223" t="s">
        <v>21</v>
      </c>
      <c r="I223" t="s">
        <v>79</v>
      </c>
      <c r="J223" t="s">
        <v>148</v>
      </c>
      <c r="K223" t="s">
        <v>23</v>
      </c>
      <c r="L223">
        <v>1622</v>
      </c>
      <c r="M223" s="4">
        <v>11.030939500000001</v>
      </c>
      <c r="N223" s="4">
        <v>-5.9988922414783605</v>
      </c>
      <c r="O223" s="4">
        <v>-6.2100374584851447E-3</v>
      </c>
      <c r="P223" s="1" t="str">
        <f>HYPERLINK(".\sm_car_250702_0917\sm_car_250702_0917_222_Ca170TrN_MaCMF_DrSt_ode23t_1.png","figure")</f>
        <v>figure</v>
      </c>
      <c r="Q223" t="s">
        <v>15</v>
      </c>
    </row>
    <row r="224" spans="1:17" x14ac:dyDescent="0.25">
      <c r="A224">
        <v>223</v>
      </c>
      <c r="B224">
        <v>170</v>
      </c>
      <c r="C224" t="s">
        <v>45</v>
      </c>
      <c r="D224" t="s">
        <v>35</v>
      </c>
      <c r="E224" t="s">
        <v>49</v>
      </c>
      <c r="F224" t="s">
        <v>19</v>
      </c>
      <c r="G224" t="s">
        <v>20</v>
      </c>
      <c r="H224" t="s">
        <v>21</v>
      </c>
      <c r="I224" t="s">
        <v>80</v>
      </c>
      <c r="J224" t="s">
        <v>148</v>
      </c>
      <c r="K224" t="s">
        <v>23</v>
      </c>
      <c r="L224">
        <v>4676</v>
      </c>
      <c r="M224" s="4">
        <v>51.003830299999997</v>
      </c>
      <c r="N224" s="4">
        <v>-216.96235581488773</v>
      </c>
      <c r="O224" s="4">
        <v>5.7755507175179801</v>
      </c>
      <c r="P224" s="1" t="str">
        <f>HYPERLINK(".\sm_car_250702_0917\sm_car_250702_0917_223_Ca170TrN_MaMPO_DrSt_ode23t_1.png","figure")</f>
        <v>figure</v>
      </c>
      <c r="Q224" t="s">
        <v>15</v>
      </c>
    </row>
    <row r="225" spans="1:17" x14ac:dyDescent="0.25">
      <c r="A225">
        <v>224</v>
      </c>
      <c r="B225">
        <v>170</v>
      </c>
      <c r="C225" t="s">
        <v>45</v>
      </c>
      <c r="D225" t="s">
        <v>35</v>
      </c>
      <c r="E225" t="s">
        <v>49</v>
      </c>
      <c r="F225" t="s">
        <v>19</v>
      </c>
      <c r="G225" t="s">
        <v>20</v>
      </c>
      <c r="H225" t="s">
        <v>21</v>
      </c>
      <c r="I225" t="s">
        <v>81</v>
      </c>
      <c r="J225" t="s">
        <v>148</v>
      </c>
      <c r="K225" t="s">
        <v>23</v>
      </c>
      <c r="L225">
        <v>1242</v>
      </c>
      <c r="M225" s="4">
        <v>20.0234202</v>
      </c>
      <c r="N225" s="4">
        <v>-13.822613931336072</v>
      </c>
      <c r="O225" s="4">
        <v>0.21963557848485493</v>
      </c>
      <c r="P225" s="1" t="str">
        <f>HYPERLINK(".\sm_car_250702_0917\sm_car_250702_0917_224_Ca170TrN_MaMCI_DrSt_ode23t_1.png","figure")</f>
        <v>figure</v>
      </c>
      <c r="Q225" t="s">
        <v>15</v>
      </c>
    </row>
    <row r="226" spans="1:17" x14ac:dyDescent="0.25">
      <c r="A226">
        <v>225</v>
      </c>
      <c r="B226">
        <v>170</v>
      </c>
      <c r="C226" t="s">
        <v>45</v>
      </c>
      <c r="D226" t="s">
        <v>35</v>
      </c>
      <c r="E226" t="s">
        <v>49</v>
      </c>
      <c r="F226" t="s">
        <v>19</v>
      </c>
      <c r="G226" t="s">
        <v>20</v>
      </c>
      <c r="H226" t="s">
        <v>21</v>
      </c>
      <c r="I226" t="s">
        <v>110</v>
      </c>
      <c r="J226" t="s">
        <v>148</v>
      </c>
      <c r="K226" t="s">
        <v>23</v>
      </c>
      <c r="L226">
        <v>3730</v>
      </c>
      <c r="M226" s="4">
        <v>26.425833600000001</v>
      </c>
      <c r="N226" s="4">
        <v>-5.9993686033059008</v>
      </c>
      <c r="O226" s="4">
        <v>-4.6888073204321449E-3</v>
      </c>
      <c r="P226" s="1" t="str">
        <f>HYPERLINK(".\sm_car_250702_0917\sm_car_250702_0917_225_Ca170TrN_MaCHO_DrSt_ode23t_1.png","figure")</f>
        <v>figure</v>
      </c>
      <c r="Q226" t="s">
        <v>15</v>
      </c>
    </row>
    <row r="227" spans="1:17" x14ac:dyDescent="0.25">
      <c r="A227">
        <v>226</v>
      </c>
      <c r="B227">
        <v>170</v>
      </c>
      <c r="C227" t="s">
        <v>45</v>
      </c>
      <c r="D227" t="s">
        <v>35</v>
      </c>
      <c r="E227" t="s">
        <v>49</v>
      </c>
      <c r="F227" t="s">
        <v>19</v>
      </c>
      <c r="G227" t="s">
        <v>20</v>
      </c>
      <c r="H227" t="s">
        <v>21</v>
      </c>
      <c r="I227" t="s">
        <v>111</v>
      </c>
      <c r="J227" t="s">
        <v>148</v>
      </c>
      <c r="K227" t="s">
        <v>23</v>
      </c>
      <c r="L227">
        <v>2627</v>
      </c>
      <c r="M227" s="4">
        <v>24.0538597</v>
      </c>
      <c r="N227" s="4">
        <v>-5.9991435377234863</v>
      </c>
      <c r="O227" s="4">
        <v>-4.6880363176887594E-3</v>
      </c>
      <c r="P227" s="1" t="str">
        <f>HYPERLINK(".\sm_car_250702_0917\sm_car_250702_0917_226_Ca170TrN_MaCHF_DrSt_ode23t_1.png","figure")</f>
        <v>figure</v>
      </c>
      <c r="Q227" t="s">
        <v>15</v>
      </c>
    </row>
    <row r="228" spans="1:17" x14ac:dyDescent="0.25">
      <c r="A228">
        <v>227</v>
      </c>
      <c r="B228">
        <v>170</v>
      </c>
      <c r="C228" t="s">
        <v>45</v>
      </c>
      <c r="D228" t="s">
        <v>35</v>
      </c>
      <c r="E228" t="s">
        <v>49</v>
      </c>
      <c r="F228" t="s">
        <v>19</v>
      </c>
      <c r="G228" t="s">
        <v>20</v>
      </c>
      <c r="H228" t="s">
        <v>21</v>
      </c>
      <c r="I228" t="s">
        <v>82</v>
      </c>
      <c r="J228" t="s">
        <v>148</v>
      </c>
      <c r="K228" t="s">
        <v>23</v>
      </c>
      <c r="L228">
        <v>9250</v>
      </c>
      <c r="M228" s="4">
        <v>40.340486900000002</v>
      </c>
      <c r="N228" s="4">
        <v>-769.66360662221143</v>
      </c>
      <c r="O228" s="4">
        <v>639.15592351400937</v>
      </c>
      <c r="P228" s="1" t="str">
        <f>HYPERLINK(".\sm_car_250702_0917\sm_car_250702_0917_227_Ca170TrN_MaCKY_DrSt_ode23t_1.png","figure")</f>
        <v>figure</v>
      </c>
      <c r="Q228" t="s">
        <v>15</v>
      </c>
    </row>
    <row r="229" spans="1:17" x14ac:dyDescent="0.25">
      <c r="A229">
        <v>228</v>
      </c>
      <c r="B229">
        <v>170</v>
      </c>
      <c r="C229" t="s">
        <v>45</v>
      </c>
      <c r="D229" t="s">
        <v>35</v>
      </c>
      <c r="E229" t="s">
        <v>49</v>
      </c>
      <c r="F229" t="s">
        <v>19</v>
      </c>
      <c r="G229" t="s">
        <v>20</v>
      </c>
      <c r="H229" t="s">
        <v>21</v>
      </c>
      <c r="I229" t="s">
        <v>83</v>
      </c>
      <c r="J229" t="s">
        <v>148</v>
      </c>
      <c r="K229" t="s">
        <v>23</v>
      </c>
      <c r="L229">
        <v>1701</v>
      </c>
      <c r="M229" s="4">
        <v>14.639779799999999</v>
      </c>
      <c r="N229" s="4">
        <v>-772.74134268457885</v>
      </c>
      <c r="O229" s="4">
        <v>640.77941444369833</v>
      </c>
      <c r="P229" s="1" t="str">
        <f>HYPERLINK(".\sm_car_250702_0917\sm_car_250702_0917_228_Ca170TrN_MaCKF_DrSt_ode23t_1.png","figure")</f>
        <v>figure</v>
      </c>
      <c r="Q229" t="s">
        <v>15</v>
      </c>
    </row>
    <row r="230" spans="1:17" x14ac:dyDescent="0.25">
      <c r="A230">
        <v>229</v>
      </c>
      <c r="B230">
        <v>170</v>
      </c>
      <c r="C230" t="s">
        <v>45</v>
      </c>
      <c r="D230" t="s">
        <v>35</v>
      </c>
      <c r="E230" t="s">
        <v>49</v>
      </c>
      <c r="F230" t="s">
        <v>19</v>
      </c>
      <c r="G230" t="s">
        <v>20</v>
      </c>
      <c r="H230" t="s">
        <v>21</v>
      </c>
      <c r="I230" t="s">
        <v>84</v>
      </c>
      <c r="J230" t="s">
        <v>148</v>
      </c>
      <c r="K230" t="s">
        <v>23</v>
      </c>
      <c r="L230">
        <v>2583</v>
      </c>
      <c r="M230" s="4">
        <v>32.8351325</v>
      </c>
      <c r="N230" s="4">
        <v>189.07190409264132</v>
      </c>
      <c r="O230" s="4">
        <v>308.54108644311765</v>
      </c>
      <c r="P230" s="1" t="str">
        <f>HYPERLINK(".\sm_car_250702_0917\sm_car_250702_0917_229_Ca170TrN_MaCNN_DrSt_ode23t_1.png","figure")</f>
        <v>figure</v>
      </c>
      <c r="Q230" t="s">
        <v>15</v>
      </c>
    </row>
    <row r="231" spans="1:17" x14ac:dyDescent="0.25">
      <c r="A231">
        <v>230</v>
      </c>
      <c r="B231">
        <v>170</v>
      </c>
      <c r="C231" t="s">
        <v>45</v>
      </c>
      <c r="D231" t="s">
        <v>35</v>
      </c>
      <c r="E231" t="s">
        <v>49</v>
      </c>
      <c r="F231" t="s">
        <v>19</v>
      </c>
      <c r="G231" t="s">
        <v>20</v>
      </c>
      <c r="H231" t="s">
        <v>21</v>
      </c>
      <c r="I231" t="s">
        <v>85</v>
      </c>
      <c r="J231" t="s">
        <v>148</v>
      </c>
      <c r="K231" t="s">
        <v>23</v>
      </c>
      <c r="L231">
        <v>3571</v>
      </c>
      <c r="M231" s="4">
        <v>144.76686409999999</v>
      </c>
      <c r="N231" s="4">
        <v>2981.1563501114033</v>
      </c>
      <c r="O231" s="4">
        <v>-3078.2908212675534</v>
      </c>
      <c r="P231" s="1" t="str">
        <f>HYPERLINK(".\sm_car_250702_0917\sm_car_250702_0917_230_Ca170TrN_MaCNF_DrSt_ode23t_1.png","figure")</f>
        <v>figure</v>
      </c>
      <c r="Q231" t="s">
        <v>15</v>
      </c>
    </row>
    <row r="232" spans="1:17" x14ac:dyDescent="0.25">
      <c r="A232">
        <v>231</v>
      </c>
      <c r="B232">
        <v>170</v>
      </c>
      <c r="C232" t="s">
        <v>45</v>
      </c>
      <c r="D232" t="s">
        <v>35</v>
      </c>
      <c r="E232" t="s">
        <v>49</v>
      </c>
      <c r="F232" t="s">
        <v>19</v>
      </c>
      <c r="G232" t="s">
        <v>20</v>
      </c>
      <c r="H232" t="s">
        <v>21</v>
      </c>
      <c r="I232" t="s">
        <v>86</v>
      </c>
      <c r="J232" t="s">
        <v>148</v>
      </c>
      <c r="K232" t="s">
        <v>23</v>
      </c>
      <c r="L232">
        <v>2969</v>
      </c>
      <c r="M232" s="4">
        <v>22.085046899999998</v>
      </c>
      <c r="N232" s="4">
        <v>497.3800786542833</v>
      </c>
      <c r="O232" s="4">
        <v>-175.90223928852839</v>
      </c>
      <c r="P232" s="1" t="str">
        <f>HYPERLINK(".\sm_car_250702_0917\sm_car_250702_0917_231_Ca170TrN_MaCSZ_DrSt_ode23t_1.png","figure")</f>
        <v>figure</v>
      </c>
      <c r="Q232" t="s">
        <v>15</v>
      </c>
    </row>
    <row r="233" spans="1:17" x14ac:dyDescent="0.25">
      <c r="A233">
        <v>232</v>
      </c>
      <c r="B233">
        <v>170</v>
      </c>
      <c r="C233" t="s">
        <v>45</v>
      </c>
      <c r="D233" t="s">
        <v>35</v>
      </c>
      <c r="E233" t="s">
        <v>49</v>
      </c>
      <c r="F233" t="s">
        <v>19</v>
      </c>
      <c r="G233" t="s">
        <v>20</v>
      </c>
      <c r="H233" t="s">
        <v>21</v>
      </c>
      <c r="I233" t="s">
        <v>87</v>
      </c>
      <c r="J233" t="s">
        <v>148</v>
      </c>
      <c r="K233" t="s">
        <v>23</v>
      </c>
      <c r="L233">
        <v>5143</v>
      </c>
      <c r="M233" s="4">
        <v>122.0502693</v>
      </c>
      <c r="N233" s="4">
        <v>-8.945194511526358</v>
      </c>
      <c r="O233" s="4">
        <v>7.9672315007166712E-3</v>
      </c>
      <c r="P233" s="1" t="str">
        <f>HYPERLINK(".\sm_car_250702_0917\sm_car_250702_0917_232_Ca170TrN_MaCSF_DrSt_ode23t_1.png","figure")</f>
        <v>figure</v>
      </c>
      <c r="Q233" t="s">
        <v>15</v>
      </c>
    </row>
    <row r="234" spans="1:17" x14ac:dyDescent="0.25">
      <c r="A234">
        <v>233</v>
      </c>
      <c r="B234">
        <v>170</v>
      </c>
      <c r="C234" t="s">
        <v>45</v>
      </c>
      <c r="D234" t="s">
        <v>35</v>
      </c>
      <c r="E234" t="s">
        <v>49</v>
      </c>
      <c r="F234" t="s">
        <v>19</v>
      </c>
      <c r="G234" t="s">
        <v>20</v>
      </c>
      <c r="H234" t="s">
        <v>21</v>
      </c>
      <c r="I234" t="s">
        <v>88</v>
      </c>
      <c r="J234" t="s">
        <v>148</v>
      </c>
      <c r="K234" t="s">
        <v>23</v>
      </c>
      <c r="L234">
        <v>1765</v>
      </c>
      <c r="M234" s="4">
        <v>38.150472499999999</v>
      </c>
      <c r="N234" s="4">
        <v>248.59696496952398</v>
      </c>
      <c r="O234" s="4">
        <v>391.51846497674887</v>
      </c>
      <c r="P234" s="1" t="str">
        <f>HYPERLINK(".\sm_car_250702_0917\sm_car_250702_0917_233_Ca170TrN_MaCPU_DrSt_ode23t_1.png","figure")</f>
        <v>figure</v>
      </c>
      <c r="Q234" t="s">
        <v>15</v>
      </c>
    </row>
    <row r="235" spans="1:17" x14ac:dyDescent="0.25">
      <c r="A235">
        <v>234</v>
      </c>
      <c r="B235">
        <v>170</v>
      </c>
      <c r="C235" t="s">
        <v>45</v>
      </c>
      <c r="D235" t="s">
        <v>35</v>
      </c>
      <c r="E235" t="s">
        <v>49</v>
      </c>
      <c r="F235" t="s">
        <v>19</v>
      </c>
      <c r="G235" t="s">
        <v>20</v>
      </c>
      <c r="H235" t="s">
        <v>21</v>
      </c>
      <c r="I235" t="s">
        <v>89</v>
      </c>
      <c r="J235" t="s">
        <v>148</v>
      </c>
      <c r="K235" t="s">
        <v>23</v>
      </c>
      <c r="L235">
        <v>2779</v>
      </c>
      <c r="M235" s="4">
        <v>87.332561900000002</v>
      </c>
      <c r="N235" s="4">
        <v>185.43641015068056</v>
      </c>
      <c r="O235" s="4">
        <v>-188.68932295590457</v>
      </c>
      <c r="P235" s="1" t="str">
        <f>HYPERLINK(".\sm_car_250702_0917\sm_car_250702_0917_234_Ca170TrN_MaCPD_DrSt_ode23t_1.png","figure")</f>
        <v>figure</v>
      </c>
      <c r="Q235" t="s">
        <v>15</v>
      </c>
    </row>
    <row r="236" spans="1:17" x14ac:dyDescent="0.25">
      <c r="A236">
        <v>235</v>
      </c>
      <c r="B236">
        <v>202</v>
      </c>
      <c r="C236" t="s">
        <v>45</v>
      </c>
      <c r="D236" t="s">
        <v>35</v>
      </c>
      <c r="E236" t="s">
        <v>107</v>
      </c>
      <c r="F236" t="s">
        <v>19</v>
      </c>
      <c r="G236" t="s">
        <v>20</v>
      </c>
      <c r="H236" t="s">
        <v>21</v>
      </c>
      <c r="I236" t="s">
        <v>79</v>
      </c>
      <c r="J236" t="s">
        <v>148</v>
      </c>
      <c r="K236" t="s">
        <v>23</v>
      </c>
      <c r="L236">
        <v>1607</v>
      </c>
      <c r="M236" s="4">
        <v>4.6970387000000002</v>
      </c>
      <c r="N236" s="4">
        <v>-5.9966434666894131</v>
      </c>
      <c r="O236" s="4">
        <v>-6.2113087364140335E-3</v>
      </c>
      <c r="P236" s="1" t="str">
        <f>HYPERLINK(".\sm_car_250702_0917\sm_car_250702_0917_235_Ca202TrN_MaCMF_DrSt_ode23t_1.png","figure")</f>
        <v>figure</v>
      </c>
      <c r="Q236" t="s">
        <v>15</v>
      </c>
    </row>
    <row r="237" spans="1:17" x14ac:dyDescent="0.25">
      <c r="A237">
        <v>236</v>
      </c>
      <c r="B237">
        <v>202</v>
      </c>
      <c r="C237" t="s">
        <v>45</v>
      </c>
      <c r="D237" t="s">
        <v>35</v>
      </c>
      <c r="E237" t="s">
        <v>107</v>
      </c>
      <c r="F237" t="s">
        <v>19</v>
      </c>
      <c r="G237" t="s">
        <v>20</v>
      </c>
      <c r="H237" t="s">
        <v>21</v>
      </c>
      <c r="I237" t="s">
        <v>80</v>
      </c>
      <c r="J237" t="s">
        <v>148</v>
      </c>
      <c r="K237" t="s">
        <v>23</v>
      </c>
      <c r="L237">
        <v>4635</v>
      </c>
      <c r="M237" s="4">
        <v>33.337080399999998</v>
      </c>
      <c r="N237" s="4">
        <v>-216.51513978049843</v>
      </c>
      <c r="O237" s="4">
        <v>5.7055695281586356</v>
      </c>
      <c r="P237" s="1" t="str">
        <f>HYPERLINK(".\sm_car_250702_0917\sm_car_250702_0917_236_Ca202TrN_MaMPO_DrSt_ode23t_1.png","figure")</f>
        <v>figure</v>
      </c>
      <c r="Q237" t="s">
        <v>15</v>
      </c>
    </row>
    <row r="238" spans="1:17" x14ac:dyDescent="0.25">
      <c r="A238">
        <v>237</v>
      </c>
      <c r="B238">
        <v>202</v>
      </c>
      <c r="C238" t="s">
        <v>45</v>
      </c>
      <c r="D238" t="s">
        <v>35</v>
      </c>
      <c r="E238" t="s">
        <v>107</v>
      </c>
      <c r="F238" t="s">
        <v>19</v>
      </c>
      <c r="G238" t="s">
        <v>20</v>
      </c>
      <c r="H238" t="s">
        <v>21</v>
      </c>
      <c r="I238" t="s">
        <v>81</v>
      </c>
      <c r="J238" t="s">
        <v>148</v>
      </c>
      <c r="K238" t="s">
        <v>23</v>
      </c>
      <c r="L238">
        <v>1227</v>
      </c>
      <c r="M238" s="4">
        <v>12.404373100000001</v>
      </c>
      <c r="N238" s="4">
        <v>-13.820527744397076</v>
      </c>
      <c r="O238" s="4">
        <v>0.2205270544912139</v>
      </c>
      <c r="P238" s="1" t="str">
        <f>HYPERLINK(".\sm_car_250702_0917\sm_car_250702_0917_237_Ca202TrN_MaMCI_DrSt_ode23t_1.png","figure")</f>
        <v>figure</v>
      </c>
      <c r="Q238" t="s">
        <v>15</v>
      </c>
    </row>
    <row r="239" spans="1:17" x14ac:dyDescent="0.25">
      <c r="A239">
        <v>238</v>
      </c>
      <c r="B239">
        <v>202</v>
      </c>
      <c r="C239" t="s">
        <v>45</v>
      </c>
      <c r="D239" t="s">
        <v>35</v>
      </c>
      <c r="E239" t="s">
        <v>107</v>
      </c>
      <c r="F239" t="s">
        <v>19</v>
      </c>
      <c r="G239" t="s">
        <v>20</v>
      </c>
      <c r="H239" t="s">
        <v>21</v>
      </c>
      <c r="I239" t="s">
        <v>83</v>
      </c>
      <c r="J239" t="s">
        <v>148</v>
      </c>
      <c r="K239" t="s">
        <v>23</v>
      </c>
      <c r="L239">
        <v>2904</v>
      </c>
      <c r="M239" s="4">
        <v>10.846921399999999</v>
      </c>
      <c r="N239" s="4">
        <v>-5.9994503909673931</v>
      </c>
      <c r="O239" s="4">
        <v>-2.6229936680321034E-2</v>
      </c>
      <c r="P239" s="1" t="str">
        <f>HYPERLINK(".\sm_car_250702_0917\sm_car_250702_0917_238_Ca202TrN_MaCKF_DrSt_ode23t_1.png","figure")</f>
        <v>figure</v>
      </c>
      <c r="Q239" t="s">
        <v>15</v>
      </c>
    </row>
    <row r="240" spans="1:17" x14ac:dyDescent="0.25">
      <c r="A240">
        <v>239</v>
      </c>
      <c r="B240">
        <v>202</v>
      </c>
      <c r="C240" t="s">
        <v>45</v>
      </c>
      <c r="D240" t="s">
        <v>35</v>
      </c>
      <c r="E240" t="s">
        <v>107</v>
      </c>
      <c r="F240" t="s">
        <v>19</v>
      </c>
      <c r="G240" t="s">
        <v>20</v>
      </c>
      <c r="H240" t="s">
        <v>21</v>
      </c>
      <c r="I240" t="s">
        <v>85</v>
      </c>
      <c r="J240" t="s">
        <v>148</v>
      </c>
      <c r="K240" t="s">
        <v>23</v>
      </c>
      <c r="L240">
        <v>8430</v>
      </c>
      <c r="M240" s="4">
        <v>229.53388129999999</v>
      </c>
      <c r="N240" s="4">
        <v>-8.9933306907075963</v>
      </c>
      <c r="O240" s="4">
        <v>2.1635932733298429E-2</v>
      </c>
      <c r="P240" s="1" t="str">
        <f>HYPERLINK(".\sm_car_250702_0917\sm_car_250702_0917_239_Ca202TrN_MaCNF_DrSt_ode23t_1.png","figure")</f>
        <v>figure</v>
      </c>
      <c r="Q240" t="s">
        <v>15</v>
      </c>
    </row>
    <row r="241" spans="1:17" x14ac:dyDescent="0.25">
      <c r="A241">
        <v>240</v>
      </c>
      <c r="B241">
        <v>202</v>
      </c>
      <c r="C241" t="s">
        <v>45</v>
      </c>
      <c r="D241" t="s">
        <v>35</v>
      </c>
      <c r="E241" t="s">
        <v>107</v>
      </c>
      <c r="F241" t="s">
        <v>19</v>
      </c>
      <c r="G241" t="s">
        <v>20</v>
      </c>
      <c r="H241" t="s">
        <v>21</v>
      </c>
      <c r="I241" t="s">
        <v>87</v>
      </c>
      <c r="J241" t="s">
        <v>148</v>
      </c>
      <c r="K241" t="s">
        <v>23</v>
      </c>
      <c r="L241">
        <v>5143</v>
      </c>
      <c r="M241" s="4">
        <v>67.475069199999993</v>
      </c>
      <c r="N241" s="4">
        <v>-8.986290088620855</v>
      </c>
      <c r="O241" s="4">
        <v>8.2053034977393E-3</v>
      </c>
      <c r="P241" s="1" t="str">
        <f>HYPERLINK(".\sm_car_250702_0917\sm_car_250702_0917_240_Ca202TrN_MaCSF_DrSt_ode23t_1.png","figure")</f>
        <v>figure</v>
      </c>
      <c r="Q241" t="s">
        <v>15</v>
      </c>
    </row>
    <row r="242" spans="1:17" x14ac:dyDescent="0.25">
      <c r="A242">
        <v>241</v>
      </c>
      <c r="B242">
        <v>202</v>
      </c>
      <c r="C242" t="s">
        <v>45</v>
      </c>
      <c r="D242" t="s">
        <v>35</v>
      </c>
      <c r="E242" t="s">
        <v>107</v>
      </c>
      <c r="F242" t="s">
        <v>19</v>
      </c>
      <c r="G242" t="s">
        <v>20</v>
      </c>
      <c r="H242" t="s">
        <v>21</v>
      </c>
      <c r="I242" t="s">
        <v>78</v>
      </c>
      <c r="J242" t="s">
        <v>148</v>
      </c>
      <c r="K242" t="s">
        <v>23</v>
      </c>
      <c r="L242">
        <v>7062</v>
      </c>
      <c r="M242" s="4">
        <v>25.913180100000002</v>
      </c>
      <c r="N242" s="4">
        <v>-5.9989965996950847</v>
      </c>
      <c r="O242" s="4">
        <v>-6.2239457993859245E-3</v>
      </c>
      <c r="P242" s="1" t="str">
        <f>HYPERLINK(".\sm_car_250702_0917\sm_car_250702_0917_241_Ca202TrN_MaCMP_DrSt_ode23t_1.png","figure")</f>
        <v>figure</v>
      </c>
      <c r="Q242" t="s">
        <v>15</v>
      </c>
    </row>
    <row r="243" spans="1:17" x14ac:dyDescent="0.25">
      <c r="A243">
        <v>242</v>
      </c>
      <c r="B243">
        <v>202</v>
      </c>
      <c r="C243" t="s">
        <v>45</v>
      </c>
      <c r="D243" t="s">
        <v>35</v>
      </c>
      <c r="E243" t="s">
        <v>107</v>
      </c>
      <c r="F243" t="s">
        <v>19</v>
      </c>
      <c r="G243" t="s">
        <v>20</v>
      </c>
      <c r="H243" t="s">
        <v>21</v>
      </c>
      <c r="I243" t="s">
        <v>82</v>
      </c>
      <c r="J243" t="s">
        <v>148</v>
      </c>
      <c r="K243" t="s">
        <v>23</v>
      </c>
      <c r="L243">
        <v>20125</v>
      </c>
      <c r="M243" s="4">
        <v>78.733709099999999</v>
      </c>
      <c r="N243" s="4">
        <v>-5.9861586019210584</v>
      </c>
      <c r="O243" s="4">
        <v>-2.8068907649608781E-2</v>
      </c>
      <c r="P243" s="1" t="str">
        <f>HYPERLINK(".\sm_car_250702_0917\sm_car_250702_0917_242_Ca202TrN_MaCKY_DrSt_ode23t_1.png","figure")</f>
        <v>figure</v>
      </c>
      <c r="Q243" t="s">
        <v>15</v>
      </c>
    </row>
    <row r="244" spans="1:17" x14ac:dyDescent="0.25">
      <c r="A244">
        <v>243</v>
      </c>
      <c r="B244">
        <v>202</v>
      </c>
      <c r="C244" t="s">
        <v>45</v>
      </c>
      <c r="D244" t="s">
        <v>35</v>
      </c>
      <c r="E244" t="s">
        <v>107</v>
      </c>
      <c r="F244" t="s">
        <v>19</v>
      </c>
      <c r="G244" t="s">
        <v>20</v>
      </c>
      <c r="H244" t="s">
        <v>21</v>
      </c>
      <c r="I244" t="s">
        <v>75</v>
      </c>
      <c r="J244" t="s">
        <v>148</v>
      </c>
      <c r="K244" t="s">
        <v>23</v>
      </c>
      <c r="L244">
        <v>455</v>
      </c>
      <c r="M244" s="4">
        <v>2.4151015</v>
      </c>
      <c r="N244" s="4">
        <v>381.04323470632642</v>
      </c>
      <c r="O244" s="4">
        <v>0.3335145224833066</v>
      </c>
      <c r="P244" s="1" t="str">
        <f>HYPERLINK(".\sm_car_250702_0917\sm_car_250702_0917_243_Ca202TrN_MaCPL_DrSt_ode23t_1.png","figure")</f>
        <v>figure</v>
      </c>
      <c r="Q244" t="s">
        <v>15</v>
      </c>
    </row>
    <row r="245" spans="1:17" x14ac:dyDescent="0.25">
      <c r="A245">
        <v>244</v>
      </c>
      <c r="B245">
        <v>140</v>
      </c>
      <c r="C245" t="s">
        <v>45</v>
      </c>
      <c r="D245" t="s">
        <v>17</v>
      </c>
      <c r="E245" t="s">
        <v>49</v>
      </c>
      <c r="F245" t="s">
        <v>19</v>
      </c>
      <c r="G245" t="s">
        <v>26</v>
      </c>
      <c r="H245" t="s">
        <v>21</v>
      </c>
      <c r="I245" t="s">
        <v>112</v>
      </c>
      <c r="J245" t="s">
        <v>148</v>
      </c>
      <c r="K245" t="s">
        <v>23</v>
      </c>
      <c r="L245">
        <v>2577</v>
      </c>
      <c r="M245" s="4">
        <v>39.473317999999999</v>
      </c>
      <c r="N245" s="4">
        <v>191.36672227005135</v>
      </c>
      <c r="O245" s="4">
        <v>7.2262398475104561E-4</v>
      </c>
      <c r="P245" s="1" t="str">
        <f>HYPERLINK(".\sm_car_250702_0917\sm_car_250702_0917_244_Ca140TrN_MaCRR_DrSt_ode23t_1.png","figure")</f>
        <v>figure</v>
      </c>
      <c r="Q245" t="s">
        <v>15</v>
      </c>
    </row>
    <row r="246" spans="1:17" x14ac:dyDescent="0.25">
      <c r="A246">
        <v>245</v>
      </c>
      <c r="B246">
        <v>189</v>
      </c>
      <c r="C246" t="s">
        <v>45</v>
      </c>
      <c r="D246" t="s">
        <v>17</v>
      </c>
      <c r="E246" t="s">
        <v>107</v>
      </c>
      <c r="F246" t="s">
        <v>19</v>
      </c>
      <c r="G246" t="s">
        <v>26</v>
      </c>
      <c r="H246" t="s">
        <v>21</v>
      </c>
      <c r="I246" t="s">
        <v>112</v>
      </c>
      <c r="J246" t="s">
        <v>148</v>
      </c>
      <c r="K246" t="s">
        <v>23</v>
      </c>
      <c r="L246">
        <v>3239</v>
      </c>
      <c r="M246" s="4">
        <v>36.157172500000001</v>
      </c>
      <c r="N246" s="4">
        <v>191.37876787167093</v>
      </c>
      <c r="O246" s="4">
        <v>7.2314542821166851E-4</v>
      </c>
      <c r="P246" s="1" t="str">
        <f>HYPERLINK(".\sm_car_250702_0917\sm_car_250702_0917_245_Ca189TrN_MaCRR_DrSt_ode23t_1.png","figure")</f>
        <v>figure</v>
      </c>
      <c r="Q246" t="s">
        <v>15</v>
      </c>
    </row>
    <row r="247" spans="1:17" x14ac:dyDescent="0.25">
      <c r="A247">
        <v>246</v>
      </c>
      <c r="B247">
        <v>173</v>
      </c>
      <c r="C247" t="s">
        <v>45</v>
      </c>
      <c r="D247" t="s">
        <v>35</v>
      </c>
      <c r="E247" t="s">
        <v>49</v>
      </c>
      <c r="F247" t="s">
        <v>19</v>
      </c>
      <c r="G247" t="s">
        <v>90</v>
      </c>
      <c r="H247" t="s">
        <v>21</v>
      </c>
      <c r="I247" t="s">
        <v>91</v>
      </c>
      <c r="J247" t="s">
        <v>148</v>
      </c>
      <c r="K247" t="s">
        <v>92</v>
      </c>
      <c r="L247">
        <v>1646</v>
      </c>
      <c r="M247" s="4">
        <v>65.061789599999997</v>
      </c>
      <c r="N247" s="4">
        <v>51.298870179838786</v>
      </c>
      <c r="O247" s="4">
        <v>9.1602747821765505E-3</v>
      </c>
      <c r="P247" s="1" t="str">
        <f>HYPERLINK(".\sm_car_250702_0917\sm_car_250702_0917_246_Ca173TrN_MaDCA_DrSt_daessc_1.png","figure")</f>
        <v>figure</v>
      </c>
      <c r="Q247" t="s">
        <v>15</v>
      </c>
    </row>
    <row r="248" spans="1:17" x14ac:dyDescent="0.25">
      <c r="A248">
        <v>247</v>
      </c>
      <c r="B248">
        <v>173</v>
      </c>
      <c r="C248" t="s">
        <v>45</v>
      </c>
      <c r="D248" t="s">
        <v>35</v>
      </c>
      <c r="E248" t="s">
        <v>49</v>
      </c>
      <c r="F248" t="s">
        <v>19</v>
      </c>
      <c r="G248" t="s">
        <v>90</v>
      </c>
      <c r="H248" t="s">
        <v>21</v>
      </c>
      <c r="I248" t="s">
        <v>93</v>
      </c>
      <c r="J248" t="s">
        <v>148</v>
      </c>
      <c r="K248" t="s">
        <v>92</v>
      </c>
      <c r="L248">
        <v>4055</v>
      </c>
      <c r="M248" s="4">
        <v>99.647690900000001</v>
      </c>
      <c r="N248" s="4">
        <v>980.46470773628346</v>
      </c>
      <c r="O248" s="4">
        <v>0.73521790665577991</v>
      </c>
      <c r="P248" s="1" t="str">
        <f>HYPERLINK(".\sm_car_250702_0917\sm_car_250702_0917_247_Ca173TrN_MaDC1_DrSt_daessc_1.png","figure")</f>
        <v>figure</v>
      </c>
      <c r="Q248" t="s">
        <v>15</v>
      </c>
    </row>
    <row r="249" spans="1:17" x14ac:dyDescent="0.25">
      <c r="A249">
        <v>248</v>
      </c>
      <c r="B249">
        <v>165</v>
      </c>
      <c r="C249" t="s">
        <v>45</v>
      </c>
      <c r="D249" t="s">
        <v>35</v>
      </c>
      <c r="E249" t="s">
        <v>49</v>
      </c>
      <c r="F249" t="s">
        <v>19</v>
      </c>
      <c r="G249" t="s">
        <v>26</v>
      </c>
      <c r="H249" t="s">
        <v>21</v>
      </c>
      <c r="I249" t="s">
        <v>91</v>
      </c>
      <c r="J249" t="s">
        <v>148</v>
      </c>
      <c r="K249" t="s">
        <v>23</v>
      </c>
      <c r="L249">
        <v>339</v>
      </c>
      <c r="M249" s="4">
        <v>3.6554193000000001</v>
      </c>
      <c r="N249" s="4">
        <v>53.509102294831635</v>
      </c>
      <c r="O249" s="4">
        <v>1.0038342974171579E-2</v>
      </c>
      <c r="P249" s="1" t="str">
        <f>HYPERLINK(".\sm_car_250702_0917\sm_car_250702_0917_248_Ca165TrN_MaDCA_DrSt_ode23t_1.png","figure")</f>
        <v>figure</v>
      </c>
      <c r="Q249" t="s">
        <v>15</v>
      </c>
    </row>
    <row r="250" spans="1:17" x14ac:dyDescent="0.25">
      <c r="A250">
        <v>249</v>
      </c>
      <c r="B250">
        <v>165</v>
      </c>
      <c r="C250" t="s">
        <v>45</v>
      </c>
      <c r="D250" t="s">
        <v>35</v>
      </c>
      <c r="E250" t="s">
        <v>49</v>
      </c>
      <c r="F250" t="s">
        <v>19</v>
      </c>
      <c r="G250" t="s">
        <v>26</v>
      </c>
      <c r="H250" t="s">
        <v>21</v>
      </c>
      <c r="I250" t="s">
        <v>93</v>
      </c>
      <c r="J250" t="s">
        <v>148</v>
      </c>
      <c r="K250" t="s">
        <v>23</v>
      </c>
      <c r="L250">
        <v>1207</v>
      </c>
      <c r="M250" s="4">
        <v>8.1164299999999994</v>
      </c>
      <c r="N250" s="4">
        <v>992.65465017519034</v>
      </c>
      <c r="O250" s="4">
        <v>0.8133244800032613</v>
      </c>
      <c r="P250" s="1" t="str">
        <f>HYPERLINK(".\sm_car_250702_0917\sm_car_250702_0917_249_Ca165TrN_MaDC1_DrSt_ode23t_1.png","figure")</f>
        <v>figure</v>
      </c>
      <c r="Q250" t="s">
        <v>15</v>
      </c>
    </row>
    <row r="251" spans="1:17" x14ac:dyDescent="0.25">
      <c r="A251">
        <v>250</v>
      </c>
      <c r="B251">
        <v>196</v>
      </c>
      <c r="C251" t="s">
        <v>45</v>
      </c>
      <c r="D251" t="s">
        <v>35</v>
      </c>
      <c r="E251" t="s">
        <v>107</v>
      </c>
      <c r="F251" t="s">
        <v>19</v>
      </c>
      <c r="G251" t="s">
        <v>90</v>
      </c>
      <c r="H251" t="s">
        <v>21</v>
      </c>
      <c r="I251" t="s">
        <v>93</v>
      </c>
      <c r="J251" t="s">
        <v>148</v>
      </c>
      <c r="K251" t="s">
        <v>92</v>
      </c>
      <c r="L251">
        <v>4164</v>
      </c>
      <c r="M251" s="4">
        <v>54.613070499999999</v>
      </c>
      <c r="N251" s="4">
        <v>980.46488068742735</v>
      </c>
      <c r="O251" s="4">
        <v>0.73507328541678174</v>
      </c>
      <c r="P251" s="1" t="str">
        <f>HYPERLINK(".\sm_car_250702_0917\sm_car_250702_0917_250_Ca196TrN_MaDC1_DrSt_daessc_1.png","figure")</f>
        <v>figure</v>
      </c>
      <c r="Q251" t="s">
        <v>15</v>
      </c>
    </row>
    <row r="252" spans="1:17" x14ac:dyDescent="0.25">
      <c r="A252">
        <v>251</v>
      </c>
      <c r="B252">
        <v>179</v>
      </c>
      <c r="C252" t="s">
        <v>45</v>
      </c>
      <c r="D252" t="s">
        <v>57</v>
      </c>
      <c r="E252" t="s">
        <v>18</v>
      </c>
      <c r="F252" t="s">
        <v>19</v>
      </c>
      <c r="G252" t="s">
        <v>26</v>
      </c>
      <c r="H252" t="s">
        <v>21</v>
      </c>
      <c r="I252" t="s">
        <v>22</v>
      </c>
      <c r="J252" t="s">
        <v>148</v>
      </c>
      <c r="K252" t="s">
        <v>23</v>
      </c>
      <c r="L252">
        <v>481</v>
      </c>
      <c r="M252" s="4">
        <v>4.8736220000000001</v>
      </c>
      <c r="N252" s="4">
        <v>147.8310697123315</v>
      </c>
      <c r="O252" s="4">
        <v>9.6437502674874817E-2</v>
      </c>
      <c r="P252" s="1" t="str">
        <f>HYPERLINK(".\sm_car_250702_0917\sm_car_250702_0917_251_Ca179TrN_MaWOT_DrSt_ode23t_1.png","figure")</f>
        <v>figure</v>
      </c>
      <c r="Q252" t="s">
        <v>15</v>
      </c>
    </row>
    <row r="253" spans="1:17" x14ac:dyDescent="0.25">
      <c r="A253">
        <v>252</v>
      </c>
      <c r="B253">
        <v>180</v>
      </c>
      <c r="C253" t="s">
        <v>45</v>
      </c>
      <c r="D253" t="s">
        <v>57</v>
      </c>
      <c r="E253" t="s">
        <v>49</v>
      </c>
      <c r="F253" t="s">
        <v>19</v>
      </c>
      <c r="G253" t="s">
        <v>26</v>
      </c>
      <c r="H253" t="s">
        <v>21</v>
      </c>
      <c r="I253" t="s">
        <v>22</v>
      </c>
      <c r="J253" t="s">
        <v>148</v>
      </c>
      <c r="K253" t="s">
        <v>23</v>
      </c>
      <c r="L253">
        <v>500</v>
      </c>
      <c r="M253" s="4">
        <v>7.0069803999999998</v>
      </c>
      <c r="N253" s="4">
        <v>147.81516784940493</v>
      </c>
      <c r="O253" s="4">
        <v>9.5949018374469786E-2</v>
      </c>
      <c r="P253" s="1" t="str">
        <f>HYPERLINK(".\sm_car_250702_0917\sm_car_250702_0917_252_Ca180TrN_MaWOT_DrSt_ode23t_1.png","figure")</f>
        <v>figure</v>
      </c>
      <c r="Q253" t="s">
        <v>15</v>
      </c>
    </row>
    <row r="254" spans="1:17" x14ac:dyDescent="0.25">
      <c r="A254">
        <v>253</v>
      </c>
      <c r="B254">
        <v>197</v>
      </c>
      <c r="C254" t="s">
        <v>45</v>
      </c>
      <c r="D254" t="s">
        <v>57</v>
      </c>
      <c r="E254" t="s">
        <v>107</v>
      </c>
      <c r="F254" t="s">
        <v>19</v>
      </c>
      <c r="G254" t="s">
        <v>26</v>
      </c>
      <c r="H254" t="s">
        <v>21</v>
      </c>
      <c r="I254" t="s">
        <v>22</v>
      </c>
      <c r="J254" t="s">
        <v>148</v>
      </c>
      <c r="K254" t="s">
        <v>23</v>
      </c>
      <c r="L254">
        <v>450</v>
      </c>
      <c r="M254" s="4">
        <v>2.0717123000000002</v>
      </c>
      <c r="N254" s="4">
        <v>147.81217561353483</v>
      </c>
      <c r="O254" s="4">
        <v>9.5974722934732762E-2</v>
      </c>
      <c r="P254" s="1" t="str">
        <f>HYPERLINK(".\sm_car_250702_0917\sm_car_250702_0917_253_Ca197TrN_MaWOT_DrSt_ode23t_1.png","figure")</f>
        <v>figure</v>
      </c>
      <c r="Q254" t="s">
        <v>15</v>
      </c>
    </row>
    <row r="255" spans="1:17" x14ac:dyDescent="0.25">
      <c r="A255">
        <v>254</v>
      </c>
      <c r="B255">
        <v>182</v>
      </c>
      <c r="C255" t="s">
        <v>45</v>
      </c>
      <c r="D255" t="s">
        <v>17</v>
      </c>
      <c r="E255" t="s">
        <v>49</v>
      </c>
      <c r="F255" t="s">
        <v>19</v>
      </c>
      <c r="G255" t="s">
        <v>26</v>
      </c>
      <c r="H255" t="s">
        <v>21</v>
      </c>
      <c r="I255" t="s">
        <v>64</v>
      </c>
      <c r="J255" t="s">
        <v>148</v>
      </c>
      <c r="K255" t="s">
        <v>23</v>
      </c>
      <c r="L255">
        <v>425</v>
      </c>
      <c r="M255" s="4">
        <v>12.482704099999999</v>
      </c>
      <c r="N255" s="4">
        <v>62.247790880992</v>
      </c>
      <c r="O255" s="4">
        <v>-24.541572966824855</v>
      </c>
      <c r="P255" s="1" t="str">
        <f>HYPERLINK(".\sm_car_250702_0917\sm_car_250702_0917_254_Ca182TrN_MaTUR_DrSt_ode23t_1.png","figure")</f>
        <v>figure</v>
      </c>
      <c r="Q255" t="s">
        <v>15</v>
      </c>
    </row>
    <row r="256" spans="1:17" x14ac:dyDescent="0.25">
      <c r="A256">
        <v>255</v>
      </c>
      <c r="B256">
        <v>203</v>
      </c>
      <c r="C256" t="s">
        <v>45</v>
      </c>
      <c r="D256" t="s">
        <v>17</v>
      </c>
      <c r="E256" t="s">
        <v>107</v>
      </c>
      <c r="F256" t="s">
        <v>19</v>
      </c>
      <c r="G256" t="s">
        <v>26</v>
      </c>
      <c r="H256" t="s">
        <v>21</v>
      </c>
      <c r="I256" t="s">
        <v>64</v>
      </c>
      <c r="J256" t="s">
        <v>148</v>
      </c>
      <c r="K256" t="s">
        <v>23</v>
      </c>
      <c r="L256">
        <v>368</v>
      </c>
      <c r="M256" s="4">
        <v>4.5407732000000003</v>
      </c>
      <c r="N256" s="4">
        <v>62.254814014817171</v>
      </c>
      <c r="O256" s="4">
        <v>-24.556623537306013</v>
      </c>
      <c r="P256" s="1" t="str">
        <f>HYPERLINK(".\sm_car_250702_0917\sm_car_250702_0917_255_Ca203TrN_MaTUR_DrSt_ode23t_1.png","figure")</f>
        <v>figure</v>
      </c>
      <c r="Q256" t="s">
        <v>15</v>
      </c>
    </row>
    <row r="257" spans="1:17" x14ac:dyDescent="0.25">
      <c r="A257">
        <v>256</v>
      </c>
      <c r="B257">
        <v>185</v>
      </c>
      <c r="C257" t="s">
        <v>45</v>
      </c>
      <c r="D257" t="s">
        <v>17</v>
      </c>
      <c r="E257" t="s">
        <v>18</v>
      </c>
      <c r="F257" t="s">
        <v>19</v>
      </c>
      <c r="G257" t="s">
        <v>26</v>
      </c>
      <c r="H257" t="s">
        <v>21</v>
      </c>
      <c r="I257" t="s">
        <v>64</v>
      </c>
      <c r="J257" t="s">
        <v>148</v>
      </c>
      <c r="K257" t="s">
        <v>23</v>
      </c>
      <c r="L257">
        <v>515</v>
      </c>
      <c r="M257" s="4">
        <v>20.914736600000001</v>
      </c>
      <c r="N257" s="4">
        <v>112.7068315345371</v>
      </c>
      <c r="O257" s="4">
        <v>-79.241208826314192</v>
      </c>
      <c r="P257" s="1" t="str">
        <f>HYPERLINK(".\sm_car_250702_0917\sm_car_250702_0917_256_Ca185TrN_MaTUR_DrSt_ode23t_1.png","figure")</f>
        <v>figure</v>
      </c>
      <c r="Q257" t="s">
        <v>15</v>
      </c>
    </row>
    <row r="258" spans="1:17" x14ac:dyDescent="0.25">
      <c r="A258">
        <v>257</v>
      </c>
      <c r="B258">
        <v>188</v>
      </c>
      <c r="C258" t="s">
        <v>45</v>
      </c>
      <c r="D258" t="s">
        <v>113</v>
      </c>
      <c r="E258" t="s">
        <v>49</v>
      </c>
      <c r="F258" t="s">
        <v>19</v>
      </c>
      <c r="G258" t="s">
        <v>26</v>
      </c>
      <c r="H258" t="s">
        <v>21</v>
      </c>
      <c r="I258" t="s">
        <v>64</v>
      </c>
      <c r="J258" t="s">
        <v>148</v>
      </c>
      <c r="K258" t="s">
        <v>23</v>
      </c>
      <c r="L258">
        <v>543</v>
      </c>
      <c r="M258" s="4">
        <v>7.3465448999999996</v>
      </c>
      <c r="N258" s="4">
        <v>140.61843832377588</v>
      </c>
      <c r="O258" s="4">
        <v>-71.737532027776084</v>
      </c>
      <c r="P258" s="1" t="str">
        <f>HYPERLINK(".\sm_car_250702_0917\sm_car_250702_0917_257_Ca188TrN_MaTUR_DrSt_ode23t_1.png","figure")</f>
        <v>figure</v>
      </c>
      <c r="Q258" t="s">
        <v>15</v>
      </c>
    </row>
    <row r="259" spans="1:17" x14ac:dyDescent="0.25">
      <c r="A259">
        <v>258</v>
      </c>
      <c r="B259" t="s">
        <v>94</v>
      </c>
      <c r="C259" t="s">
        <v>95</v>
      </c>
      <c r="D259" t="s">
        <v>35</v>
      </c>
      <c r="E259" t="s">
        <v>18</v>
      </c>
      <c r="F259" t="s">
        <v>19</v>
      </c>
      <c r="G259" t="s">
        <v>96</v>
      </c>
      <c r="H259" t="s">
        <v>21</v>
      </c>
      <c r="I259" t="s">
        <v>22</v>
      </c>
      <c r="J259" t="s">
        <v>148</v>
      </c>
      <c r="K259" t="s">
        <v>23</v>
      </c>
      <c r="L259">
        <v>441</v>
      </c>
      <c r="M259" s="4">
        <v>11.873951099999999</v>
      </c>
      <c r="N259" s="4">
        <v>79.220922629445354</v>
      </c>
      <c r="O259" s="4">
        <v>-0.33365900389598846</v>
      </c>
      <c r="P259" s="1" t="str">
        <f>HYPERLINK(".\sm_car_250702_0917\sm_car_Axle3_250702_0917_258_CaAxle3_000TrN_MaWOT_DrSt_ode23t_1.png","figure")</f>
        <v>figure</v>
      </c>
      <c r="Q259" t="s">
        <v>15</v>
      </c>
    </row>
    <row r="260" spans="1:17" x14ac:dyDescent="0.25">
      <c r="A260">
        <v>259</v>
      </c>
      <c r="B260" t="s">
        <v>99</v>
      </c>
      <c r="C260" t="s">
        <v>100</v>
      </c>
      <c r="D260" t="s">
        <v>35</v>
      </c>
      <c r="E260" t="s">
        <v>18</v>
      </c>
      <c r="F260" t="s">
        <v>19</v>
      </c>
      <c r="G260" t="s">
        <v>96</v>
      </c>
      <c r="H260" t="s">
        <v>21</v>
      </c>
      <c r="I260" t="s">
        <v>22</v>
      </c>
      <c r="J260" t="s">
        <v>148</v>
      </c>
      <c r="K260" t="s">
        <v>23</v>
      </c>
      <c r="L260">
        <v>548</v>
      </c>
      <c r="M260" s="4">
        <v>23.454734200000001</v>
      </c>
      <c r="N260" s="4">
        <v>61.776462913405382</v>
      </c>
      <c r="O260" s="4">
        <v>-7.8931686155575068E-2</v>
      </c>
      <c r="P260" s="1" t="str">
        <f>HYPERLINK(".\sm_car_250702_0917\sm_car_Axle3_250702_0917_259_CaAxle3_008TrN_MaWOT_DrSt_ode23t_1.png","figure")</f>
        <v>figure</v>
      </c>
      <c r="Q260" t="s">
        <v>15</v>
      </c>
    </row>
    <row r="261" spans="1:17" x14ac:dyDescent="0.25">
      <c r="A261">
        <v>260</v>
      </c>
      <c r="B261" t="s">
        <v>97</v>
      </c>
      <c r="C261" t="s">
        <v>95</v>
      </c>
      <c r="D261" t="s">
        <v>35</v>
      </c>
      <c r="E261" t="s">
        <v>49</v>
      </c>
      <c r="F261" t="s">
        <v>19</v>
      </c>
      <c r="G261" t="s">
        <v>98</v>
      </c>
      <c r="H261" t="s">
        <v>21</v>
      </c>
      <c r="I261" t="s">
        <v>22</v>
      </c>
      <c r="J261" t="s">
        <v>148</v>
      </c>
      <c r="K261" t="s">
        <v>23</v>
      </c>
      <c r="L261">
        <v>425</v>
      </c>
      <c r="M261" s="4">
        <v>18.505627100000002</v>
      </c>
      <c r="N261" s="4">
        <v>79.267785357633912</v>
      </c>
      <c r="O261" s="4">
        <v>-0.31325812773398548</v>
      </c>
      <c r="P261" s="1" t="str">
        <f>HYPERLINK(".\sm_car_250702_0917\sm_car_Axle3_250702_0917_260_CaAxle3_003TrN_MaWOT_DrSt_ode23t_1.png","figure")</f>
        <v>figure</v>
      </c>
      <c r="Q261" t="s">
        <v>15</v>
      </c>
    </row>
    <row r="262" spans="1:17" x14ac:dyDescent="0.25">
      <c r="A262">
        <v>261</v>
      </c>
      <c r="B262" t="s">
        <v>114</v>
      </c>
      <c r="C262" t="s">
        <v>95</v>
      </c>
      <c r="D262" t="s">
        <v>35</v>
      </c>
      <c r="E262" t="s">
        <v>107</v>
      </c>
      <c r="F262" t="s">
        <v>19</v>
      </c>
      <c r="G262" t="s">
        <v>98</v>
      </c>
      <c r="H262" t="s">
        <v>21</v>
      </c>
      <c r="I262" t="s">
        <v>22</v>
      </c>
      <c r="J262" t="s">
        <v>148</v>
      </c>
      <c r="K262" t="s">
        <v>23</v>
      </c>
      <c r="L262">
        <v>427</v>
      </c>
      <c r="M262" s="4">
        <v>2.6883571000000002</v>
      </c>
      <c r="N262" s="4">
        <v>80.145520056216895</v>
      </c>
      <c r="O262" s="4">
        <v>-0.31945069771391377</v>
      </c>
      <c r="P262" s="1" t="str">
        <f>HYPERLINK(".\sm_car_250702_0917\sm_car_Axle3_250702_0917_261_CaAxle3_017TrN_MaWOT_DrSt_ode23t_1.png","figure")</f>
        <v>figure</v>
      </c>
      <c r="Q262" t="s">
        <v>15</v>
      </c>
    </row>
    <row r="263" spans="1:17" x14ac:dyDescent="0.25">
      <c r="A263">
        <v>262</v>
      </c>
      <c r="B263" t="s">
        <v>101</v>
      </c>
      <c r="C263" t="s">
        <v>100</v>
      </c>
      <c r="D263" t="s">
        <v>35</v>
      </c>
      <c r="E263" t="s">
        <v>49</v>
      </c>
      <c r="F263" t="s">
        <v>19</v>
      </c>
      <c r="G263" t="s">
        <v>96</v>
      </c>
      <c r="H263" t="s">
        <v>102</v>
      </c>
      <c r="I263" t="s">
        <v>22</v>
      </c>
      <c r="J263" t="s">
        <v>148</v>
      </c>
      <c r="K263" t="s">
        <v>23</v>
      </c>
      <c r="L263">
        <v>401</v>
      </c>
      <c r="M263" s="4">
        <v>42.913248699999997</v>
      </c>
      <c r="N263" s="4">
        <v>44.262755466687722</v>
      </c>
      <c r="O263" s="4">
        <v>2.2764036997618801E-2</v>
      </c>
      <c r="P263" s="1" t="str">
        <f>HYPERLINK(".\sm_car_250702_0917\sm_car_Axle3_250702_0917_262_CaAxle3_010TrK_MaWOT_DrSt_ode23t_1.png","figure")</f>
        <v>figure</v>
      </c>
      <c r="Q263" t="s">
        <v>15</v>
      </c>
    </row>
    <row r="264" spans="1:17" x14ac:dyDescent="0.25">
      <c r="A264">
        <v>263</v>
      </c>
      <c r="B264" t="s">
        <v>101</v>
      </c>
      <c r="C264" t="s">
        <v>100</v>
      </c>
      <c r="D264" t="s">
        <v>35</v>
      </c>
      <c r="E264" t="s">
        <v>49</v>
      </c>
      <c r="F264" t="s">
        <v>19</v>
      </c>
      <c r="G264" t="s">
        <v>96</v>
      </c>
      <c r="H264" t="s">
        <v>102</v>
      </c>
      <c r="I264" t="s">
        <v>22</v>
      </c>
      <c r="J264" t="s">
        <v>148</v>
      </c>
      <c r="K264" t="s">
        <v>23</v>
      </c>
      <c r="L264">
        <v>402</v>
      </c>
      <c r="M264" s="4">
        <v>36.9564333</v>
      </c>
      <c r="N264" s="4">
        <v>44.314330616912642</v>
      </c>
      <c r="O264" s="4">
        <v>2.2833404570701737E-2</v>
      </c>
      <c r="P264" s="1" t="str">
        <f>HYPERLINK(".\sm_car_250702_0917\sm_car_Axle3_250702_0917_263_CaAxle3_010TrK_MaWOT_DrSt_ode23t_1.png","figure")</f>
        <v>figure</v>
      </c>
      <c r="Q264" t="s">
        <v>15</v>
      </c>
    </row>
    <row r="265" spans="1:17" x14ac:dyDescent="0.25">
      <c r="A265">
        <v>264</v>
      </c>
      <c r="B265" t="s">
        <v>115</v>
      </c>
      <c r="C265" t="s">
        <v>100</v>
      </c>
      <c r="D265" t="s">
        <v>35</v>
      </c>
      <c r="E265" t="s">
        <v>107</v>
      </c>
      <c r="F265" t="s">
        <v>19</v>
      </c>
      <c r="G265" t="s">
        <v>96</v>
      </c>
      <c r="H265" t="s">
        <v>102</v>
      </c>
      <c r="I265" t="s">
        <v>22</v>
      </c>
      <c r="J265" t="s">
        <v>148</v>
      </c>
      <c r="K265" t="s">
        <v>23</v>
      </c>
      <c r="L265">
        <v>398</v>
      </c>
      <c r="M265" s="4">
        <v>3.1548310000000002</v>
      </c>
      <c r="N265" s="4">
        <v>48.183563488293444</v>
      </c>
      <c r="O265" s="4">
        <v>2.6474549129265612E-2</v>
      </c>
      <c r="P265" s="1" t="str">
        <f>HYPERLINK(".\sm_car_250702_0917\sm_car_Axle3_250702_0917_264_CaAxle3_019TrK_MaWOT_DrSt_ode23t_1.png","figure")</f>
        <v>figure</v>
      </c>
      <c r="Q265" t="s">
        <v>15</v>
      </c>
    </row>
    <row r="266" spans="1:17" x14ac:dyDescent="0.25">
      <c r="A266">
        <v>265</v>
      </c>
      <c r="B266" t="s">
        <v>115</v>
      </c>
      <c r="C266" t="s">
        <v>100</v>
      </c>
      <c r="D266" t="s">
        <v>35</v>
      </c>
      <c r="E266" t="s">
        <v>107</v>
      </c>
      <c r="F266" t="s">
        <v>19</v>
      </c>
      <c r="G266" t="s">
        <v>96</v>
      </c>
      <c r="H266" t="s">
        <v>102</v>
      </c>
      <c r="I266" t="s">
        <v>22</v>
      </c>
      <c r="J266" t="s">
        <v>148</v>
      </c>
      <c r="K266" t="s">
        <v>23</v>
      </c>
      <c r="L266">
        <v>401</v>
      </c>
      <c r="M266" s="4">
        <v>3.1235643</v>
      </c>
      <c r="N266" s="4">
        <v>48.113117958953012</v>
      </c>
      <c r="O266" s="4">
        <v>2.6374444600064266E-2</v>
      </c>
      <c r="P266" s="1" t="str">
        <f>HYPERLINK(".\sm_car_250702_0917\sm_car_Axle3_250702_0917_265_CaAxle3_019TrK_MaWOT_DrSt_ode23t_1.png","figure")</f>
        <v>figure</v>
      </c>
      <c r="Q266" t="s">
        <v>15</v>
      </c>
    </row>
    <row r="267" spans="1:17" x14ac:dyDescent="0.25">
      <c r="A267">
        <v>266</v>
      </c>
      <c r="B267" t="s">
        <v>115</v>
      </c>
      <c r="C267" t="s">
        <v>100</v>
      </c>
      <c r="D267" t="s">
        <v>35</v>
      </c>
      <c r="E267" t="s">
        <v>107</v>
      </c>
      <c r="F267" t="s">
        <v>19</v>
      </c>
      <c r="G267" t="s">
        <v>96</v>
      </c>
      <c r="H267" t="s">
        <v>102</v>
      </c>
      <c r="I267" t="s">
        <v>53</v>
      </c>
      <c r="J267" t="s">
        <v>148</v>
      </c>
      <c r="K267" t="s">
        <v>23</v>
      </c>
      <c r="L267">
        <v>629</v>
      </c>
      <c r="M267" s="4">
        <v>5.0413784000000001</v>
      </c>
      <c r="N267" s="4">
        <v>256.67126948043006</v>
      </c>
      <c r="O267" s="4">
        <v>-0.11895358617447327</v>
      </c>
      <c r="P267" s="1" t="str">
        <f>HYPERLINK(".\sm_car_250702_0917\sm_car_Axle3_250702_0917_266_CaAxle3_019TrK_MaDLC_DrSt_ode23t_1.png","figure")</f>
        <v>figure</v>
      </c>
      <c r="Q267" t="s">
        <v>15</v>
      </c>
    </row>
    <row r="268" spans="1:17" x14ac:dyDescent="0.25">
      <c r="A268">
        <v>267</v>
      </c>
      <c r="B268" t="s">
        <v>115</v>
      </c>
      <c r="C268" t="s">
        <v>100</v>
      </c>
      <c r="D268" t="s">
        <v>35</v>
      </c>
      <c r="E268" t="s">
        <v>107</v>
      </c>
      <c r="F268" t="s">
        <v>19</v>
      </c>
      <c r="G268" t="s">
        <v>96</v>
      </c>
      <c r="H268" t="s">
        <v>102</v>
      </c>
      <c r="I268" t="s">
        <v>53</v>
      </c>
      <c r="J268" t="s">
        <v>148</v>
      </c>
      <c r="K268" t="s">
        <v>23</v>
      </c>
      <c r="L268">
        <v>785</v>
      </c>
      <c r="M268" s="4">
        <v>4.9261220000000003</v>
      </c>
      <c r="N268" s="4">
        <v>254.18801104845164</v>
      </c>
      <c r="O268" s="4">
        <v>-0.11497791524924317</v>
      </c>
      <c r="P268" s="1" t="str">
        <f>HYPERLINK(".\sm_car_250702_0917\sm_car_Axle3_250702_0917_267_CaAxle3_019TrK_MaDLC_DrSt_ode23t_1.png","figure")</f>
        <v>figure</v>
      </c>
      <c r="Q268" t="s">
        <v>15</v>
      </c>
    </row>
    <row r="269" spans="1:17" x14ac:dyDescent="0.25">
      <c r="A269">
        <v>268</v>
      </c>
      <c r="B269" t="s">
        <v>115</v>
      </c>
      <c r="C269" t="s">
        <v>100</v>
      </c>
      <c r="D269" t="s">
        <v>35</v>
      </c>
      <c r="E269" t="s">
        <v>107</v>
      </c>
      <c r="F269" t="s">
        <v>19</v>
      </c>
      <c r="G269" t="s">
        <v>96</v>
      </c>
      <c r="H269" t="s">
        <v>102</v>
      </c>
      <c r="I269" t="s">
        <v>53</v>
      </c>
      <c r="J269" t="s">
        <v>148</v>
      </c>
      <c r="K269" t="s">
        <v>23</v>
      </c>
      <c r="L269">
        <v>630</v>
      </c>
      <c r="M269" s="4">
        <v>4.6527215999999996</v>
      </c>
      <c r="N269" s="4">
        <v>253.60435512200428</v>
      </c>
      <c r="O269" s="4">
        <v>-0.11016470950254131</v>
      </c>
      <c r="P269" s="1" t="str">
        <f>HYPERLINK(".\sm_car_250702_0917\sm_car_Axle3_250702_0917_268_CaAxle3_019TrK_MaDLC_DrSt_ode23t_1.png","figure")</f>
        <v>figure</v>
      </c>
      <c r="Q269" t="s">
        <v>15</v>
      </c>
    </row>
    <row r="270" spans="1:17" x14ac:dyDescent="0.25">
      <c r="A270">
        <v>269</v>
      </c>
      <c r="B270" t="s">
        <v>115</v>
      </c>
      <c r="C270" t="s">
        <v>100</v>
      </c>
      <c r="D270" t="s">
        <v>35</v>
      </c>
      <c r="E270" t="s">
        <v>107</v>
      </c>
      <c r="F270" t="s">
        <v>19</v>
      </c>
      <c r="G270" t="s">
        <v>96</v>
      </c>
      <c r="H270" t="s">
        <v>102</v>
      </c>
      <c r="I270" t="s">
        <v>53</v>
      </c>
      <c r="J270" t="s">
        <v>148</v>
      </c>
      <c r="K270" t="s">
        <v>23</v>
      </c>
      <c r="L270">
        <v>837</v>
      </c>
      <c r="M270" s="4">
        <v>5.4508517000000003</v>
      </c>
      <c r="N270" s="4">
        <v>253.78652359471721</v>
      </c>
      <c r="O270" s="4">
        <v>-0.1066173355449993</v>
      </c>
      <c r="P270" s="1" t="str">
        <f>HYPERLINK(".\sm_car_250702_0917\sm_car_Axle3_250702_0917_269_CaAxle3_019TrK_MaDLC_DrSt_ode23t_1.png","figure")</f>
        <v>figure</v>
      </c>
      <c r="Q270" t="s">
        <v>15</v>
      </c>
    </row>
    <row r="271" spans="1:17" x14ac:dyDescent="0.25">
      <c r="A271">
        <v>270</v>
      </c>
      <c r="B271" t="s">
        <v>138</v>
      </c>
      <c r="C271" t="s">
        <v>139</v>
      </c>
      <c r="D271" t="s">
        <v>35</v>
      </c>
      <c r="E271" t="s">
        <v>49</v>
      </c>
      <c r="F271" t="s">
        <v>19</v>
      </c>
      <c r="G271" t="s">
        <v>96</v>
      </c>
      <c r="H271" t="s">
        <v>102</v>
      </c>
      <c r="I271" t="s">
        <v>22</v>
      </c>
      <c r="J271" t="s">
        <v>148</v>
      </c>
      <c r="K271" t="s">
        <v>23</v>
      </c>
      <c r="L271">
        <v>366</v>
      </c>
      <c r="M271" s="4">
        <v>3.2795747999999998</v>
      </c>
      <c r="N271" s="4">
        <v>136.833045659964</v>
      </c>
      <c r="O271" s="4">
        <v>0.19634619579397833</v>
      </c>
      <c r="P271" s="1" t="str">
        <f>HYPERLINK(".\sm_car_250702_0917\sm_car_Axle3_250702_0917_270_CaAxle3_023TrK_MaWOT_DrSt_ode23t_1.png","figure")</f>
        <v>figure</v>
      </c>
      <c r="Q271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26B1-D1EC-4723-A9C0-5EAB7756A50C}">
  <dimension ref="A1:S275"/>
  <sheetViews>
    <sheetView topLeftCell="A148" workbookViewId="0">
      <selection activeCell="A169" sqref="A169:XFD169"/>
    </sheetView>
  </sheetViews>
  <sheetFormatPr defaultRowHeight="15" x14ac:dyDescent="0.25"/>
  <cols>
    <col min="1" max="1" width="4.42578125" bestFit="1" customWidth="1"/>
    <col min="2" max="2" width="10" bestFit="1" customWidth="1"/>
    <col min="3" max="3" width="14" bestFit="1" customWidth="1"/>
    <col min="4" max="4" width="12.7109375" bestFit="1" customWidth="1"/>
    <col min="5" max="5" width="11.85546875" bestFit="1" customWidth="1"/>
    <col min="6" max="6" width="11.42578125" bestFit="1" customWidth="1"/>
    <col min="7" max="7" width="16.85546875" bestFit="1" customWidth="1"/>
    <col min="8" max="8" width="8.5703125" bestFit="1" customWidth="1"/>
    <col min="9" max="9" width="27.140625" bestFit="1" customWidth="1"/>
    <col min="10" max="10" width="12.42578125" bestFit="1" customWidth="1"/>
    <col min="11" max="11" width="7.140625" bestFit="1" customWidth="1"/>
    <col min="12" max="12" width="7.28515625" bestFit="1" customWidth="1"/>
    <col min="13" max="13" width="12" bestFit="1" customWidth="1"/>
    <col min="14" max="15" width="12.7109375" bestFit="1" customWidth="1"/>
    <col min="16" max="16" width="6.5703125" bestFit="1" customWidth="1"/>
    <col min="17" max="17" width="4.85546875" bestFit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6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S1" s="2" t="s">
        <v>163</v>
      </c>
    </row>
    <row r="2" spans="1:19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148</v>
      </c>
      <c r="K2" t="s">
        <v>23</v>
      </c>
      <c r="L2">
        <v>423</v>
      </c>
      <c r="M2">
        <v>11.233351000000001</v>
      </c>
      <c r="N2">
        <v>231.2177424405688</v>
      </c>
      <c r="O2">
        <v>-4.8384781673831328E-3</v>
      </c>
      <c r="P2" s="1" t="str">
        <f>HYPERLINK(".\sm_car_250805_2313\sm_car_250805_2313_001_Ca000TrN_MaWOT_DrSt_ode23t.png","figure")</f>
        <v>figure</v>
      </c>
      <c r="Q2" t="s">
        <v>15</v>
      </c>
      <c r="S2" s="2" t="s">
        <v>116</v>
      </c>
    </row>
    <row r="3" spans="1:19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24</v>
      </c>
      <c r="J3" t="s">
        <v>148</v>
      </c>
      <c r="K3" t="s">
        <v>23</v>
      </c>
      <c r="L3">
        <v>533</v>
      </c>
      <c r="M3">
        <v>7.9794381000000003</v>
      </c>
      <c r="N3">
        <v>71.236125327442352</v>
      </c>
      <c r="O3">
        <v>-0.53981194400981525</v>
      </c>
      <c r="P3" s="1" t="str">
        <f>HYPERLINK(".\sm_car_250805_2313\sm_car_250805_2313_002_Ca000TrN_MaLSS_DrSt_ode23t.png","figure")</f>
        <v>figure</v>
      </c>
      <c r="Q3" t="s">
        <v>15</v>
      </c>
      <c r="S3" s="2" t="s">
        <v>117</v>
      </c>
    </row>
    <row r="4" spans="1:19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21</v>
      </c>
      <c r="I4" t="s">
        <v>22</v>
      </c>
      <c r="J4" t="s">
        <v>148</v>
      </c>
      <c r="K4" t="s">
        <v>23</v>
      </c>
      <c r="L4">
        <v>408</v>
      </c>
      <c r="M4">
        <v>8.1018828000000003</v>
      </c>
      <c r="N4">
        <v>230.22101925685357</v>
      </c>
      <c r="O4">
        <v>-1.2379346939593742E-2</v>
      </c>
      <c r="P4" s="1" t="str">
        <f>HYPERLINK(".\sm_car_250805_2313\sm_car_250805_2313_003_Ca001TrN_MaWOT_DrSt_ode23t.png","figure")</f>
        <v>figure</v>
      </c>
      <c r="Q4" t="s">
        <v>15</v>
      </c>
      <c r="S4" s="2" t="s">
        <v>164</v>
      </c>
    </row>
    <row r="5" spans="1:19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25</v>
      </c>
      <c r="H5" t="s">
        <v>21</v>
      </c>
      <c r="I5" t="s">
        <v>24</v>
      </c>
      <c r="J5" t="s">
        <v>148</v>
      </c>
      <c r="K5" t="s">
        <v>23</v>
      </c>
      <c r="L5">
        <v>523</v>
      </c>
      <c r="M5">
        <v>9.4451701000000003</v>
      </c>
      <c r="N5">
        <v>70.96073313062314</v>
      </c>
      <c r="O5">
        <v>-0.53281997817182136</v>
      </c>
      <c r="P5" s="1" t="str">
        <f>HYPERLINK(".\sm_car_250805_2313\sm_car_250805_2313_004_Ca001TrN_MaLSS_DrSt_ode23t.png","figure")</f>
        <v>figure</v>
      </c>
      <c r="Q5" t="s">
        <v>15</v>
      </c>
      <c r="S5" t="s">
        <v>165</v>
      </c>
    </row>
    <row r="6" spans="1:19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26</v>
      </c>
      <c r="H6" t="s">
        <v>21</v>
      </c>
      <c r="I6" t="s">
        <v>22</v>
      </c>
      <c r="J6" t="s">
        <v>148</v>
      </c>
      <c r="K6" t="s">
        <v>23</v>
      </c>
      <c r="L6">
        <v>469</v>
      </c>
      <c r="M6">
        <v>13.5574309</v>
      </c>
      <c r="N6">
        <v>230.32984844030403</v>
      </c>
      <c r="O6">
        <v>5.7593525657349744E-2</v>
      </c>
      <c r="P6" s="1" t="str">
        <f>HYPERLINK(".\sm_car_250805_2313\sm_car_250805_2313_005_Ca002TrN_MaWOT_DrSt_ode23t.png","figure")</f>
        <v>figure</v>
      </c>
      <c r="Q6" t="s">
        <v>15</v>
      </c>
    </row>
    <row r="7" spans="1:19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26</v>
      </c>
      <c r="H7" t="s">
        <v>21</v>
      </c>
      <c r="I7" t="s">
        <v>24</v>
      </c>
      <c r="J7" t="s">
        <v>148</v>
      </c>
      <c r="K7" t="s">
        <v>23</v>
      </c>
      <c r="L7">
        <v>528</v>
      </c>
      <c r="M7">
        <v>12.1526283</v>
      </c>
      <c r="N7">
        <v>70.958601238773028</v>
      </c>
      <c r="O7">
        <v>-0.52939640277263789</v>
      </c>
      <c r="P7" s="1" t="str">
        <f>HYPERLINK(".\sm_car_250805_2313\sm_car_250805_2313_006_Ca002TrN_MaLSS_DrSt_ode23t.png","figure")</f>
        <v>figure</v>
      </c>
      <c r="Q7" t="s">
        <v>15</v>
      </c>
    </row>
    <row r="8" spans="1:19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27</v>
      </c>
      <c r="H8" t="s">
        <v>21</v>
      </c>
      <c r="I8" t="s">
        <v>22</v>
      </c>
      <c r="J8" t="s">
        <v>148</v>
      </c>
      <c r="K8" t="s">
        <v>23</v>
      </c>
      <c r="L8">
        <v>466</v>
      </c>
      <c r="M8">
        <v>12.102028199999999</v>
      </c>
      <c r="N8">
        <v>229.94910505320564</v>
      </c>
      <c r="O8">
        <v>5.2191848568346133E-2</v>
      </c>
      <c r="P8" s="1" t="str">
        <f>HYPERLINK(".\sm_car_250805_2313\sm_car_250805_2313_007_Ca003TrN_MaWOT_DrSt_ode23t.png","figure")</f>
        <v>figure</v>
      </c>
      <c r="Q8" t="s">
        <v>15</v>
      </c>
    </row>
    <row r="9" spans="1:19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27</v>
      </c>
      <c r="H9" t="s">
        <v>21</v>
      </c>
      <c r="I9" t="s">
        <v>24</v>
      </c>
      <c r="J9" t="s">
        <v>148</v>
      </c>
      <c r="K9" t="s">
        <v>23</v>
      </c>
      <c r="L9">
        <v>568</v>
      </c>
      <c r="M9">
        <v>13.048344800000001</v>
      </c>
      <c r="N9">
        <v>70.827126380753825</v>
      </c>
      <c r="O9">
        <v>-0.5278953723588663</v>
      </c>
      <c r="P9" s="1" t="str">
        <f>HYPERLINK(".\sm_car_250805_2313\sm_car_250805_2313_008_Ca003TrN_MaLSS_DrSt_ode23t.png","figure")</f>
        <v>figure</v>
      </c>
      <c r="Q9" t="s">
        <v>15</v>
      </c>
    </row>
    <row r="10" spans="1:19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20</v>
      </c>
      <c r="H10" t="s">
        <v>21</v>
      </c>
      <c r="I10" t="s">
        <v>22</v>
      </c>
      <c r="J10" t="s">
        <v>148</v>
      </c>
      <c r="K10" t="s">
        <v>23</v>
      </c>
      <c r="L10">
        <v>1085</v>
      </c>
      <c r="M10">
        <v>12.3115054</v>
      </c>
      <c r="N10">
        <v>231.35048401278598</v>
      </c>
      <c r="O10">
        <v>-4.0514741091662787E-3</v>
      </c>
      <c r="P10" s="1" t="str">
        <f>HYPERLINK(".\sm_car_250805_2313\sm_car_250805_2313_009_Ca004TrN_MaWOT_DrSt_ode23t.png","figure")</f>
        <v>figure</v>
      </c>
      <c r="Q10" t="s">
        <v>15</v>
      </c>
    </row>
    <row r="11" spans="1:19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20</v>
      </c>
      <c r="H11" t="s">
        <v>21</v>
      </c>
      <c r="I11" t="s">
        <v>24</v>
      </c>
      <c r="J11" t="s">
        <v>148</v>
      </c>
      <c r="K11" t="s">
        <v>23</v>
      </c>
      <c r="L11">
        <v>1206</v>
      </c>
      <c r="M11">
        <v>13.3194195</v>
      </c>
      <c r="N11">
        <v>71.24565934260167</v>
      </c>
      <c r="O11">
        <v>-0.54254908395302193</v>
      </c>
      <c r="P11" s="1" t="str">
        <f>HYPERLINK(".\sm_car_250805_2313\sm_car_250805_2313_010_Ca004TrN_MaLSS_DrSt_ode23t.png","figure")</f>
        <v>figure</v>
      </c>
      <c r="Q11" t="s">
        <v>15</v>
      </c>
    </row>
    <row r="12" spans="1:19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25</v>
      </c>
      <c r="H12" t="s">
        <v>21</v>
      </c>
      <c r="I12" t="s">
        <v>22</v>
      </c>
      <c r="J12" t="s">
        <v>148</v>
      </c>
      <c r="K12" t="s">
        <v>23</v>
      </c>
      <c r="L12">
        <v>1131</v>
      </c>
      <c r="M12">
        <v>13.638548</v>
      </c>
      <c r="N12">
        <v>230.10485797196739</v>
      </c>
      <c r="O12">
        <v>-1.3072045201027149E-2</v>
      </c>
      <c r="P12" s="1" t="str">
        <f>HYPERLINK(".\sm_car_250805_2313\sm_car_250805_2313_011_Ca005TrN_MaWOT_DrSt_ode23t.png","figure")</f>
        <v>figure</v>
      </c>
      <c r="Q12" t="s">
        <v>15</v>
      </c>
    </row>
    <row r="13" spans="1:19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25</v>
      </c>
      <c r="H13" t="s">
        <v>21</v>
      </c>
      <c r="I13" t="s">
        <v>24</v>
      </c>
      <c r="J13" t="s">
        <v>148</v>
      </c>
      <c r="K13" t="s">
        <v>23</v>
      </c>
      <c r="L13">
        <v>1238</v>
      </c>
      <c r="M13">
        <v>15.9596164</v>
      </c>
      <c r="N13">
        <v>70.963197365859472</v>
      </c>
      <c r="O13">
        <v>-0.53819483160929726</v>
      </c>
      <c r="P13" s="1" t="str">
        <f>HYPERLINK(".\sm_car_250805_2313\sm_car_250805_2313_012_Ca005TrN_MaLSS_DrSt_ode23t.png","figure")</f>
        <v>figure</v>
      </c>
      <c r="Q13" t="s">
        <v>15</v>
      </c>
    </row>
    <row r="14" spans="1:19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26</v>
      </c>
      <c r="H14" t="s">
        <v>21</v>
      </c>
      <c r="I14" t="s">
        <v>22</v>
      </c>
      <c r="J14" t="s">
        <v>148</v>
      </c>
      <c r="K14" t="s">
        <v>23</v>
      </c>
      <c r="L14">
        <v>1207</v>
      </c>
      <c r="M14">
        <v>17.5894096</v>
      </c>
      <c r="N14">
        <v>230.35795310585667</v>
      </c>
      <c r="O14">
        <v>1.2215989600390912E-2</v>
      </c>
      <c r="P14" s="1" t="str">
        <f>HYPERLINK(".\sm_car_250805_2313\sm_car_250805_2313_013_Ca006TrN_MaWOT_DrSt_ode23t.png","figure")</f>
        <v>figure</v>
      </c>
      <c r="Q14" t="s">
        <v>15</v>
      </c>
    </row>
    <row r="15" spans="1:19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26</v>
      </c>
      <c r="H15" t="s">
        <v>21</v>
      </c>
      <c r="I15" t="s">
        <v>24</v>
      </c>
      <c r="J15" t="s">
        <v>148</v>
      </c>
      <c r="K15" t="s">
        <v>23</v>
      </c>
      <c r="L15">
        <v>1292</v>
      </c>
      <c r="M15">
        <v>16.642987600000001</v>
      </c>
      <c r="N15">
        <v>70.963357904919789</v>
      </c>
      <c r="O15">
        <v>-0.53351250195833622</v>
      </c>
      <c r="P15" s="1" t="str">
        <f>HYPERLINK(".\sm_car_250805_2313\sm_car_250805_2313_014_Ca006TrN_MaLSS_DrSt_ode23t.png","figure")</f>
        <v>figure</v>
      </c>
      <c r="Q15" t="s">
        <v>15</v>
      </c>
    </row>
    <row r="16" spans="1:19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27</v>
      </c>
      <c r="H16" t="s">
        <v>21</v>
      </c>
      <c r="I16" t="s">
        <v>22</v>
      </c>
      <c r="J16" t="s">
        <v>148</v>
      </c>
      <c r="K16" t="s">
        <v>23</v>
      </c>
      <c r="L16">
        <v>1184</v>
      </c>
      <c r="M16">
        <v>17.409300099999999</v>
      </c>
      <c r="N16">
        <v>229.90086683237078</v>
      </c>
      <c r="O16">
        <v>3.5062346849572455E-2</v>
      </c>
      <c r="P16" s="1" t="str">
        <f>HYPERLINK(".\sm_car_250805_2313\sm_car_250805_2313_015_Ca007TrN_MaWOT_DrSt_ode23t.png","figure")</f>
        <v>figure</v>
      </c>
      <c r="Q16" t="s">
        <v>15</v>
      </c>
    </row>
    <row r="17" spans="1:17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27</v>
      </c>
      <c r="H17" t="s">
        <v>21</v>
      </c>
      <c r="I17" t="s">
        <v>24</v>
      </c>
      <c r="J17" t="s">
        <v>148</v>
      </c>
      <c r="K17" t="s">
        <v>23</v>
      </c>
      <c r="L17">
        <v>1262</v>
      </c>
      <c r="M17">
        <v>16.614672800000001</v>
      </c>
      <c r="N17">
        <v>70.828406997431017</v>
      </c>
      <c r="O17">
        <v>-0.52986907210711842</v>
      </c>
      <c r="P17" s="1" t="str">
        <f>HYPERLINK(".\sm_car_250805_2313\sm_car_250805_2313_016_Ca007TrN_MaLSS_DrSt_ode23t.png","figure")</f>
        <v>figure</v>
      </c>
      <c r="Q17" t="s">
        <v>15</v>
      </c>
    </row>
    <row r="18" spans="1:17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148</v>
      </c>
      <c r="K18" t="s">
        <v>23</v>
      </c>
      <c r="L18">
        <v>408</v>
      </c>
      <c r="M18">
        <v>5.7692220000000001</v>
      </c>
      <c r="N18">
        <v>231.97852932808041</v>
      </c>
      <c r="O18">
        <v>-7.1781087628563625E-2</v>
      </c>
      <c r="P18" s="1" t="str">
        <f>HYPERLINK(".\sm_car_250805_2313\sm_car_250805_2313_017_Ca016TrN_MaWOT_DrSt_ode23t.png","figure")</f>
        <v>figure</v>
      </c>
      <c r="Q18" t="s">
        <v>15</v>
      </c>
    </row>
    <row r="19" spans="1:17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20</v>
      </c>
      <c r="H19" t="s">
        <v>21</v>
      </c>
      <c r="I19" t="s">
        <v>24</v>
      </c>
      <c r="J19" t="s">
        <v>148</v>
      </c>
      <c r="K19" t="s">
        <v>23</v>
      </c>
      <c r="L19">
        <v>495</v>
      </c>
      <c r="M19">
        <v>5.8810460999999998</v>
      </c>
      <c r="N19">
        <v>71.52744135360156</v>
      </c>
      <c r="O19">
        <v>-2.1637557861086024E-2</v>
      </c>
      <c r="P19" s="1" t="str">
        <f>HYPERLINK(".\sm_car_250805_2313\sm_car_250805_2313_018_Ca016TrN_MaLSS_DrSt_ode23t.png","figure")</f>
        <v>figure</v>
      </c>
      <c r="Q19" t="s">
        <v>15</v>
      </c>
    </row>
    <row r="20" spans="1:17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148</v>
      </c>
      <c r="K20" t="s">
        <v>23</v>
      </c>
      <c r="L20">
        <v>414</v>
      </c>
      <c r="M20">
        <v>8.9234483999999998</v>
      </c>
      <c r="N20">
        <v>231.38140972375047</v>
      </c>
      <c r="O20">
        <v>7.0624016378307069E-3</v>
      </c>
      <c r="P20" s="1" t="str">
        <f>HYPERLINK(".\sm_car_250805_2313\sm_car_250805_2313_019_Ca032TrN_MaWOT_DrSt_ode23t.png","figure")</f>
        <v>figure</v>
      </c>
      <c r="Q20" t="s">
        <v>15</v>
      </c>
    </row>
    <row r="21" spans="1:17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20</v>
      </c>
      <c r="H21" t="s">
        <v>21</v>
      </c>
      <c r="I21" t="s">
        <v>24</v>
      </c>
      <c r="J21" t="s">
        <v>148</v>
      </c>
      <c r="K21" t="s">
        <v>23</v>
      </c>
      <c r="L21">
        <v>517</v>
      </c>
      <c r="M21">
        <v>8.1513947000000009</v>
      </c>
      <c r="N21">
        <v>71.24958534660685</v>
      </c>
      <c r="O21">
        <v>-0.52146089401407703</v>
      </c>
      <c r="P21" s="1" t="str">
        <f>HYPERLINK(".\sm_car_250805_2313\sm_car_250805_2313_020_Ca032TrN_MaLSS_DrSt_ode23t.png","figure")</f>
        <v>figure</v>
      </c>
      <c r="Q21" t="s">
        <v>15</v>
      </c>
    </row>
    <row r="22" spans="1:17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148</v>
      </c>
      <c r="K22" t="s">
        <v>23</v>
      </c>
      <c r="L22">
        <v>406</v>
      </c>
      <c r="M22">
        <v>7.4562448000000003</v>
      </c>
      <c r="N22">
        <v>231.3220912823418</v>
      </c>
      <c r="O22">
        <v>-1.7328937509722402E-2</v>
      </c>
      <c r="P22" s="1" t="str">
        <f>HYPERLINK(".\sm_car_250805_2313\sm_car_250805_2313_021_Ca048TrN_MaWOT_DrSt_ode23t.png","figure")</f>
        <v>figure</v>
      </c>
      <c r="Q22" t="s">
        <v>15</v>
      </c>
    </row>
    <row r="23" spans="1:17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20</v>
      </c>
      <c r="H23" t="s">
        <v>21</v>
      </c>
      <c r="I23" t="s">
        <v>24</v>
      </c>
      <c r="J23" t="s">
        <v>148</v>
      </c>
      <c r="K23" t="s">
        <v>23</v>
      </c>
      <c r="L23">
        <v>532</v>
      </c>
      <c r="M23">
        <v>9.5860854999999994</v>
      </c>
      <c r="N23">
        <v>71.252885645468695</v>
      </c>
      <c r="O23">
        <v>-0.52884314345820704</v>
      </c>
      <c r="P23" s="1" t="str">
        <f>HYPERLINK(".\sm_car_250805_2313\sm_car_250805_2313_022_Ca048TrN_MaLSS_DrSt_ode23t.png","figure")</f>
        <v>figure</v>
      </c>
      <c r="Q23" t="s">
        <v>15</v>
      </c>
    </row>
    <row r="24" spans="1:17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 t="s">
        <v>148</v>
      </c>
      <c r="K24" t="s">
        <v>23</v>
      </c>
      <c r="L24">
        <v>411</v>
      </c>
      <c r="M24">
        <v>8.3553572999999997</v>
      </c>
      <c r="N24">
        <v>231.29335429993066</v>
      </c>
      <c r="O24">
        <v>9.3446067893205604E-3</v>
      </c>
      <c r="P24" s="1" t="str">
        <f>HYPERLINK(".\sm_car_250805_2313\sm_car_250805_2313_023_Ca064TrN_MaWOT_DrSt_ode23t.png","figure")</f>
        <v>figure</v>
      </c>
      <c r="Q24" t="s">
        <v>15</v>
      </c>
    </row>
    <row r="25" spans="1:17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20</v>
      </c>
      <c r="H25" t="s">
        <v>21</v>
      </c>
      <c r="I25" t="s">
        <v>24</v>
      </c>
      <c r="J25" t="s">
        <v>148</v>
      </c>
      <c r="K25" t="s">
        <v>23</v>
      </c>
      <c r="L25">
        <v>526</v>
      </c>
      <c r="M25">
        <v>9.4186317000000006</v>
      </c>
      <c r="N25">
        <v>71.251970603665541</v>
      </c>
      <c r="O25">
        <v>-0.51781248972730687</v>
      </c>
      <c r="P25" s="1" t="str">
        <f>HYPERLINK(".\sm_car_250805_2313\sm_car_250805_2313_024_Ca064TrN_MaLSS_DrSt_ode23t.png","figure")</f>
        <v>figure</v>
      </c>
      <c r="Q25" t="s">
        <v>15</v>
      </c>
    </row>
    <row r="26" spans="1:17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148</v>
      </c>
      <c r="K26" t="s">
        <v>23</v>
      </c>
      <c r="L26">
        <v>398</v>
      </c>
      <c r="M26">
        <v>8.9325688000000003</v>
      </c>
      <c r="N26">
        <v>231.28238490853892</v>
      </c>
      <c r="O26">
        <v>-2.0507259671197455E-2</v>
      </c>
      <c r="P26" s="1" t="str">
        <f>HYPERLINK(".\sm_car_250805_2313\sm_car_250805_2313_025_Ca080TrN_MaWOT_DrSt_ode23t.png","figure")</f>
        <v>figure</v>
      </c>
      <c r="Q26" t="s">
        <v>15</v>
      </c>
    </row>
    <row r="27" spans="1:17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20</v>
      </c>
      <c r="H27" t="s">
        <v>21</v>
      </c>
      <c r="I27" t="s">
        <v>24</v>
      </c>
      <c r="J27" t="s">
        <v>148</v>
      </c>
      <c r="K27" t="s">
        <v>23</v>
      </c>
      <c r="L27">
        <v>507</v>
      </c>
      <c r="M27">
        <v>9.1657553000000007</v>
      </c>
      <c r="N27">
        <v>71.24692585665106</v>
      </c>
      <c r="O27">
        <v>-0.52526631553924674</v>
      </c>
      <c r="P27" s="1" t="str">
        <f>HYPERLINK(".\sm_car_250805_2313\sm_car_250805_2313_026_Ca080TrN_MaLSS_DrSt_ode23t.png","figure")</f>
        <v>figure</v>
      </c>
      <c r="Q27" t="s">
        <v>15</v>
      </c>
    </row>
    <row r="28" spans="1:17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148</v>
      </c>
      <c r="K28" t="s">
        <v>23</v>
      </c>
      <c r="L28">
        <v>409</v>
      </c>
      <c r="M28">
        <v>7.0783545999999999</v>
      </c>
      <c r="N28">
        <v>233.07854766852083</v>
      </c>
      <c r="O28">
        <v>2.0066921471783239E-2</v>
      </c>
      <c r="P28" s="1" t="str">
        <f>HYPERLINK(".\sm_car_250805_2313\sm_car_250805_2313_027_Ca096TrN_MaWOT_DrSt_ode23t.png","figure")</f>
        <v>figure</v>
      </c>
      <c r="Q28" t="s">
        <v>15</v>
      </c>
    </row>
    <row r="29" spans="1:17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20</v>
      </c>
      <c r="H29" t="s">
        <v>21</v>
      </c>
      <c r="I29" t="s">
        <v>24</v>
      </c>
      <c r="J29" t="s">
        <v>148</v>
      </c>
      <c r="K29" t="s">
        <v>23</v>
      </c>
      <c r="L29">
        <v>522</v>
      </c>
      <c r="M29">
        <v>7.4320313999999996</v>
      </c>
      <c r="N29">
        <v>71.763515381239785</v>
      </c>
      <c r="O29">
        <v>-0.52889785164942793</v>
      </c>
      <c r="P29" s="1" t="str">
        <f>HYPERLINK(".\sm_car_250805_2313\sm_car_250805_2313_028_Ca096TrN_MaLSS_DrSt_ode23t.png","figure")</f>
        <v>figure</v>
      </c>
      <c r="Q29" t="s">
        <v>15</v>
      </c>
    </row>
    <row r="30" spans="1:17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 t="s">
        <v>148</v>
      </c>
      <c r="K30" t="s">
        <v>23</v>
      </c>
      <c r="L30">
        <v>365</v>
      </c>
      <c r="M30">
        <v>2.7417091999999998</v>
      </c>
      <c r="N30">
        <v>242.64090794805801</v>
      </c>
      <c r="O30">
        <v>0.23544464733340575</v>
      </c>
      <c r="P30" s="1" t="str">
        <f>HYPERLINK(".\sm_car_250805_2313\sm_car_250805_2313_029_Ca112TrN_MaWOT_DrSt_ode23t.png","figure")</f>
        <v>figure</v>
      </c>
      <c r="Q30" t="s">
        <v>15</v>
      </c>
    </row>
    <row r="31" spans="1:17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20</v>
      </c>
      <c r="H31" t="s">
        <v>21</v>
      </c>
      <c r="I31" t="s">
        <v>24</v>
      </c>
      <c r="J31" t="s">
        <v>148</v>
      </c>
      <c r="K31" t="s">
        <v>23</v>
      </c>
      <c r="L31">
        <v>476</v>
      </c>
      <c r="M31">
        <v>3.0479571000000001</v>
      </c>
      <c r="N31">
        <v>74.667588393919033</v>
      </c>
      <c r="O31">
        <v>-0.33772162877955775</v>
      </c>
      <c r="P31" s="1" t="str">
        <f>HYPERLINK(".\sm_car_250805_2313\sm_car_250805_2313_030_Ca112TrN_MaLSS_DrSt_ode23t.png","figure")</f>
        <v>figure</v>
      </c>
      <c r="Q31" t="s">
        <v>15</v>
      </c>
    </row>
    <row r="32" spans="1:17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25</v>
      </c>
      <c r="H32" t="s">
        <v>21</v>
      </c>
      <c r="I32" t="s">
        <v>22</v>
      </c>
      <c r="J32" t="s">
        <v>148</v>
      </c>
      <c r="K32" t="s">
        <v>23</v>
      </c>
      <c r="L32">
        <v>376</v>
      </c>
      <c r="M32">
        <v>3.2804129</v>
      </c>
      <c r="N32">
        <v>241.59653554928946</v>
      </c>
      <c r="O32">
        <v>0.23164317570395446</v>
      </c>
      <c r="P32" s="1" t="str">
        <f>HYPERLINK(".\sm_car_250805_2313\sm_car_250805_2313_031_Ca113TrN_MaWOT_DrSt_ode23t.png","figure")</f>
        <v>figure</v>
      </c>
      <c r="Q32" t="s">
        <v>15</v>
      </c>
    </row>
    <row r="33" spans="1:17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25</v>
      </c>
      <c r="H33" t="s">
        <v>21</v>
      </c>
      <c r="I33" t="s">
        <v>24</v>
      </c>
      <c r="J33" t="s">
        <v>148</v>
      </c>
      <c r="K33" t="s">
        <v>23</v>
      </c>
      <c r="L33">
        <v>465</v>
      </c>
      <c r="M33">
        <v>3.4416256000000001</v>
      </c>
      <c r="N33">
        <v>74.341507024479441</v>
      </c>
      <c r="O33">
        <v>-0.33366530121211341</v>
      </c>
      <c r="P33" s="1" t="str">
        <f>HYPERLINK(".\sm_car_250805_2313\sm_car_250805_2313_032_Ca113TrN_MaLSS_DrSt_ode23t.png","figure")</f>
        <v>figure</v>
      </c>
      <c r="Q33" t="s">
        <v>15</v>
      </c>
    </row>
    <row r="34" spans="1:17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26</v>
      </c>
      <c r="H34" t="s">
        <v>21</v>
      </c>
      <c r="I34" t="s">
        <v>22</v>
      </c>
      <c r="J34" t="s">
        <v>148</v>
      </c>
      <c r="K34" t="s">
        <v>23</v>
      </c>
      <c r="L34">
        <v>378</v>
      </c>
      <c r="M34">
        <v>3.1885696000000001</v>
      </c>
      <c r="N34">
        <v>241.6095904373322</v>
      </c>
      <c r="O34">
        <v>0.23227056711914396</v>
      </c>
      <c r="P34" s="1" t="str">
        <f>HYPERLINK(".\sm_car_250805_2313\sm_car_250805_2313_033_Ca114TrN_MaWOT_DrSt_ode23t.png","figure")</f>
        <v>figure</v>
      </c>
      <c r="Q34" t="s">
        <v>15</v>
      </c>
    </row>
    <row r="35" spans="1:17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26</v>
      </c>
      <c r="H35" t="s">
        <v>21</v>
      </c>
      <c r="I35" t="s">
        <v>24</v>
      </c>
      <c r="J35" t="s">
        <v>148</v>
      </c>
      <c r="K35" t="s">
        <v>23</v>
      </c>
      <c r="L35">
        <v>491</v>
      </c>
      <c r="M35">
        <v>3.4476323</v>
      </c>
      <c r="N35">
        <v>74.359437573760033</v>
      </c>
      <c r="O35">
        <v>-0.334961721330016</v>
      </c>
      <c r="P35" s="1" t="str">
        <f>HYPERLINK(".\sm_car_250805_2313\sm_car_250805_2313_034_Ca114TrN_MaLSS_DrSt_ode23t.png","figure")</f>
        <v>figure</v>
      </c>
      <c r="Q35" t="s">
        <v>15</v>
      </c>
    </row>
    <row r="36" spans="1:17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27</v>
      </c>
      <c r="H36" t="s">
        <v>21</v>
      </c>
      <c r="I36" t="s">
        <v>22</v>
      </c>
      <c r="J36" t="s">
        <v>148</v>
      </c>
      <c r="K36" t="s">
        <v>23</v>
      </c>
      <c r="L36">
        <v>400</v>
      </c>
      <c r="M36">
        <v>3.5985233999999999</v>
      </c>
      <c r="N36">
        <v>241.08596630122753</v>
      </c>
      <c r="O36">
        <v>0.2300973822822307</v>
      </c>
      <c r="P36" s="1" t="str">
        <f>HYPERLINK(".\sm_car_250805_2313\sm_car_250805_2313_035_Ca115TrN_MaWOT_DrSt_ode23t.png","figure")</f>
        <v>figure</v>
      </c>
      <c r="Q36" t="s">
        <v>15</v>
      </c>
    </row>
    <row r="37" spans="1:17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27</v>
      </c>
      <c r="H37" t="s">
        <v>21</v>
      </c>
      <c r="I37" t="s">
        <v>24</v>
      </c>
      <c r="J37" t="s">
        <v>148</v>
      </c>
      <c r="K37" t="s">
        <v>23</v>
      </c>
      <c r="L37">
        <v>519</v>
      </c>
      <c r="M37">
        <v>3.8903720000000002</v>
      </c>
      <c r="N37">
        <v>74.196937128335918</v>
      </c>
      <c r="O37">
        <v>-0.33193504628642057</v>
      </c>
      <c r="P37" s="1" t="str">
        <f>HYPERLINK(".\sm_car_250805_2313\sm_car_250805_2313_036_Ca115TrN_MaLSS_DrSt_ode23t.png","figure")</f>
        <v>figure</v>
      </c>
      <c r="Q37" t="s">
        <v>15</v>
      </c>
    </row>
    <row r="38" spans="1:17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20</v>
      </c>
      <c r="H38" t="s">
        <v>21</v>
      </c>
      <c r="I38" t="s">
        <v>22</v>
      </c>
      <c r="J38" t="s">
        <v>148</v>
      </c>
      <c r="K38" t="s">
        <v>23</v>
      </c>
      <c r="L38">
        <v>916</v>
      </c>
      <c r="M38">
        <v>4.3713468999999998</v>
      </c>
      <c r="N38">
        <v>242.64549059435888</v>
      </c>
      <c r="O38">
        <v>0.236089609359078</v>
      </c>
      <c r="P38" s="1" t="str">
        <f>HYPERLINK(".\sm_car_250805_2313\sm_car_250805_2313_037_Ca116TrN_MaWOT_DrSt_ode23t.png","figure")</f>
        <v>figure</v>
      </c>
      <c r="Q38" t="s">
        <v>15</v>
      </c>
    </row>
    <row r="39" spans="1:17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20</v>
      </c>
      <c r="H39" t="s">
        <v>21</v>
      </c>
      <c r="I39" t="s">
        <v>24</v>
      </c>
      <c r="J39" t="s">
        <v>148</v>
      </c>
      <c r="K39" t="s">
        <v>23</v>
      </c>
      <c r="L39">
        <v>1051</v>
      </c>
      <c r="M39">
        <v>5.4536186000000004</v>
      </c>
      <c r="N39">
        <v>74.663070453655536</v>
      </c>
      <c r="O39">
        <v>-0.34031737401294726</v>
      </c>
      <c r="P39" s="1" t="str">
        <f>HYPERLINK(".\sm_car_250805_2313\sm_car_250805_2313_038_Ca116TrN_MaLSS_DrSt_ode23t.png","figure")</f>
        <v>figure</v>
      </c>
      <c r="Q39" t="s">
        <v>15</v>
      </c>
    </row>
    <row r="40" spans="1:17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25</v>
      </c>
      <c r="H40" t="s">
        <v>21</v>
      </c>
      <c r="I40" t="s">
        <v>22</v>
      </c>
      <c r="J40" t="s">
        <v>148</v>
      </c>
      <c r="K40" t="s">
        <v>23</v>
      </c>
      <c r="L40">
        <v>966</v>
      </c>
      <c r="M40">
        <v>5.6710804000000001</v>
      </c>
      <c r="N40">
        <v>241.45653665880965</v>
      </c>
      <c r="O40">
        <v>0.23291596432896089</v>
      </c>
      <c r="P40" s="1" t="str">
        <f>HYPERLINK(".\sm_car_250805_2313\sm_car_250805_2313_039_Ca117TrN_MaWOT_DrSt_ode23t.png","figure")</f>
        <v>figure</v>
      </c>
      <c r="Q40" t="s">
        <v>15</v>
      </c>
    </row>
    <row r="41" spans="1:17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25</v>
      </c>
      <c r="H41" t="s">
        <v>21</v>
      </c>
      <c r="I41" t="s">
        <v>24</v>
      </c>
      <c r="J41" t="s">
        <v>148</v>
      </c>
      <c r="K41" t="s">
        <v>23</v>
      </c>
      <c r="L41">
        <v>1086</v>
      </c>
      <c r="M41">
        <v>6.2153210000000003</v>
      </c>
      <c r="N41">
        <v>74.334876417387434</v>
      </c>
      <c r="O41">
        <v>-0.33651138545790532</v>
      </c>
      <c r="P41" s="1" t="str">
        <f>HYPERLINK(".\sm_car_250805_2313\sm_car_250805_2313_040_Ca117TrN_MaLSS_DrSt_ode23t.png","figure")</f>
        <v>figure</v>
      </c>
      <c r="Q41" t="s">
        <v>15</v>
      </c>
    </row>
    <row r="42" spans="1:17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26</v>
      </c>
      <c r="H42" t="s">
        <v>21</v>
      </c>
      <c r="I42" t="s">
        <v>22</v>
      </c>
      <c r="J42" t="s">
        <v>148</v>
      </c>
      <c r="K42" t="s">
        <v>23</v>
      </c>
      <c r="L42">
        <v>956</v>
      </c>
      <c r="M42">
        <v>5.4884256999999996</v>
      </c>
      <c r="N42">
        <v>241.47560772571336</v>
      </c>
      <c r="O42">
        <v>0.23417779140737624</v>
      </c>
      <c r="P42" s="1" t="str">
        <f>HYPERLINK(".\sm_car_250805_2313\sm_car_250805_2313_041_Ca118TrN_MaWOT_DrSt_ode23t.png","figure")</f>
        <v>figure</v>
      </c>
      <c r="Q42" t="s">
        <v>15</v>
      </c>
    </row>
    <row r="43" spans="1:17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26</v>
      </c>
      <c r="H43" t="s">
        <v>21</v>
      </c>
      <c r="I43" t="s">
        <v>24</v>
      </c>
      <c r="J43" t="s">
        <v>148</v>
      </c>
      <c r="K43" t="s">
        <v>23</v>
      </c>
      <c r="L43">
        <v>1069</v>
      </c>
      <c r="M43">
        <v>6.3383929999999999</v>
      </c>
      <c r="N43">
        <v>74.33601446676532</v>
      </c>
      <c r="O43">
        <v>-0.33586310102706507</v>
      </c>
      <c r="P43" s="1" t="str">
        <f>HYPERLINK(".\sm_car_250805_2313\sm_car_250805_2313_042_Ca118TrN_MaLSS_DrSt_ode23t.png","figure")</f>
        <v>figure</v>
      </c>
      <c r="Q43" t="s">
        <v>15</v>
      </c>
    </row>
    <row r="44" spans="1:17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27</v>
      </c>
      <c r="H44" t="s">
        <v>21</v>
      </c>
      <c r="I44" t="s">
        <v>22</v>
      </c>
      <c r="J44" t="s">
        <v>148</v>
      </c>
      <c r="K44" t="s">
        <v>23</v>
      </c>
      <c r="L44">
        <v>1001</v>
      </c>
      <c r="M44">
        <v>5.5450841000000004</v>
      </c>
      <c r="N44">
        <v>240.95364055133621</v>
      </c>
      <c r="O44">
        <v>0.2311774600500133</v>
      </c>
      <c r="P44" s="1" t="str">
        <f>HYPERLINK(".\sm_car_250805_2313\sm_car_250805_2313_043_Ca119TrN_MaWOT_DrSt_ode23t.png","figure")</f>
        <v>figure</v>
      </c>
      <c r="Q44" t="s">
        <v>15</v>
      </c>
    </row>
    <row r="45" spans="1:17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27</v>
      </c>
      <c r="H45" t="s">
        <v>21</v>
      </c>
      <c r="I45" t="s">
        <v>24</v>
      </c>
      <c r="J45" t="s">
        <v>148</v>
      </c>
      <c r="K45" t="s">
        <v>23</v>
      </c>
      <c r="L45">
        <v>1089</v>
      </c>
      <c r="M45">
        <v>6.3255413999999996</v>
      </c>
      <c r="N45">
        <v>74.191272051070015</v>
      </c>
      <c r="O45">
        <v>-0.33427763661225635</v>
      </c>
      <c r="P45" s="1" t="str">
        <f>HYPERLINK(".\sm_car_250805_2313\sm_car_250805_2313_044_Ca119TrN_MaLSS_DrSt_ode23t.png","figure")</f>
        <v>figure</v>
      </c>
      <c r="Q45" t="s">
        <v>15</v>
      </c>
    </row>
    <row r="46" spans="1:17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148</v>
      </c>
      <c r="K46" t="s">
        <v>23</v>
      </c>
      <c r="L46">
        <v>324</v>
      </c>
      <c r="M46">
        <v>5.8957449000000004</v>
      </c>
      <c r="N46">
        <v>99.814061262987821</v>
      </c>
      <c r="O46">
        <v>-1.7632181555593908E-2</v>
      </c>
      <c r="P46" s="1" t="str">
        <f>HYPERLINK(".\sm_car_250805_2313\sm_car_250805_2313_045_Ca128TrN_MaWOT_DrSt_ode23t.png","figure")</f>
        <v>figure</v>
      </c>
      <c r="Q46" t="s">
        <v>15</v>
      </c>
    </row>
    <row r="47" spans="1:17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148</v>
      </c>
      <c r="K47" t="s">
        <v>23</v>
      </c>
      <c r="L47">
        <v>445</v>
      </c>
      <c r="M47">
        <v>7.6923256000000002</v>
      </c>
      <c r="N47">
        <v>36.975822320565428</v>
      </c>
      <c r="O47">
        <v>-0.13066798550488262</v>
      </c>
      <c r="P47" s="1" t="str">
        <f>HYPERLINK(".\sm_car_250805_2313\sm_car_250805_2313_046_Ca128TrN_MaLSS_DrSt_ode23t.png","figure")</f>
        <v>figure</v>
      </c>
      <c r="Q47" t="s">
        <v>15</v>
      </c>
    </row>
    <row r="48" spans="1:17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148</v>
      </c>
      <c r="K48" t="s">
        <v>23</v>
      </c>
      <c r="L48">
        <v>339</v>
      </c>
      <c r="M48">
        <v>7.2187937</v>
      </c>
      <c r="N48">
        <v>229.28515628480127</v>
      </c>
      <c r="O48">
        <v>5.5519159012854341E-2</v>
      </c>
      <c r="P48" s="1" t="str">
        <f>HYPERLINK(".\sm_car_250805_2313\sm_car_250805_2313_047_Ca129TrN_MaWOT_DrSt_ode23t.png","figure")</f>
        <v>figure</v>
      </c>
      <c r="Q48" t="s">
        <v>15</v>
      </c>
    </row>
    <row r="49" spans="1:17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148</v>
      </c>
      <c r="K49" t="s">
        <v>23</v>
      </c>
      <c r="L49">
        <v>480</v>
      </c>
      <c r="M49">
        <v>8.3316774999999996</v>
      </c>
      <c r="N49">
        <v>70.691682770326906</v>
      </c>
      <c r="O49">
        <v>-0.52696472240083603</v>
      </c>
      <c r="P49" s="1" t="str">
        <f>HYPERLINK(".\sm_car_250805_2313\sm_car_250805_2313_048_Ca129TrN_MaLSS_DrSt_ode23t.png","figure")</f>
        <v>figure</v>
      </c>
      <c r="Q49" t="s">
        <v>15</v>
      </c>
    </row>
    <row r="50" spans="1:17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148</v>
      </c>
      <c r="K50" t="s">
        <v>23</v>
      </c>
      <c r="L50">
        <v>806</v>
      </c>
      <c r="M50">
        <v>23.714253500000002</v>
      </c>
      <c r="N50">
        <v>217.28664306790145</v>
      </c>
      <c r="O50">
        <v>-1.5310582370102672</v>
      </c>
      <c r="P50" s="1" t="str">
        <f>HYPERLINK(".\sm_car_250805_2313\sm_car_250805_2313_049_Ca130TrN_MaWOT_DrSt_ode23t.png","figure")</f>
        <v>figure</v>
      </c>
      <c r="Q50" t="s">
        <v>15</v>
      </c>
    </row>
    <row r="51" spans="1:17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148</v>
      </c>
      <c r="K51" t="s">
        <v>23</v>
      </c>
      <c r="L51">
        <v>773</v>
      </c>
      <c r="M51">
        <v>21.490024900000002</v>
      </c>
      <c r="N51">
        <v>68.771321881330351</v>
      </c>
      <c r="O51">
        <v>-0.54534847971788247</v>
      </c>
      <c r="P51" s="1" t="str">
        <f>HYPERLINK(".\sm_car_250805_2313\sm_car_250805_2313_050_Ca130TrN_MaLSS_DrSt_ode23t.png","figure")</f>
        <v>figure</v>
      </c>
      <c r="Q51" t="s">
        <v>15</v>
      </c>
    </row>
    <row r="52" spans="1:17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148</v>
      </c>
      <c r="K52" t="s">
        <v>23</v>
      </c>
      <c r="L52">
        <v>355</v>
      </c>
      <c r="M52">
        <v>4.7844141999999996</v>
      </c>
      <c r="N52">
        <v>230.2886968022022</v>
      </c>
      <c r="O52">
        <v>-4.640166397819908E-2</v>
      </c>
      <c r="P52" s="1" t="str">
        <f>HYPERLINK(".\sm_car_250805_2313\sm_car_250805_2313_051_Ca131TrN_MaWOT_DrSt_ode23t.png","figure")</f>
        <v>figure</v>
      </c>
      <c r="Q52" t="s">
        <v>15</v>
      </c>
    </row>
    <row r="53" spans="1:17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148</v>
      </c>
      <c r="K53" t="s">
        <v>23</v>
      </c>
      <c r="L53">
        <v>494</v>
      </c>
      <c r="M53">
        <v>5.4063122000000003</v>
      </c>
      <c r="N53">
        <v>70.96755529968145</v>
      </c>
      <c r="O53">
        <v>-0.53753813421813357</v>
      </c>
      <c r="P53" s="1" t="str">
        <f>HYPERLINK(".\sm_car_250805_2313\sm_car_250805_2313_052_Ca131TrN_MaLSS_DrSt_ode23t.png","figure")</f>
        <v>figure</v>
      </c>
      <c r="Q53" t="s">
        <v>15</v>
      </c>
    </row>
    <row r="54" spans="1:17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148</v>
      </c>
      <c r="K54" t="s">
        <v>23</v>
      </c>
      <c r="L54">
        <v>375</v>
      </c>
      <c r="M54">
        <v>4.7072032999999998</v>
      </c>
      <c r="N54">
        <v>230.29976807838469</v>
      </c>
      <c r="O54">
        <v>-8.3877001640149558E-3</v>
      </c>
      <c r="P54" s="1" t="str">
        <f>HYPERLINK(".\sm_car_250805_2313\sm_car_250805_2313_053_Ca132TrN_MaWOT_DrSt_ode23t.png","figure")</f>
        <v>figure</v>
      </c>
      <c r="Q54" t="s">
        <v>15</v>
      </c>
    </row>
    <row r="55" spans="1:17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148</v>
      </c>
      <c r="K55" t="s">
        <v>23</v>
      </c>
      <c r="L55">
        <v>501</v>
      </c>
      <c r="M55">
        <v>5.5729810000000004</v>
      </c>
      <c r="N55">
        <v>70.959630698664412</v>
      </c>
      <c r="O55">
        <v>-0.53636203654851822</v>
      </c>
      <c r="P55" s="1" t="str">
        <f>HYPERLINK(".\sm_car_250805_2313\sm_car_250805_2313_054_Ca132TrN_MaLSS_DrSt_ode23t.png","figure")</f>
        <v>figure</v>
      </c>
      <c r="Q55" t="s">
        <v>15</v>
      </c>
    </row>
    <row r="56" spans="1:17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148</v>
      </c>
      <c r="K56" t="s">
        <v>23</v>
      </c>
      <c r="L56">
        <v>351</v>
      </c>
      <c r="M56">
        <v>4.7652416999999998</v>
      </c>
      <c r="N56">
        <v>230.17065910446138</v>
      </c>
      <c r="O56">
        <v>-1.3038864452192732E-2</v>
      </c>
      <c r="P56" s="1" t="str">
        <f>HYPERLINK(".\sm_car_250805_2313\sm_car_250805_2313_055_Ca133TrN_MaWOT_DrSt_ode23t.png","figure")</f>
        <v>figure</v>
      </c>
      <c r="Q56" t="s">
        <v>15</v>
      </c>
    </row>
    <row r="57" spans="1:17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148</v>
      </c>
      <c r="K57" t="s">
        <v>23</v>
      </c>
      <c r="L57">
        <v>514</v>
      </c>
      <c r="M57">
        <v>5.6158764999999997</v>
      </c>
      <c r="N57">
        <v>70.972051937205137</v>
      </c>
      <c r="O57">
        <v>-0.53433210634800288</v>
      </c>
      <c r="P57" s="1" t="str">
        <f>HYPERLINK(".\sm_car_250805_2313\sm_car_250805_2313_056_Ca133TrN_MaLSS_DrSt_ode23t.png","figure")</f>
        <v>figure</v>
      </c>
      <c r="Q57" t="s">
        <v>15</v>
      </c>
    </row>
    <row r="58" spans="1:17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148</v>
      </c>
      <c r="K58" t="s">
        <v>23</v>
      </c>
      <c r="L58">
        <v>365</v>
      </c>
      <c r="M58">
        <v>5.0201681000000002</v>
      </c>
      <c r="N58">
        <v>230.35731866737686</v>
      </c>
      <c r="O58">
        <v>-1.1345153656752186E-2</v>
      </c>
      <c r="P58" s="1" t="str">
        <f>HYPERLINK(".\sm_car_250805_2313\sm_car_250805_2313_057_Ca134TrN_MaWOT_DrSt_ode23t.png","figure")</f>
        <v>figure</v>
      </c>
      <c r="Q58" t="s">
        <v>15</v>
      </c>
    </row>
    <row r="59" spans="1:17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148</v>
      </c>
      <c r="K59" t="s">
        <v>23</v>
      </c>
      <c r="L59">
        <v>514</v>
      </c>
      <c r="M59">
        <v>5.8596570999999997</v>
      </c>
      <c r="N59">
        <v>70.976406903927028</v>
      </c>
      <c r="O59">
        <v>-0.53393119979448567</v>
      </c>
      <c r="P59" s="1" t="str">
        <f>HYPERLINK(".\sm_car_250805_2313\sm_car_250805_2313_058_Ca134TrN_MaLSS_DrSt_ode23t.png","figure")</f>
        <v>figure</v>
      </c>
      <c r="Q59" t="s">
        <v>15</v>
      </c>
    </row>
    <row r="60" spans="1:17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148</v>
      </c>
      <c r="K60" t="s">
        <v>23</v>
      </c>
      <c r="L60">
        <v>350</v>
      </c>
      <c r="M60">
        <v>4.9354627000000004</v>
      </c>
      <c r="N60">
        <v>230.31975796174882</v>
      </c>
      <c r="O60">
        <v>-1.1639497674189763E-2</v>
      </c>
      <c r="P60" s="1" t="str">
        <f>HYPERLINK(".\sm_car_250805_2313\sm_car_250805_2313_059_Ca135TrN_MaWOT_DrSt_ode23t.png","figure")</f>
        <v>figure</v>
      </c>
      <c r="Q60" t="s">
        <v>15</v>
      </c>
    </row>
    <row r="61" spans="1:17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148</v>
      </c>
      <c r="K61" t="s">
        <v>23</v>
      </c>
      <c r="L61">
        <v>504</v>
      </c>
      <c r="M61">
        <v>5.6367172999999999</v>
      </c>
      <c r="N61">
        <v>70.978677167088961</v>
      </c>
      <c r="O61">
        <v>-0.52458845379545904</v>
      </c>
      <c r="P61" s="1" t="str">
        <f>HYPERLINK(".\sm_car_250805_2313\sm_car_250805_2313_060_Ca135TrN_MaLSS_DrSt_ode23t.png","figure")</f>
        <v>figure</v>
      </c>
      <c r="Q61" t="s">
        <v>15</v>
      </c>
    </row>
    <row r="62" spans="1:17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148</v>
      </c>
      <c r="K62" t="s">
        <v>23</v>
      </c>
      <c r="L62">
        <v>377</v>
      </c>
      <c r="M62">
        <v>5.5821541999999997</v>
      </c>
      <c r="N62">
        <v>230.3475565788994</v>
      </c>
      <c r="O62">
        <v>5.4777529291217833E-2</v>
      </c>
      <c r="P62" s="1" t="str">
        <f>HYPERLINK(".\sm_car_250805_2313\sm_car_250805_2313_061_Ca136TrN_MaWOT_DrSt_ode23t.png","figure")</f>
        <v>figure</v>
      </c>
      <c r="Q62" t="s">
        <v>15</v>
      </c>
    </row>
    <row r="63" spans="1:17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148</v>
      </c>
      <c r="K63" t="s">
        <v>23</v>
      </c>
      <c r="L63">
        <v>516</v>
      </c>
      <c r="M63">
        <v>6.9079927000000003</v>
      </c>
      <c r="N63">
        <v>70.970973584652995</v>
      </c>
      <c r="O63">
        <v>-0.53076364566658518</v>
      </c>
      <c r="P63" s="1" t="str">
        <f>HYPERLINK(".\sm_car_250805_2313\sm_car_250805_2313_062_Ca136TrN_MaLSS_DrSt_ode23t.png","figure")</f>
        <v>figure</v>
      </c>
      <c r="Q63" t="s">
        <v>15</v>
      </c>
    </row>
    <row r="64" spans="1:17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148</v>
      </c>
      <c r="K64" t="s">
        <v>23</v>
      </c>
      <c r="L64">
        <v>322</v>
      </c>
      <c r="M64">
        <v>3.8653686999999999</v>
      </c>
      <c r="N64">
        <v>231.13056882651293</v>
      </c>
      <c r="O64">
        <v>0.14153927036018177</v>
      </c>
      <c r="P64" s="1" t="str">
        <f>HYPERLINK(".\sm_car_250805_2313\sm_car_250805_2313_063_Ca137TrN_MaWOT_DrSt_ode23t.png","figure")</f>
        <v>figure</v>
      </c>
      <c r="Q64" t="s">
        <v>15</v>
      </c>
    </row>
    <row r="65" spans="1:17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148</v>
      </c>
      <c r="K65" t="s">
        <v>23</v>
      </c>
      <c r="L65">
        <v>480</v>
      </c>
      <c r="M65">
        <v>4.7276040000000004</v>
      </c>
      <c r="N65">
        <v>71.239976441046863</v>
      </c>
      <c r="O65">
        <v>-0.51296852072698151</v>
      </c>
      <c r="P65" s="1" t="str">
        <f>HYPERLINK(".\sm_car_250805_2313\sm_car_250805_2313_064_Ca137TrN_MaLSS_DrSt_ode23t.png","figure")</f>
        <v>figure</v>
      </c>
      <c r="Q65" t="s">
        <v>15</v>
      </c>
    </row>
    <row r="66" spans="1:17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148</v>
      </c>
      <c r="K66" t="s">
        <v>23</v>
      </c>
      <c r="L66">
        <v>330</v>
      </c>
      <c r="M66">
        <v>6.2681909999999998</v>
      </c>
      <c r="N66">
        <v>231.04126857060766</v>
      </c>
      <c r="O66">
        <v>0.14657344627996305</v>
      </c>
      <c r="P66" s="1" t="str">
        <f>HYPERLINK(".\sm_car_250805_2313\sm_car_250805_2313_065_Ca138TrN_MaWOT_DrSt_ode23t.png","figure")</f>
        <v>figure</v>
      </c>
      <c r="Q66" t="s">
        <v>15</v>
      </c>
    </row>
    <row r="67" spans="1:17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148</v>
      </c>
      <c r="K67" t="s">
        <v>23</v>
      </c>
      <c r="L67">
        <v>495</v>
      </c>
      <c r="M67">
        <v>6.7283175999999996</v>
      </c>
      <c r="N67">
        <v>71.130252783663053</v>
      </c>
      <c r="O67">
        <v>-0.82600072700020344</v>
      </c>
      <c r="P67" s="1" t="str">
        <f>HYPERLINK(".\sm_car_250805_2313\sm_car_250805_2313_066_Ca138TrN_MaLSS_DrSt_ode23t.png","figure")</f>
        <v>figure</v>
      </c>
      <c r="Q67" t="s">
        <v>15</v>
      </c>
    </row>
    <row r="68" spans="1:17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148</v>
      </c>
      <c r="K68" t="s">
        <v>23</v>
      </c>
      <c r="L68">
        <v>666</v>
      </c>
      <c r="M68">
        <v>27.228213</v>
      </c>
      <c r="N68">
        <v>405.01821483163479</v>
      </c>
      <c r="O68">
        <v>1.6378334162954997</v>
      </c>
      <c r="P68" s="1" t="str">
        <f>HYPERLINK(".\sm_car_250805_2313\sm_car_250805_2313_067_Ca139TrN_MaWOT_DrSt_ode23t.png","figure")</f>
        <v>figure</v>
      </c>
      <c r="Q68" t="s">
        <v>15</v>
      </c>
    </row>
    <row r="69" spans="1:17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148</v>
      </c>
      <c r="K69" t="s">
        <v>23</v>
      </c>
      <c r="L69">
        <v>620</v>
      </c>
      <c r="M69">
        <v>15.3177708</v>
      </c>
      <c r="N69">
        <v>154.33358383466253</v>
      </c>
      <c r="O69">
        <v>-0.57929887528691548</v>
      </c>
      <c r="P69" s="1" t="str">
        <f>HYPERLINK(".\sm_car_250805_2313\sm_car_250805_2313_068_Ca139TrN_MaLSS_DrSt_ode23t.png","figure")</f>
        <v>figure</v>
      </c>
      <c r="Q69" t="s">
        <v>15</v>
      </c>
    </row>
    <row r="70" spans="1:17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148</v>
      </c>
      <c r="K70" t="s">
        <v>23</v>
      </c>
      <c r="L70">
        <v>2000</v>
      </c>
      <c r="M70">
        <v>38.639227300000002</v>
      </c>
      <c r="N70">
        <v>405.27220868023124</v>
      </c>
      <c r="O70">
        <v>1.6960733905094036</v>
      </c>
      <c r="P70" s="1" t="str">
        <f>HYPERLINK(".\sm_car_250805_2313\sm_car_250805_2313_069_Ca141TrN_MaWOT_DrSt_ode23t.png","figure")</f>
        <v>figure</v>
      </c>
      <c r="Q70" t="s">
        <v>15</v>
      </c>
    </row>
    <row r="71" spans="1:17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148</v>
      </c>
      <c r="K71" t="s">
        <v>23</v>
      </c>
      <c r="L71">
        <v>1839</v>
      </c>
      <c r="M71">
        <v>32.059220199999999</v>
      </c>
      <c r="N71">
        <v>154.40400868342769</v>
      </c>
      <c r="O71">
        <v>-0.56698919619613286</v>
      </c>
      <c r="P71" s="1" t="str">
        <f>HYPERLINK(".\sm_car_250805_2313\sm_car_250805_2313_070_Ca141TrN_MaLSS_DrSt_ode23t.png","figure")</f>
        <v>figure</v>
      </c>
      <c r="Q71" t="s">
        <v>15</v>
      </c>
    </row>
    <row r="72" spans="1:17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148</v>
      </c>
      <c r="K72" t="s">
        <v>23</v>
      </c>
      <c r="L72">
        <v>344</v>
      </c>
      <c r="M72">
        <v>19.907949200000001</v>
      </c>
      <c r="N72">
        <v>62.688814623566671</v>
      </c>
      <c r="O72">
        <v>2.0408836037549189E-2</v>
      </c>
      <c r="P72" s="1" t="str">
        <f>HYPERLINK(".\sm_car_250805_2313\sm_car_250805_2313_071_Ca143TrN_MaWOT_DrSt_ode23t.png","figure")</f>
        <v>figure</v>
      </c>
      <c r="Q72" t="s">
        <v>15</v>
      </c>
    </row>
    <row r="73" spans="1:17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148</v>
      </c>
      <c r="K73" t="s">
        <v>23</v>
      </c>
      <c r="L73">
        <v>465</v>
      </c>
      <c r="M73">
        <v>22.287368300000001</v>
      </c>
      <c r="N73">
        <v>25.008881597766205</v>
      </c>
      <c r="O73">
        <v>-5.2973084072727182E-2</v>
      </c>
      <c r="P73" s="1" t="str">
        <f>HYPERLINK(".\sm_car_250805_2313\sm_car_250805_2313_072_Ca143TrN_MaLSS_DrSt_ode23t.png","figure")</f>
        <v>figure</v>
      </c>
      <c r="Q73" t="s">
        <v>15</v>
      </c>
    </row>
    <row r="74" spans="1:17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148</v>
      </c>
      <c r="K74" t="s">
        <v>23</v>
      </c>
      <c r="L74">
        <v>347</v>
      </c>
      <c r="M74">
        <v>13.1862405</v>
      </c>
      <c r="N74">
        <v>77.331784957912618</v>
      </c>
      <c r="O74">
        <v>0.24949963063133115</v>
      </c>
      <c r="P74" s="1" t="str">
        <f>HYPERLINK(".\sm_car_250805_2313\sm_car_250805_2313_073_Ca144TrN_MaWOT_DrSt_ode23t.png","figure")</f>
        <v>figure</v>
      </c>
      <c r="Q74" t="s">
        <v>15</v>
      </c>
    </row>
    <row r="75" spans="1:17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148</v>
      </c>
      <c r="K75" t="s">
        <v>23</v>
      </c>
      <c r="L75">
        <v>448</v>
      </c>
      <c r="M75">
        <v>11.2404089</v>
      </c>
      <c r="N75">
        <v>35.600339153195158</v>
      </c>
      <c r="O75">
        <v>-3.2380545389799884E-2</v>
      </c>
      <c r="P75" s="1" t="str">
        <f>HYPERLINK(".\sm_car_250805_2313\sm_car_250805_2313_074_Ca144TrN_MaLSS_DrSt_ode23t.png","figure")</f>
        <v>figure</v>
      </c>
      <c r="Q75" t="s">
        <v>15</v>
      </c>
    </row>
    <row r="76" spans="1:17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148</v>
      </c>
      <c r="K76" t="s">
        <v>23</v>
      </c>
      <c r="L76">
        <v>2318</v>
      </c>
      <c r="M76">
        <v>25.2678096</v>
      </c>
      <c r="N76">
        <v>399.83751594340066</v>
      </c>
      <c r="O76">
        <v>-13.769723768885536</v>
      </c>
      <c r="P76" s="1" t="str">
        <f>HYPERLINK(".\sm_car_250805_2313\sm_car_250805_2313_075_Ca147TrN_MaWOT_DrSt_ode23t.png","figure")</f>
        <v>figure</v>
      </c>
      <c r="Q76" t="s">
        <v>15</v>
      </c>
    </row>
    <row r="77" spans="1:17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148</v>
      </c>
      <c r="K77" t="s">
        <v>23</v>
      </c>
      <c r="L77">
        <v>1278</v>
      </c>
      <c r="M77">
        <v>17.388627700000001</v>
      </c>
      <c r="N77">
        <v>151.91615992715055</v>
      </c>
      <c r="O77">
        <v>-2.3911999903380852</v>
      </c>
      <c r="P77" s="1" t="str">
        <f>HYPERLINK(".\sm_car_250805_2313\sm_car_250805_2313_076_Ca147TrN_MaLSS_DrSt_ode23t.png","figure")</f>
        <v>figure</v>
      </c>
      <c r="Q77" t="s">
        <v>15</v>
      </c>
    </row>
    <row r="78" spans="1:17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148</v>
      </c>
      <c r="K78" t="s">
        <v>23</v>
      </c>
      <c r="L78">
        <v>312</v>
      </c>
      <c r="M78">
        <v>8.1466244000000003</v>
      </c>
      <c r="N78">
        <v>229.67542025612829</v>
      </c>
      <c r="O78">
        <v>5.5980890335133957E-3</v>
      </c>
      <c r="P78" s="1" t="str">
        <f>HYPERLINK(".\sm_car_250805_2313\sm_car_250805_2313_077_Ca215TrN_MaWOT_DrSt_ode23t.png","figure")</f>
        <v>figure</v>
      </c>
      <c r="Q78" t="s">
        <v>15</v>
      </c>
    </row>
    <row r="79" spans="1:17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148</v>
      </c>
      <c r="K79" t="s">
        <v>23</v>
      </c>
      <c r="L79">
        <v>471</v>
      </c>
      <c r="M79">
        <v>8.0916548000000006</v>
      </c>
      <c r="N79">
        <v>81.26828189226714</v>
      </c>
      <c r="O79">
        <v>-0.22189443475888274</v>
      </c>
      <c r="P79" s="1" t="str">
        <f>HYPERLINK(".\sm_car_250805_2313\sm_car_250805_2313_078_Ca215TrN_MaLSS_DrSt_ode23t.png","figure")</f>
        <v>figure</v>
      </c>
      <c r="Q79" t="s">
        <v>15</v>
      </c>
    </row>
    <row r="80" spans="1:17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26</v>
      </c>
      <c r="H80" t="s">
        <v>21</v>
      </c>
      <c r="I80" t="s">
        <v>22</v>
      </c>
      <c r="J80" t="s">
        <v>148</v>
      </c>
      <c r="K80" t="s">
        <v>23</v>
      </c>
      <c r="L80">
        <v>372</v>
      </c>
      <c r="M80">
        <v>4.4846789999999999</v>
      </c>
      <c r="N80">
        <v>230.36702962323639</v>
      </c>
      <c r="O80">
        <v>0.171208095042619</v>
      </c>
      <c r="P80" s="1" t="str">
        <f>HYPERLINK(".\sm_car_250805_2313\sm_car_250805_2313_079_Ca218TrN_MaWOT_DrSt_ode23t.png","figure")</f>
        <v>figure</v>
      </c>
      <c r="Q80" t="s">
        <v>15</v>
      </c>
    </row>
    <row r="81" spans="1:17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26</v>
      </c>
      <c r="H81" t="s">
        <v>21</v>
      </c>
      <c r="I81" t="s">
        <v>24</v>
      </c>
      <c r="J81" t="s">
        <v>148</v>
      </c>
      <c r="K81" t="s">
        <v>23</v>
      </c>
      <c r="L81">
        <v>503</v>
      </c>
      <c r="M81">
        <v>5.6602477000000002</v>
      </c>
      <c r="N81">
        <v>70.964213264629208</v>
      </c>
      <c r="O81">
        <v>-0.53420126133833656</v>
      </c>
      <c r="P81" s="1" t="str">
        <f>HYPERLINK(".\sm_car_250805_2313\sm_car_250805_2313_080_Ca218TrN_MaLSS_DrSt_ode23t.png","figure")</f>
        <v>figure</v>
      </c>
      <c r="Q81" t="s">
        <v>15</v>
      </c>
    </row>
    <row r="82" spans="1:17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26</v>
      </c>
      <c r="H82" t="s">
        <v>21</v>
      </c>
      <c r="I82" t="s">
        <v>22</v>
      </c>
      <c r="J82" t="s">
        <v>148</v>
      </c>
      <c r="K82" t="s">
        <v>23</v>
      </c>
      <c r="L82">
        <v>390</v>
      </c>
      <c r="M82">
        <v>6.8822067999999996</v>
      </c>
      <c r="N82">
        <v>229.76485302547371</v>
      </c>
      <c r="O82">
        <v>0.17256926028272024</v>
      </c>
      <c r="P82" s="1" t="str">
        <f>HYPERLINK(".\sm_car_250805_2313\sm_car_250805_2313_081_Ca219TrN_MaWOT_DrSt_ode23t.png","figure")</f>
        <v>figure</v>
      </c>
      <c r="Q82" t="s">
        <v>15</v>
      </c>
    </row>
    <row r="83" spans="1:17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26</v>
      </c>
      <c r="H83" t="s">
        <v>21</v>
      </c>
      <c r="I83" t="s">
        <v>24</v>
      </c>
      <c r="J83" t="s">
        <v>148</v>
      </c>
      <c r="K83" t="s">
        <v>23</v>
      </c>
      <c r="L83">
        <v>517</v>
      </c>
      <c r="M83">
        <v>7.9508438999999997</v>
      </c>
      <c r="N83">
        <v>70.789905280450611</v>
      </c>
      <c r="O83">
        <v>-0.55288557343277933</v>
      </c>
      <c r="P83" s="1" t="str">
        <f>HYPERLINK(".\sm_car_250805_2313\sm_car_250805_2313_082_Ca219TrN_MaLSS_DrSt_ode23t.png","figure")</f>
        <v>figure</v>
      </c>
      <c r="Q83" t="s">
        <v>15</v>
      </c>
    </row>
    <row r="84" spans="1:17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26</v>
      </c>
      <c r="H84" t="s">
        <v>21</v>
      </c>
      <c r="I84" t="s">
        <v>22</v>
      </c>
      <c r="J84" t="s">
        <v>148</v>
      </c>
      <c r="K84" t="s">
        <v>23</v>
      </c>
      <c r="L84">
        <v>935</v>
      </c>
      <c r="M84">
        <v>31.911434100000001</v>
      </c>
      <c r="N84">
        <v>223.9612367010869</v>
      </c>
      <c r="O84">
        <v>-1.2062936896892205</v>
      </c>
      <c r="P84" s="1" t="str">
        <f>HYPERLINK(".\sm_car_250805_2313\sm_car_250805_2313_083_Ca220TrN_MaWOT_DrSt_ode23t.png","figure")</f>
        <v>figure</v>
      </c>
      <c r="Q84" t="s">
        <v>15</v>
      </c>
    </row>
    <row r="85" spans="1:17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26</v>
      </c>
      <c r="H85" t="s">
        <v>21</v>
      </c>
      <c r="I85" t="s">
        <v>24</v>
      </c>
      <c r="J85" t="s">
        <v>148</v>
      </c>
      <c r="K85" t="s">
        <v>23</v>
      </c>
      <c r="L85">
        <v>1092</v>
      </c>
      <c r="M85">
        <v>38.9319098</v>
      </c>
      <c r="N85">
        <v>69.477840452917178</v>
      </c>
      <c r="O85">
        <v>-1.5052154600666228</v>
      </c>
      <c r="P85" s="1" t="str">
        <f>HYPERLINK(".\sm_car_250805_2313\sm_car_250805_2313_084_Ca220TrN_MaLSS_DrSt_ode23t.png","figure")</f>
        <v>figure</v>
      </c>
      <c r="Q85" t="s">
        <v>15</v>
      </c>
    </row>
    <row r="86" spans="1:17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148</v>
      </c>
      <c r="K86" t="s">
        <v>23</v>
      </c>
      <c r="L86">
        <v>468</v>
      </c>
      <c r="M86">
        <v>6.8391485000000003</v>
      </c>
      <c r="N86">
        <v>293.16432845264791</v>
      </c>
      <c r="O86">
        <v>5.2423235952798494E-5</v>
      </c>
      <c r="P86" s="1" t="str">
        <f>HYPERLINK(".\sm_car_250805_2313\sm_car_250805_2313_085_Ca223TrN_MaWOT_DrSt_ode23t.png","figure")</f>
        <v>figure</v>
      </c>
      <c r="Q86" t="s">
        <v>15</v>
      </c>
    </row>
    <row r="87" spans="1:17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148</v>
      </c>
      <c r="K87" t="s">
        <v>23</v>
      </c>
      <c r="L87">
        <v>647</v>
      </c>
      <c r="M87">
        <v>6.8020958</v>
      </c>
      <c r="N87">
        <v>103.53157620195991</v>
      </c>
      <c r="O87">
        <v>-0.15335018436426809</v>
      </c>
      <c r="P87" s="1" t="str">
        <f>HYPERLINK(".\sm_car_250805_2313\sm_car_250805_2313_086_Ca223TrN_MaLSS_DrSt_ode23t.png","figure")</f>
        <v>figure</v>
      </c>
      <c r="Q87" t="s">
        <v>15</v>
      </c>
    </row>
    <row r="88" spans="1:17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148</v>
      </c>
      <c r="K88" t="s">
        <v>23</v>
      </c>
      <c r="L88">
        <v>765</v>
      </c>
      <c r="M88">
        <v>22.132092799999999</v>
      </c>
      <c r="N88">
        <v>406.91346431673531</v>
      </c>
      <c r="O88">
        <v>-13.893368716896708</v>
      </c>
      <c r="P88" s="1" t="str">
        <f>HYPERLINK(".\sm_car_250805_2313\sm_car_250805_2313_087_Ca227TrN_MaWOT_DrSt_ode23t.png","figure")</f>
        <v>figure</v>
      </c>
      <c r="Q88" t="s">
        <v>15</v>
      </c>
    </row>
    <row r="89" spans="1:17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148</v>
      </c>
      <c r="K89" t="s">
        <v>23</v>
      </c>
      <c r="L89">
        <v>716</v>
      </c>
      <c r="M89">
        <v>14.0714059</v>
      </c>
      <c r="N89">
        <v>155.19500239422885</v>
      </c>
      <c r="O89">
        <v>-2.8847494213995875</v>
      </c>
      <c r="P89" s="1" t="str">
        <f>HYPERLINK(".\sm_car_250805_2313\sm_car_250805_2313_088_Ca227TrN_MaLSS_DrSt_ode23t.png","figure")</f>
        <v>figure</v>
      </c>
      <c r="Q89" t="s">
        <v>15</v>
      </c>
    </row>
    <row r="90" spans="1:17" x14ac:dyDescent="0.25">
      <c r="A90">
        <v>89</v>
      </c>
      <c r="B90">
        <v>8</v>
      </c>
      <c r="C90" t="s">
        <v>16</v>
      </c>
      <c r="D90" t="s">
        <v>17</v>
      </c>
      <c r="E90" t="s">
        <v>49</v>
      </c>
      <c r="F90" t="s">
        <v>19</v>
      </c>
      <c r="G90" t="s">
        <v>20</v>
      </c>
      <c r="H90" t="s">
        <v>21</v>
      </c>
      <c r="I90" t="s">
        <v>22</v>
      </c>
      <c r="J90" t="s">
        <v>148</v>
      </c>
      <c r="K90" t="s">
        <v>23</v>
      </c>
      <c r="L90">
        <v>382</v>
      </c>
      <c r="M90">
        <v>10.2888512</v>
      </c>
      <c r="N90">
        <v>231.31978471892802</v>
      </c>
      <c r="O90">
        <v>1.0394596207732492E-3</v>
      </c>
      <c r="P90" s="1" t="str">
        <f>HYPERLINK(".\sm_car_250805_2313\sm_car_250805_2313_089_Ca008TrN_MaWOT_DrSt_ode23t_1.png","figure")</f>
        <v>figure</v>
      </c>
      <c r="Q90" t="s">
        <v>15</v>
      </c>
    </row>
    <row r="91" spans="1:17" x14ac:dyDescent="0.25">
      <c r="A91">
        <v>90</v>
      </c>
      <c r="B91">
        <v>8</v>
      </c>
      <c r="C91" t="s">
        <v>16</v>
      </c>
      <c r="D91" t="s">
        <v>17</v>
      </c>
      <c r="E91" t="s">
        <v>49</v>
      </c>
      <c r="F91" t="s">
        <v>19</v>
      </c>
      <c r="G91" t="s">
        <v>20</v>
      </c>
      <c r="H91" t="s">
        <v>21</v>
      </c>
      <c r="I91" t="s">
        <v>24</v>
      </c>
      <c r="J91" t="s">
        <v>148</v>
      </c>
      <c r="K91" t="s">
        <v>23</v>
      </c>
      <c r="L91">
        <v>556</v>
      </c>
      <c r="M91">
        <v>12.3197838</v>
      </c>
      <c r="N91">
        <v>71.256587613707282</v>
      </c>
      <c r="O91">
        <v>-0.53995846386788471</v>
      </c>
      <c r="P91" s="1" t="str">
        <f>HYPERLINK(".\sm_car_250805_2313\sm_car_250805_2313_090_Ca008TrN_MaLSS_DrSt_ode23t_1.png","figure")</f>
        <v>figure</v>
      </c>
      <c r="Q91" t="s">
        <v>15</v>
      </c>
    </row>
    <row r="92" spans="1:17" x14ac:dyDescent="0.25">
      <c r="A92">
        <v>91</v>
      </c>
      <c r="B92">
        <v>13</v>
      </c>
      <c r="C92" t="s">
        <v>16</v>
      </c>
      <c r="D92" t="s">
        <v>17</v>
      </c>
      <c r="E92" t="s">
        <v>49</v>
      </c>
      <c r="F92" t="s">
        <v>28</v>
      </c>
      <c r="G92" t="s">
        <v>25</v>
      </c>
      <c r="H92" t="s">
        <v>21</v>
      </c>
      <c r="I92" t="s">
        <v>22</v>
      </c>
      <c r="J92" t="s">
        <v>148</v>
      </c>
      <c r="K92" t="s">
        <v>23</v>
      </c>
      <c r="L92">
        <v>844</v>
      </c>
      <c r="M92">
        <v>12.945197800000001</v>
      </c>
      <c r="N92">
        <v>230.31494295782457</v>
      </c>
      <c r="O92">
        <v>-1.163339429164527E-2</v>
      </c>
      <c r="P92" s="1" t="str">
        <f>HYPERLINK(".\sm_car_250805_2313\sm_car_250805_2313_091_Ca013TrN_MaWOT_DrSt_ode23t_1.png","figure")</f>
        <v>figure</v>
      </c>
      <c r="Q92" t="s">
        <v>15</v>
      </c>
    </row>
    <row r="93" spans="1:17" x14ac:dyDescent="0.25">
      <c r="A93">
        <v>92</v>
      </c>
      <c r="B93">
        <v>13</v>
      </c>
      <c r="C93" t="s">
        <v>16</v>
      </c>
      <c r="D93" t="s">
        <v>17</v>
      </c>
      <c r="E93" t="s">
        <v>49</v>
      </c>
      <c r="F93" t="s">
        <v>28</v>
      </c>
      <c r="G93" t="s">
        <v>25</v>
      </c>
      <c r="H93" t="s">
        <v>21</v>
      </c>
      <c r="I93" t="s">
        <v>24</v>
      </c>
      <c r="J93" t="s">
        <v>148</v>
      </c>
      <c r="K93" t="s">
        <v>23</v>
      </c>
      <c r="L93">
        <v>991</v>
      </c>
      <c r="M93">
        <v>15.479702899999999</v>
      </c>
      <c r="N93">
        <v>70.957398211623854</v>
      </c>
      <c r="O93">
        <v>-0.54007135619628355</v>
      </c>
      <c r="P93" s="1" t="str">
        <f>HYPERLINK(".\sm_car_250805_2313\sm_car_250805_2313_092_Ca013TrN_MaLSS_DrSt_ode23t_1.png","figure")</f>
        <v>figure</v>
      </c>
      <c r="Q93" t="s">
        <v>15</v>
      </c>
    </row>
    <row r="94" spans="1:17" x14ac:dyDescent="0.25">
      <c r="A94">
        <v>93</v>
      </c>
      <c r="B94">
        <v>120</v>
      </c>
      <c r="C94" t="s">
        <v>16</v>
      </c>
      <c r="D94" t="s">
        <v>35</v>
      </c>
      <c r="E94" t="s">
        <v>49</v>
      </c>
      <c r="F94" t="s">
        <v>19</v>
      </c>
      <c r="G94" t="s">
        <v>20</v>
      </c>
      <c r="H94" t="s">
        <v>21</v>
      </c>
      <c r="I94" t="s">
        <v>22</v>
      </c>
      <c r="J94" t="s">
        <v>148</v>
      </c>
      <c r="K94" t="s">
        <v>23</v>
      </c>
      <c r="L94">
        <v>416</v>
      </c>
      <c r="M94">
        <v>3.4858858000000001</v>
      </c>
      <c r="N94">
        <v>242.69170005986123</v>
      </c>
      <c r="O94">
        <v>0.23529589119818642</v>
      </c>
      <c r="P94" s="1" t="str">
        <f>HYPERLINK(".\sm_car_250805_2313\sm_car_250805_2313_093_Ca120TrN_MaWOT_DrSt_ode23t_1.png","figure")</f>
        <v>figure</v>
      </c>
      <c r="Q94" t="s">
        <v>15</v>
      </c>
    </row>
    <row r="95" spans="1:17" x14ac:dyDescent="0.25">
      <c r="A95">
        <v>94</v>
      </c>
      <c r="B95">
        <v>120</v>
      </c>
      <c r="C95" t="s">
        <v>16</v>
      </c>
      <c r="D95" t="s">
        <v>35</v>
      </c>
      <c r="E95" t="s">
        <v>49</v>
      </c>
      <c r="F95" t="s">
        <v>19</v>
      </c>
      <c r="G95" t="s">
        <v>20</v>
      </c>
      <c r="H95" t="s">
        <v>21</v>
      </c>
      <c r="I95" t="s">
        <v>24</v>
      </c>
      <c r="J95" t="s">
        <v>148</v>
      </c>
      <c r="K95" t="s">
        <v>23</v>
      </c>
      <c r="L95">
        <v>534</v>
      </c>
      <c r="M95">
        <v>4.1690670000000001</v>
      </c>
      <c r="N95">
        <v>74.671860856374394</v>
      </c>
      <c r="O95">
        <v>-0.33802521122689189</v>
      </c>
      <c r="P95" s="1" t="str">
        <f>HYPERLINK(".\sm_car_250805_2313\sm_car_250805_2313_094_Ca120TrN_MaLSS_DrSt_ode23t_1.png","figure")</f>
        <v>figure</v>
      </c>
      <c r="Q95" t="s">
        <v>15</v>
      </c>
    </row>
    <row r="96" spans="1:17" x14ac:dyDescent="0.25">
      <c r="A96">
        <v>95</v>
      </c>
      <c r="B96">
        <v>126</v>
      </c>
      <c r="C96" t="s">
        <v>16</v>
      </c>
      <c r="D96" t="s">
        <v>35</v>
      </c>
      <c r="E96" t="s">
        <v>49</v>
      </c>
      <c r="F96" t="s">
        <v>28</v>
      </c>
      <c r="G96" t="s">
        <v>26</v>
      </c>
      <c r="H96" t="s">
        <v>21</v>
      </c>
      <c r="I96" t="s">
        <v>22</v>
      </c>
      <c r="J96" t="s">
        <v>148</v>
      </c>
      <c r="K96" t="s">
        <v>23</v>
      </c>
      <c r="L96">
        <v>1022</v>
      </c>
      <c r="M96">
        <v>5.3769369999999999</v>
      </c>
      <c r="N96">
        <v>241.42429127761443</v>
      </c>
      <c r="O96">
        <v>0.23237271039626015</v>
      </c>
      <c r="P96" s="1" t="str">
        <f>HYPERLINK(".\sm_car_250805_2313\sm_car_250805_2313_095_Ca126TrN_MaWOT_DrSt_ode23t_1.png","figure")</f>
        <v>figure</v>
      </c>
      <c r="Q96" t="s">
        <v>15</v>
      </c>
    </row>
    <row r="97" spans="1:17" x14ac:dyDescent="0.25">
      <c r="A97">
        <v>96</v>
      </c>
      <c r="B97">
        <v>126</v>
      </c>
      <c r="C97" t="s">
        <v>16</v>
      </c>
      <c r="D97" t="s">
        <v>35</v>
      </c>
      <c r="E97" t="s">
        <v>49</v>
      </c>
      <c r="F97" t="s">
        <v>28</v>
      </c>
      <c r="G97" t="s">
        <v>26</v>
      </c>
      <c r="H97" t="s">
        <v>21</v>
      </c>
      <c r="I97" t="s">
        <v>24</v>
      </c>
      <c r="J97" t="s">
        <v>148</v>
      </c>
      <c r="K97" t="s">
        <v>23</v>
      </c>
      <c r="L97">
        <v>1150</v>
      </c>
      <c r="M97">
        <v>6.2364027999999996</v>
      </c>
      <c r="N97">
        <v>74.340995503894902</v>
      </c>
      <c r="O97">
        <v>-0.33748833115755278</v>
      </c>
      <c r="P97" s="1" t="str">
        <f>HYPERLINK(".\sm_car_250805_2313\sm_car_250805_2313_096_Ca126TrN_MaLSS_DrSt_ode23t_1.png","figure")</f>
        <v>figure</v>
      </c>
      <c r="Q97" t="s">
        <v>15</v>
      </c>
    </row>
    <row r="98" spans="1:17" x14ac:dyDescent="0.25">
      <c r="A98">
        <v>97</v>
      </c>
      <c r="B98">
        <v>127</v>
      </c>
      <c r="C98" t="s">
        <v>16</v>
      </c>
      <c r="D98" t="s">
        <v>35</v>
      </c>
      <c r="E98" t="s">
        <v>49</v>
      </c>
      <c r="F98" t="s">
        <v>28</v>
      </c>
      <c r="G98" t="s">
        <v>27</v>
      </c>
      <c r="H98" t="s">
        <v>21</v>
      </c>
      <c r="I98" t="s">
        <v>22</v>
      </c>
      <c r="J98" t="s">
        <v>148</v>
      </c>
      <c r="K98" t="s">
        <v>23</v>
      </c>
      <c r="L98">
        <v>1041</v>
      </c>
      <c r="M98">
        <v>5.6445790999999996</v>
      </c>
      <c r="N98">
        <v>241.06397262605256</v>
      </c>
      <c r="O98">
        <v>0.23099334011230935</v>
      </c>
      <c r="P98" s="1" t="str">
        <f>HYPERLINK(".\sm_car_250805_2313\sm_car_250805_2313_097_Ca127TrN_MaWOT_DrSt_ode23t_1.png","figure")</f>
        <v>figure</v>
      </c>
      <c r="Q98" t="s">
        <v>15</v>
      </c>
    </row>
    <row r="99" spans="1:17" x14ac:dyDescent="0.25">
      <c r="A99">
        <v>98</v>
      </c>
      <c r="B99">
        <v>127</v>
      </c>
      <c r="C99" t="s">
        <v>16</v>
      </c>
      <c r="D99" t="s">
        <v>35</v>
      </c>
      <c r="E99" t="s">
        <v>49</v>
      </c>
      <c r="F99" t="s">
        <v>28</v>
      </c>
      <c r="G99" t="s">
        <v>27</v>
      </c>
      <c r="H99" t="s">
        <v>21</v>
      </c>
      <c r="I99" t="s">
        <v>24</v>
      </c>
      <c r="J99" t="s">
        <v>148</v>
      </c>
      <c r="K99" t="s">
        <v>23</v>
      </c>
      <c r="L99">
        <v>1164</v>
      </c>
      <c r="M99">
        <v>6.5250859999999999</v>
      </c>
      <c r="N99">
        <v>74.196184129810632</v>
      </c>
      <c r="O99">
        <v>-0.33374548531953496</v>
      </c>
      <c r="P99" s="1" t="str">
        <f>HYPERLINK(".\sm_car_250805_2313\sm_car_250805_2313_098_Ca127TrN_MaLSS_DrSt_ode23t_1.png","figure")</f>
        <v>figure</v>
      </c>
      <c r="Q99" t="s">
        <v>15</v>
      </c>
    </row>
    <row r="100" spans="1:17" x14ac:dyDescent="0.25">
      <c r="A100">
        <v>99</v>
      </c>
      <c r="B100">
        <v>145</v>
      </c>
      <c r="C100" t="s">
        <v>46</v>
      </c>
      <c r="D100" t="s">
        <v>17</v>
      </c>
      <c r="E100" t="s">
        <v>50</v>
      </c>
      <c r="F100" t="s">
        <v>19</v>
      </c>
      <c r="G100" t="s">
        <v>26</v>
      </c>
      <c r="H100" t="s">
        <v>21</v>
      </c>
      <c r="I100" t="s">
        <v>22</v>
      </c>
      <c r="J100" t="s">
        <v>148</v>
      </c>
      <c r="K100" t="s">
        <v>23</v>
      </c>
      <c r="L100">
        <v>336</v>
      </c>
      <c r="M100">
        <v>13.0676977</v>
      </c>
      <c r="N100">
        <v>62.667817520691372</v>
      </c>
      <c r="O100">
        <v>1.9354865030352032E-2</v>
      </c>
      <c r="P100" s="1" t="str">
        <f>HYPERLINK(".\sm_car_250805_2313\sm_car_250805_2313_099_Ca145TrN_MaWOT_DrSt_ode23t_1.png","figure")</f>
        <v>figure</v>
      </c>
      <c r="Q100" t="s">
        <v>15</v>
      </c>
    </row>
    <row r="101" spans="1:17" x14ac:dyDescent="0.25">
      <c r="A101">
        <v>100</v>
      </c>
      <c r="B101">
        <v>145</v>
      </c>
      <c r="C101" t="s">
        <v>46</v>
      </c>
      <c r="D101" t="s">
        <v>17</v>
      </c>
      <c r="E101" t="s">
        <v>50</v>
      </c>
      <c r="F101" t="s">
        <v>19</v>
      </c>
      <c r="G101" t="s">
        <v>26</v>
      </c>
      <c r="H101" t="s">
        <v>21</v>
      </c>
      <c r="I101" t="s">
        <v>24</v>
      </c>
      <c r="J101" t="s">
        <v>148</v>
      </c>
      <c r="K101" t="s">
        <v>23</v>
      </c>
      <c r="L101">
        <v>459</v>
      </c>
      <c r="M101">
        <v>17.333445699999999</v>
      </c>
      <c r="N101">
        <v>25.004419746450679</v>
      </c>
      <c r="O101">
        <v>-4.958993585098264E-2</v>
      </c>
      <c r="P101" s="1" t="str">
        <f>HYPERLINK(".\sm_car_250805_2313\sm_car_250805_2313_100_Ca145TrN_MaLSS_DrSt_ode23t_1.png","figure")</f>
        <v>figure</v>
      </c>
      <c r="Q101" t="s">
        <v>15</v>
      </c>
    </row>
    <row r="102" spans="1:17" x14ac:dyDescent="0.25">
      <c r="A102">
        <v>101</v>
      </c>
      <c r="B102">
        <v>184</v>
      </c>
      <c r="C102" t="s">
        <v>105</v>
      </c>
      <c r="D102" t="s">
        <v>120</v>
      </c>
      <c r="E102" t="s">
        <v>49</v>
      </c>
      <c r="F102" t="s">
        <v>19</v>
      </c>
      <c r="G102" t="s">
        <v>20</v>
      </c>
      <c r="H102" t="s">
        <v>21</v>
      </c>
      <c r="I102" t="s">
        <v>22</v>
      </c>
      <c r="J102" t="s">
        <v>148</v>
      </c>
      <c r="K102" t="s">
        <v>23</v>
      </c>
      <c r="L102">
        <v>311</v>
      </c>
      <c r="M102">
        <v>15.2068753</v>
      </c>
      <c r="N102">
        <v>294.64546055066154</v>
      </c>
      <c r="O102">
        <v>5.9485018793192866E-4</v>
      </c>
      <c r="P102" s="1" t="str">
        <f>HYPERLINK(".\sm_car_250805_2313\sm_car_250805_2313_101_Ca184TrN_MaWOT_DrSt_ode23t_1.png","figure")</f>
        <v>figure</v>
      </c>
      <c r="Q102" t="s">
        <v>15</v>
      </c>
    </row>
    <row r="103" spans="1:17" x14ac:dyDescent="0.25">
      <c r="A103">
        <v>102</v>
      </c>
      <c r="B103">
        <v>184</v>
      </c>
      <c r="C103" t="s">
        <v>105</v>
      </c>
      <c r="D103" t="s">
        <v>120</v>
      </c>
      <c r="E103" t="s">
        <v>49</v>
      </c>
      <c r="F103" t="s">
        <v>19</v>
      </c>
      <c r="G103" t="s">
        <v>20</v>
      </c>
      <c r="H103" t="s">
        <v>21</v>
      </c>
      <c r="I103" t="s">
        <v>24</v>
      </c>
      <c r="J103" t="s">
        <v>148</v>
      </c>
      <c r="K103" t="s">
        <v>23</v>
      </c>
      <c r="L103">
        <v>481</v>
      </c>
      <c r="M103">
        <v>11.1275811</v>
      </c>
      <c r="N103">
        <v>103.56281476907209</v>
      </c>
      <c r="O103">
        <v>-0.21255854813123123</v>
      </c>
      <c r="P103" s="1" t="str">
        <f>HYPERLINK(".\sm_car_250805_2313\sm_car_250805_2313_102_Ca184TrN_MaLSS_DrSt_ode23t_1.png","figure")</f>
        <v>figure</v>
      </c>
      <c r="Q103" t="s">
        <v>15</v>
      </c>
    </row>
    <row r="104" spans="1:17" x14ac:dyDescent="0.25">
      <c r="A104">
        <v>103</v>
      </c>
      <c r="B104">
        <v>217</v>
      </c>
      <c r="C104" t="s">
        <v>45</v>
      </c>
      <c r="D104" t="s">
        <v>17</v>
      </c>
      <c r="E104" t="s">
        <v>107</v>
      </c>
      <c r="F104" t="s">
        <v>119</v>
      </c>
      <c r="G104" t="s">
        <v>26</v>
      </c>
      <c r="H104" t="s">
        <v>21</v>
      </c>
      <c r="I104" t="s">
        <v>22</v>
      </c>
      <c r="J104" t="s">
        <v>148</v>
      </c>
      <c r="K104" t="s">
        <v>23</v>
      </c>
      <c r="L104">
        <v>730</v>
      </c>
      <c r="M104">
        <v>31.1925168</v>
      </c>
      <c r="N104">
        <v>278.53758847351867</v>
      </c>
      <c r="O104">
        <v>0.73464819476723753</v>
      </c>
      <c r="P104" s="1" t="str">
        <f>HYPERLINK(".\sm_car_250805_2313\sm_car_250805_2313_103_Ca217TrN_MaWOT_DrSt_ode23t_1.png","figure")</f>
        <v>figure</v>
      </c>
      <c r="Q104" t="s">
        <v>15</v>
      </c>
    </row>
    <row r="105" spans="1:17" x14ac:dyDescent="0.25">
      <c r="A105">
        <v>104</v>
      </c>
      <c r="B105">
        <v>217</v>
      </c>
      <c r="C105" t="s">
        <v>45</v>
      </c>
      <c r="D105" t="s">
        <v>17</v>
      </c>
      <c r="E105" t="s">
        <v>107</v>
      </c>
      <c r="F105" t="s">
        <v>119</v>
      </c>
      <c r="G105" t="s">
        <v>26</v>
      </c>
      <c r="H105" t="s">
        <v>21</v>
      </c>
      <c r="I105" t="s">
        <v>24</v>
      </c>
      <c r="J105" t="s">
        <v>148</v>
      </c>
      <c r="K105" t="s">
        <v>23</v>
      </c>
      <c r="L105">
        <v>855</v>
      </c>
      <c r="M105">
        <v>36.142319800000003</v>
      </c>
      <c r="N105">
        <v>110.06649911149103</v>
      </c>
      <c r="O105">
        <v>-0.35830147743820601</v>
      </c>
      <c r="P105" s="1" t="str">
        <f>HYPERLINK(".\sm_car_250805_2313\sm_car_250805_2313_104_Ca217TrN_MaLSS_DrSt_ode23t_1.png","figure")</f>
        <v>figure</v>
      </c>
      <c r="Q105" t="s">
        <v>15</v>
      </c>
    </row>
    <row r="106" spans="1:17" x14ac:dyDescent="0.25">
      <c r="A106">
        <v>105</v>
      </c>
      <c r="B106">
        <v>12</v>
      </c>
      <c r="C106" t="s">
        <v>16</v>
      </c>
      <c r="D106" t="s">
        <v>17</v>
      </c>
      <c r="E106" t="s">
        <v>49</v>
      </c>
      <c r="F106" t="s">
        <v>28</v>
      </c>
      <c r="G106" t="s">
        <v>20</v>
      </c>
      <c r="H106" t="s">
        <v>21</v>
      </c>
      <c r="I106" t="s">
        <v>53</v>
      </c>
      <c r="J106" t="s">
        <v>148</v>
      </c>
      <c r="K106" t="s">
        <v>23</v>
      </c>
      <c r="L106">
        <v>874</v>
      </c>
      <c r="M106">
        <v>10.827161</v>
      </c>
      <c r="N106">
        <v>255.87964013779896</v>
      </c>
      <c r="O106">
        <v>3.8709658327165108E-2</v>
      </c>
      <c r="P106" s="1" t="str">
        <f>HYPERLINK(".\sm_car_250805_2313\sm_car_250805_2313_105_Ca012TrN_MaDLC_DrSt_ode23t_1.png","figure")</f>
        <v>figure</v>
      </c>
      <c r="Q106" t="s">
        <v>15</v>
      </c>
    </row>
    <row r="107" spans="1:17" x14ac:dyDescent="0.25">
      <c r="A107">
        <v>106</v>
      </c>
      <c r="B107">
        <v>12</v>
      </c>
      <c r="C107" t="s">
        <v>16</v>
      </c>
      <c r="D107" t="s">
        <v>17</v>
      </c>
      <c r="E107" t="s">
        <v>49</v>
      </c>
      <c r="F107" t="s">
        <v>28</v>
      </c>
      <c r="G107" t="s">
        <v>20</v>
      </c>
      <c r="H107" t="s">
        <v>21</v>
      </c>
      <c r="I107" t="s">
        <v>54</v>
      </c>
      <c r="J107" t="s">
        <v>148</v>
      </c>
      <c r="K107" t="s">
        <v>23</v>
      </c>
      <c r="L107">
        <v>905</v>
      </c>
      <c r="M107">
        <v>13.071122300000001</v>
      </c>
      <c r="N107">
        <v>74.803230935398346</v>
      </c>
      <c r="O107">
        <v>0.72015006339983412</v>
      </c>
      <c r="P107" s="1" t="str">
        <f>HYPERLINK(".\sm_car_250805_2313\sm_car_250805_2313_106_Ca012TrN_MaIPA_DrSt_ode23t_1.png","figure")</f>
        <v>figure</v>
      </c>
      <c r="Q107" t="s">
        <v>15</v>
      </c>
    </row>
    <row r="108" spans="1:17" x14ac:dyDescent="0.25">
      <c r="A108">
        <v>107</v>
      </c>
      <c r="B108">
        <v>142</v>
      </c>
      <c r="C108" t="s">
        <v>45</v>
      </c>
      <c r="D108" t="s">
        <v>17</v>
      </c>
      <c r="E108" t="s">
        <v>49</v>
      </c>
      <c r="F108" t="s">
        <v>28</v>
      </c>
      <c r="G108" t="s">
        <v>26</v>
      </c>
      <c r="H108" t="s">
        <v>21</v>
      </c>
      <c r="I108" t="s">
        <v>53</v>
      </c>
      <c r="J108" t="s">
        <v>148</v>
      </c>
      <c r="K108" t="s">
        <v>23</v>
      </c>
      <c r="L108">
        <v>987</v>
      </c>
      <c r="M108">
        <v>16.205754200000001</v>
      </c>
      <c r="N108">
        <v>255.42526739897494</v>
      </c>
      <c r="O108">
        <v>-6.1815721628679654E-3</v>
      </c>
      <c r="P108" s="1" t="str">
        <f>HYPERLINK(".\sm_car_250805_2313\sm_car_250805_2313_107_Ca142TrN_MaDLC_DrSt_ode23t_1.png","figure")</f>
        <v>figure</v>
      </c>
      <c r="Q108" t="s">
        <v>15</v>
      </c>
    </row>
    <row r="109" spans="1:17" x14ac:dyDescent="0.25">
      <c r="A109">
        <v>108</v>
      </c>
      <c r="B109">
        <v>142</v>
      </c>
      <c r="C109" t="s">
        <v>45</v>
      </c>
      <c r="D109" t="s">
        <v>17</v>
      </c>
      <c r="E109" t="s">
        <v>49</v>
      </c>
      <c r="F109" t="s">
        <v>28</v>
      </c>
      <c r="G109" t="s">
        <v>26</v>
      </c>
      <c r="H109" t="s">
        <v>21</v>
      </c>
      <c r="I109" t="s">
        <v>54</v>
      </c>
      <c r="J109" t="s">
        <v>148</v>
      </c>
      <c r="K109" t="s">
        <v>23</v>
      </c>
      <c r="L109">
        <v>2560</v>
      </c>
      <c r="M109">
        <v>110.1339565</v>
      </c>
      <c r="N109">
        <v>83.366481503190599</v>
      </c>
      <c r="O109">
        <v>0.84827494915303792</v>
      </c>
      <c r="P109" s="1" t="str">
        <f>HYPERLINK(".\sm_car_250805_2313\sm_car_250805_2313_108_Ca142TrN_MaIPA_DrSt_ode23t_1.png","figure")</f>
        <v>figure</v>
      </c>
      <c r="Q109" t="s">
        <v>15</v>
      </c>
    </row>
    <row r="110" spans="1:17" x14ac:dyDescent="0.25">
      <c r="A110">
        <v>109</v>
      </c>
      <c r="B110">
        <v>145</v>
      </c>
      <c r="C110" t="s">
        <v>46</v>
      </c>
      <c r="D110" t="s">
        <v>17</v>
      </c>
      <c r="E110" t="s">
        <v>50</v>
      </c>
      <c r="F110" t="s">
        <v>19</v>
      </c>
      <c r="G110" t="s">
        <v>26</v>
      </c>
      <c r="H110" t="s">
        <v>21</v>
      </c>
      <c r="I110" t="s">
        <v>53</v>
      </c>
      <c r="J110" t="s">
        <v>148</v>
      </c>
      <c r="K110" t="s">
        <v>23</v>
      </c>
      <c r="L110">
        <v>462</v>
      </c>
      <c r="M110">
        <v>15.2573267</v>
      </c>
      <c r="N110">
        <v>254.78812653388439</v>
      </c>
      <c r="O110">
        <v>7.0748771984574077E-2</v>
      </c>
      <c r="P110" s="1" t="str">
        <f>HYPERLINK(".\sm_car_250805_2313\sm_car_250805_2313_109_Ca145TrN_MaDLC_DrSt_ode23t_1.png","figure")</f>
        <v>figure</v>
      </c>
      <c r="Q110" t="s">
        <v>15</v>
      </c>
    </row>
    <row r="111" spans="1:17" x14ac:dyDescent="0.25">
      <c r="A111">
        <v>110</v>
      </c>
      <c r="B111">
        <v>145</v>
      </c>
      <c r="C111" t="s">
        <v>46</v>
      </c>
      <c r="D111" t="s">
        <v>17</v>
      </c>
      <c r="E111" t="s">
        <v>50</v>
      </c>
      <c r="F111" t="s">
        <v>19</v>
      </c>
      <c r="G111" t="s">
        <v>26</v>
      </c>
      <c r="H111" t="s">
        <v>21</v>
      </c>
      <c r="I111" t="s">
        <v>54</v>
      </c>
      <c r="J111" t="s">
        <v>148</v>
      </c>
      <c r="K111" t="s">
        <v>23</v>
      </c>
      <c r="L111">
        <v>325</v>
      </c>
      <c r="M111">
        <v>11.6458183</v>
      </c>
      <c r="N111">
        <v>28.088133495090787</v>
      </c>
      <c r="O111">
        <v>1.5909540235382741E-2</v>
      </c>
      <c r="P111" s="1" t="str">
        <f>HYPERLINK(".\sm_car_250805_2313\sm_car_250805_2313_110_Ca145TrN_MaIPA_DrSt_ode23t_1.png","figure")</f>
        <v>figure</v>
      </c>
      <c r="Q111" t="s">
        <v>15</v>
      </c>
    </row>
    <row r="112" spans="1:17" x14ac:dyDescent="0.25">
      <c r="A112">
        <v>111</v>
      </c>
      <c r="B112">
        <v>184</v>
      </c>
      <c r="C112" t="s">
        <v>105</v>
      </c>
      <c r="D112" t="s">
        <v>120</v>
      </c>
      <c r="E112" t="s">
        <v>49</v>
      </c>
      <c r="F112" t="s">
        <v>19</v>
      </c>
      <c r="G112" t="s">
        <v>20</v>
      </c>
      <c r="H112" t="s">
        <v>21</v>
      </c>
      <c r="I112" t="s">
        <v>53</v>
      </c>
      <c r="J112" t="s">
        <v>148</v>
      </c>
      <c r="K112" t="s">
        <v>23</v>
      </c>
      <c r="L112">
        <v>377</v>
      </c>
      <c r="M112">
        <v>10.161552</v>
      </c>
      <c r="N112">
        <v>256.81707686834653</v>
      </c>
      <c r="O112">
        <v>8.1702702484154344E-3</v>
      </c>
      <c r="P112" s="1" t="str">
        <f>HYPERLINK(".\sm_car_250805_2313\sm_car_250805_2313_111_Ca184TrN_MaDLC_DrSt_ode23t_1.png","figure")</f>
        <v>figure</v>
      </c>
      <c r="Q112" t="s">
        <v>15</v>
      </c>
    </row>
    <row r="113" spans="1:17" x14ac:dyDescent="0.25">
      <c r="A113">
        <v>112</v>
      </c>
      <c r="B113">
        <v>184</v>
      </c>
      <c r="C113" t="s">
        <v>105</v>
      </c>
      <c r="D113" t="s">
        <v>120</v>
      </c>
      <c r="E113" t="s">
        <v>49</v>
      </c>
      <c r="F113" t="s">
        <v>19</v>
      </c>
      <c r="G113" t="s">
        <v>20</v>
      </c>
      <c r="H113" t="s">
        <v>21</v>
      </c>
      <c r="I113" t="s">
        <v>54</v>
      </c>
      <c r="J113" t="s">
        <v>148</v>
      </c>
      <c r="K113" t="s">
        <v>23</v>
      </c>
      <c r="L113">
        <v>316</v>
      </c>
      <c r="M113">
        <v>12.6107558</v>
      </c>
      <c r="N113">
        <v>55.272298865534218</v>
      </c>
      <c r="O113">
        <v>5.8677306534421622E-3</v>
      </c>
      <c r="P113" s="1" t="str">
        <f>HYPERLINK(".\sm_car_250805_2313\sm_car_250805_2313_112_Ca184TrN_MaIPA_DrSt_ode23t_1.png","figure")</f>
        <v>figure</v>
      </c>
      <c r="Q113" t="s">
        <v>15</v>
      </c>
    </row>
    <row r="114" spans="1:17" x14ac:dyDescent="0.25">
      <c r="A114">
        <v>113</v>
      </c>
      <c r="B114">
        <v>204</v>
      </c>
      <c r="C114" t="s">
        <v>105</v>
      </c>
      <c r="D114" t="s">
        <v>106</v>
      </c>
      <c r="E114" t="s">
        <v>18</v>
      </c>
      <c r="F114" t="s">
        <v>19</v>
      </c>
      <c r="G114" t="s">
        <v>20</v>
      </c>
      <c r="H114" t="s">
        <v>21</v>
      </c>
      <c r="I114" t="s">
        <v>53</v>
      </c>
      <c r="J114" t="s">
        <v>148</v>
      </c>
      <c r="K114" t="s">
        <v>23</v>
      </c>
      <c r="L114">
        <v>1846</v>
      </c>
      <c r="M114">
        <v>24.7784853</v>
      </c>
      <c r="N114">
        <v>254.66277026108662</v>
      </c>
      <c r="O114">
        <v>1.8069888375600307E-2</v>
      </c>
      <c r="P114" s="1" t="str">
        <f>HYPERLINK(".\sm_car_250805_2313\sm_car_250805_2313_113_Ca204TrN_MaDLC_DrSt_ode23t_1.png","figure")</f>
        <v>figure</v>
      </c>
      <c r="Q114" t="s">
        <v>15</v>
      </c>
    </row>
    <row r="115" spans="1:17" x14ac:dyDescent="0.25">
      <c r="A115">
        <v>114</v>
      </c>
      <c r="B115">
        <v>204</v>
      </c>
      <c r="C115" t="s">
        <v>105</v>
      </c>
      <c r="D115" t="s">
        <v>106</v>
      </c>
      <c r="E115" t="s">
        <v>18</v>
      </c>
      <c r="F115" t="s">
        <v>19</v>
      </c>
      <c r="G115" t="s">
        <v>20</v>
      </c>
      <c r="H115" t="s">
        <v>21</v>
      </c>
      <c r="I115" t="s">
        <v>54</v>
      </c>
      <c r="J115" t="s">
        <v>148</v>
      </c>
      <c r="K115" t="s">
        <v>23</v>
      </c>
      <c r="L115">
        <v>663</v>
      </c>
      <c r="M115">
        <v>10.9072023</v>
      </c>
      <c r="N115">
        <v>26.034582908336471</v>
      </c>
      <c r="O115">
        <v>9.6641497332310318E-3</v>
      </c>
      <c r="P115" s="1" t="str">
        <f>HYPERLINK(".\sm_car_250805_2313\sm_car_250805_2313_114_Ca204TrN_MaIPA_DrSt_ode23t_1.png","figure")</f>
        <v>figure</v>
      </c>
      <c r="Q115" t="s">
        <v>15</v>
      </c>
    </row>
    <row r="116" spans="1:17" x14ac:dyDescent="0.25">
      <c r="A116">
        <v>115</v>
      </c>
      <c r="B116">
        <v>12</v>
      </c>
      <c r="C116" t="s">
        <v>16</v>
      </c>
      <c r="D116" t="s">
        <v>17</v>
      </c>
      <c r="E116" t="s">
        <v>49</v>
      </c>
      <c r="F116" t="s">
        <v>28</v>
      </c>
      <c r="G116" t="s">
        <v>20</v>
      </c>
      <c r="H116" t="s">
        <v>21</v>
      </c>
      <c r="I116" t="s">
        <v>55</v>
      </c>
      <c r="J116" t="s">
        <v>148</v>
      </c>
      <c r="K116" t="s">
        <v>23</v>
      </c>
      <c r="L116">
        <v>2565</v>
      </c>
      <c r="M116">
        <v>25.831977899999998</v>
      </c>
      <c r="N116">
        <v>-1.9573682360874353E-2</v>
      </c>
      <c r="O116">
        <v>-0.64628037691953688</v>
      </c>
      <c r="P116" s="1" t="str">
        <f>HYPERLINK(".\sm_car_250805_2313\sm_car_250805_2313_115_Ca012TrN_MaMPK_DrSt_ode23t_1.png","figure")</f>
        <v>figure</v>
      </c>
      <c r="Q116" t="s">
        <v>15</v>
      </c>
    </row>
    <row r="117" spans="1:17" x14ac:dyDescent="0.25">
      <c r="A117">
        <v>116</v>
      </c>
      <c r="B117">
        <v>12</v>
      </c>
      <c r="C117" t="s">
        <v>16</v>
      </c>
      <c r="D117" t="s">
        <v>17</v>
      </c>
      <c r="E117" t="s">
        <v>49</v>
      </c>
      <c r="F117" t="s">
        <v>28</v>
      </c>
      <c r="G117" t="s">
        <v>20</v>
      </c>
      <c r="H117" t="s">
        <v>21</v>
      </c>
      <c r="I117" t="s">
        <v>55</v>
      </c>
      <c r="J117" t="s">
        <v>149</v>
      </c>
      <c r="K117" t="s">
        <v>23</v>
      </c>
      <c r="L117">
        <v>2395</v>
      </c>
      <c r="M117">
        <v>22.894133799999999</v>
      </c>
      <c r="N117">
        <v>-9.450028822963405E-3</v>
      </c>
      <c r="O117">
        <v>-3.8670221980567618E-2</v>
      </c>
      <c r="P117" s="1" t="str">
        <f>HYPERLINK(".\sm_car_250805_2313\sm_car_250805_2313_116_Ca012TrN_MaMPK_DrSt_ode23t_1.png","figure")</f>
        <v>figure</v>
      </c>
      <c r="Q117" t="s">
        <v>15</v>
      </c>
    </row>
    <row r="118" spans="1:17" x14ac:dyDescent="0.25">
      <c r="A118">
        <v>117</v>
      </c>
      <c r="B118">
        <v>12</v>
      </c>
      <c r="C118" t="s">
        <v>16</v>
      </c>
      <c r="D118" t="s">
        <v>17</v>
      </c>
      <c r="E118" t="s">
        <v>49</v>
      </c>
      <c r="F118" t="s">
        <v>28</v>
      </c>
      <c r="G118" t="s">
        <v>20</v>
      </c>
      <c r="H118" t="s">
        <v>21</v>
      </c>
      <c r="I118" t="s">
        <v>56</v>
      </c>
      <c r="J118" t="s">
        <v>148</v>
      </c>
      <c r="K118" t="s">
        <v>23</v>
      </c>
      <c r="L118">
        <v>2416</v>
      </c>
      <c r="M118">
        <v>26.152130700000001</v>
      </c>
      <c r="N118">
        <v>0.78944818759431001</v>
      </c>
      <c r="O118">
        <v>-0.33072074728839612</v>
      </c>
      <c r="P118" s="1" t="str">
        <f>HYPERLINK(".\sm_car_250805_2313\sm_car_250805_2313_117_Ca012TrN_MaMPC_DrSt_ode23t_1.png","figure")</f>
        <v>figure</v>
      </c>
      <c r="Q118" t="s">
        <v>15</v>
      </c>
    </row>
    <row r="119" spans="1:17" x14ac:dyDescent="0.25">
      <c r="A119">
        <v>118</v>
      </c>
      <c r="B119">
        <v>12</v>
      </c>
      <c r="C119" t="s">
        <v>16</v>
      </c>
      <c r="D119" t="s">
        <v>17</v>
      </c>
      <c r="E119" t="s">
        <v>49</v>
      </c>
      <c r="F119" t="s">
        <v>28</v>
      </c>
      <c r="G119" t="s">
        <v>20</v>
      </c>
      <c r="H119" t="s">
        <v>21</v>
      </c>
      <c r="I119" t="s">
        <v>56</v>
      </c>
      <c r="J119" t="s">
        <v>149</v>
      </c>
      <c r="K119" t="s">
        <v>23</v>
      </c>
      <c r="L119">
        <v>2248</v>
      </c>
      <c r="M119">
        <v>23.7707862</v>
      </c>
      <c r="N119">
        <v>0.78896453770658148</v>
      </c>
      <c r="O119">
        <v>0.10652229320185631</v>
      </c>
      <c r="P119" s="1" t="str">
        <f>HYPERLINK(".\sm_car_250805_2313\sm_car_250805_2313_118_Ca012TrN_MaMPC_DrSt_ode23t_1.png","figure")</f>
        <v>figure</v>
      </c>
      <c r="Q119" t="s">
        <v>15</v>
      </c>
    </row>
    <row r="120" spans="1:17" x14ac:dyDescent="0.25">
      <c r="A120">
        <v>119</v>
      </c>
      <c r="B120">
        <v>142</v>
      </c>
      <c r="C120" t="s">
        <v>45</v>
      </c>
      <c r="D120" t="s">
        <v>17</v>
      </c>
      <c r="E120" t="s">
        <v>49</v>
      </c>
      <c r="F120" t="s">
        <v>28</v>
      </c>
      <c r="G120" t="s">
        <v>26</v>
      </c>
      <c r="H120" t="s">
        <v>21</v>
      </c>
      <c r="I120" t="s">
        <v>55</v>
      </c>
      <c r="J120" t="s">
        <v>148</v>
      </c>
      <c r="K120" t="s">
        <v>23</v>
      </c>
      <c r="L120">
        <v>2553</v>
      </c>
      <c r="M120">
        <v>47.760989799999997</v>
      </c>
      <c r="N120">
        <v>-1.9194233306331437E-2</v>
      </c>
      <c r="O120">
        <v>-0.56279403790770099</v>
      </c>
      <c r="P120" s="1" t="str">
        <f>HYPERLINK(".\sm_car_250805_2313\sm_car_250805_2313_119_Ca142TrN_MaMPK_DrSt_ode23t_1.png","figure")</f>
        <v>figure</v>
      </c>
      <c r="Q120" t="s">
        <v>15</v>
      </c>
    </row>
    <row r="121" spans="1:17" x14ac:dyDescent="0.25">
      <c r="A121">
        <v>120</v>
      </c>
      <c r="B121">
        <v>142</v>
      </c>
      <c r="C121" t="s">
        <v>45</v>
      </c>
      <c r="D121" t="s">
        <v>17</v>
      </c>
      <c r="E121" t="s">
        <v>49</v>
      </c>
      <c r="F121" t="s">
        <v>28</v>
      </c>
      <c r="G121" t="s">
        <v>26</v>
      </c>
      <c r="H121" t="s">
        <v>21</v>
      </c>
      <c r="I121" t="s">
        <v>55</v>
      </c>
      <c r="J121" t="s">
        <v>149</v>
      </c>
      <c r="K121" t="s">
        <v>23</v>
      </c>
      <c r="L121">
        <v>2900</v>
      </c>
      <c r="M121">
        <v>47.784550400000001</v>
      </c>
      <c r="N121">
        <v>-1.0002008866126483E-2</v>
      </c>
      <c r="O121">
        <v>-8.0120400920269549E-2</v>
      </c>
      <c r="P121" s="1" t="str">
        <f>HYPERLINK(".\sm_car_250805_2313\sm_car_250805_2313_120_Ca142TrN_MaMPK_DrSt_ode23t_1.png","figure")</f>
        <v>figure</v>
      </c>
      <c r="Q121" t="s">
        <v>15</v>
      </c>
    </row>
    <row r="122" spans="1:17" x14ac:dyDescent="0.25">
      <c r="A122">
        <v>121</v>
      </c>
      <c r="B122">
        <v>142</v>
      </c>
      <c r="C122" t="s">
        <v>45</v>
      </c>
      <c r="D122" t="s">
        <v>17</v>
      </c>
      <c r="E122" t="s">
        <v>49</v>
      </c>
      <c r="F122" t="s">
        <v>28</v>
      </c>
      <c r="G122" t="s">
        <v>26</v>
      </c>
      <c r="H122" t="s">
        <v>21</v>
      </c>
      <c r="I122" t="s">
        <v>56</v>
      </c>
      <c r="J122" t="s">
        <v>148</v>
      </c>
      <c r="K122" t="s">
        <v>23</v>
      </c>
      <c r="L122">
        <v>2447</v>
      </c>
      <c r="M122">
        <v>53.815040600000003</v>
      </c>
      <c r="N122">
        <v>0.78371703180065033</v>
      </c>
      <c r="O122">
        <v>-0.37027869032619498</v>
      </c>
      <c r="P122" s="1" t="str">
        <f>HYPERLINK(".\sm_car_250805_2313\sm_car_250805_2313_121_Ca142TrN_MaMPC_DrSt_ode23t_1.png","figure")</f>
        <v>figure</v>
      </c>
      <c r="Q122" t="s">
        <v>15</v>
      </c>
    </row>
    <row r="123" spans="1:17" x14ac:dyDescent="0.25">
      <c r="A123">
        <v>122</v>
      </c>
      <c r="B123">
        <v>142</v>
      </c>
      <c r="C123" t="s">
        <v>45</v>
      </c>
      <c r="D123" t="s">
        <v>17</v>
      </c>
      <c r="E123" t="s">
        <v>49</v>
      </c>
      <c r="F123" t="s">
        <v>28</v>
      </c>
      <c r="G123" t="s">
        <v>26</v>
      </c>
      <c r="H123" t="s">
        <v>21</v>
      </c>
      <c r="I123" t="s">
        <v>56</v>
      </c>
      <c r="J123" t="s">
        <v>149</v>
      </c>
      <c r="K123" t="s">
        <v>23</v>
      </c>
      <c r="L123">
        <v>2773</v>
      </c>
      <c r="M123">
        <v>53.4510352</v>
      </c>
      <c r="N123">
        <v>0.72619992761763541</v>
      </c>
      <c r="O123">
        <v>2.0515798611592827E-2</v>
      </c>
      <c r="P123" s="1" t="str">
        <f>HYPERLINK(".\sm_car_250805_2313\sm_car_250805_2313_122_Ca142TrN_MaMPC_DrSt_ode23t_1.png","figure")</f>
        <v>figure</v>
      </c>
      <c r="Q123" t="s">
        <v>15</v>
      </c>
    </row>
    <row r="124" spans="1:17" x14ac:dyDescent="0.25">
      <c r="A124">
        <v>123</v>
      </c>
      <c r="B124">
        <v>116</v>
      </c>
      <c r="C124" t="s">
        <v>16</v>
      </c>
      <c r="D124" t="s">
        <v>35</v>
      </c>
      <c r="E124" t="s">
        <v>18</v>
      </c>
      <c r="F124" t="s">
        <v>28</v>
      </c>
      <c r="G124" t="s">
        <v>20</v>
      </c>
      <c r="H124" t="s">
        <v>21</v>
      </c>
      <c r="I124" t="s">
        <v>55</v>
      </c>
      <c r="J124" t="s">
        <v>148</v>
      </c>
      <c r="K124" t="s">
        <v>23</v>
      </c>
      <c r="L124">
        <v>2875</v>
      </c>
      <c r="M124">
        <v>14.9828811</v>
      </c>
      <c r="N124">
        <v>-1.5146090292659384E-2</v>
      </c>
      <c r="O124">
        <v>-0.54255929705996442</v>
      </c>
      <c r="P124" s="1" t="str">
        <f>HYPERLINK(".\sm_car_250805_2313\sm_car_250805_2313_123_Ca116TrN_MaMPK_DrSt_ode23t_1.png","figure")</f>
        <v>figure</v>
      </c>
      <c r="Q124" t="s">
        <v>15</v>
      </c>
    </row>
    <row r="125" spans="1:17" x14ac:dyDescent="0.25">
      <c r="A125">
        <v>124</v>
      </c>
      <c r="B125">
        <v>116</v>
      </c>
      <c r="C125" t="s">
        <v>16</v>
      </c>
      <c r="D125" t="s">
        <v>35</v>
      </c>
      <c r="E125" t="s">
        <v>18</v>
      </c>
      <c r="F125" t="s">
        <v>28</v>
      </c>
      <c r="G125" t="s">
        <v>20</v>
      </c>
      <c r="H125" t="s">
        <v>21</v>
      </c>
      <c r="I125" t="s">
        <v>55</v>
      </c>
      <c r="J125" t="s">
        <v>149</v>
      </c>
      <c r="K125" t="s">
        <v>23</v>
      </c>
      <c r="L125">
        <v>2793</v>
      </c>
      <c r="M125">
        <v>13.953477700000001</v>
      </c>
      <c r="N125">
        <v>-1.8621732383621636E-2</v>
      </c>
      <c r="O125">
        <v>-0.53558513619531656</v>
      </c>
      <c r="P125" s="1" t="str">
        <f>HYPERLINK(".\sm_car_250805_2313\sm_car_250805_2313_124_Ca116TrN_MaMPK_DrSt_ode23t_1.png","figure")</f>
        <v>figure</v>
      </c>
      <c r="Q125" t="s">
        <v>15</v>
      </c>
    </row>
    <row r="126" spans="1:17" x14ac:dyDescent="0.25">
      <c r="A126">
        <v>125</v>
      </c>
      <c r="B126">
        <v>116</v>
      </c>
      <c r="C126" t="s">
        <v>16</v>
      </c>
      <c r="D126" t="s">
        <v>35</v>
      </c>
      <c r="E126" t="s">
        <v>18</v>
      </c>
      <c r="F126" t="s">
        <v>28</v>
      </c>
      <c r="G126" t="s">
        <v>20</v>
      </c>
      <c r="H126" t="s">
        <v>21</v>
      </c>
      <c r="I126" t="s">
        <v>56</v>
      </c>
      <c r="J126" t="s">
        <v>148</v>
      </c>
      <c r="K126" t="s">
        <v>23</v>
      </c>
      <c r="L126">
        <v>2745</v>
      </c>
      <c r="M126">
        <v>14.2419487</v>
      </c>
      <c r="N126">
        <v>0.77930057810873699</v>
      </c>
      <c r="O126">
        <v>-0.3627278880742667</v>
      </c>
      <c r="P126" s="1" t="str">
        <f>HYPERLINK(".\sm_car_250805_2313\sm_car_250805_2313_125_Ca116TrN_MaMPC_DrSt_ode23t_1.png","figure")</f>
        <v>figure</v>
      </c>
      <c r="Q126" t="s">
        <v>15</v>
      </c>
    </row>
    <row r="127" spans="1:17" x14ac:dyDescent="0.25">
      <c r="A127">
        <v>126</v>
      </c>
      <c r="B127">
        <v>116</v>
      </c>
      <c r="C127" t="s">
        <v>16</v>
      </c>
      <c r="D127" t="s">
        <v>35</v>
      </c>
      <c r="E127" t="s">
        <v>18</v>
      </c>
      <c r="F127" t="s">
        <v>28</v>
      </c>
      <c r="G127" t="s">
        <v>20</v>
      </c>
      <c r="H127" t="s">
        <v>21</v>
      </c>
      <c r="I127" t="s">
        <v>56</v>
      </c>
      <c r="J127" t="s">
        <v>149</v>
      </c>
      <c r="K127" t="s">
        <v>23</v>
      </c>
      <c r="L127">
        <v>2620</v>
      </c>
      <c r="M127">
        <v>13.4876261</v>
      </c>
      <c r="N127">
        <v>0.78933830328989529</v>
      </c>
      <c r="O127">
        <v>0.4406366733698352</v>
      </c>
      <c r="P127" s="1" t="str">
        <f>HYPERLINK(".\sm_car_250805_2313\sm_car_250805_2313_126_Ca116TrN_MaMPC_DrSt_ode23t_1.png","figure")</f>
        <v>figure</v>
      </c>
      <c r="Q127" t="s">
        <v>15</v>
      </c>
    </row>
    <row r="128" spans="1:17" x14ac:dyDescent="0.25">
      <c r="A128">
        <v>127</v>
      </c>
      <c r="B128">
        <v>143</v>
      </c>
      <c r="C128" t="s">
        <v>46</v>
      </c>
      <c r="D128" t="s">
        <v>17</v>
      </c>
      <c r="E128" t="s">
        <v>47</v>
      </c>
      <c r="F128" t="s">
        <v>19</v>
      </c>
      <c r="G128" t="s">
        <v>26</v>
      </c>
      <c r="H128" t="s">
        <v>21</v>
      </c>
      <c r="I128" t="s">
        <v>55</v>
      </c>
      <c r="J128" t="s">
        <v>148</v>
      </c>
      <c r="K128" t="s">
        <v>23</v>
      </c>
      <c r="L128">
        <v>2454</v>
      </c>
      <c r="M128">
        <v>44.629599399999996</v>
      </c>
      <c r="N128">
        <v>-1.5639607287515442E-2</v>
      </c>
      <c r="O128">
        <v>-0.40382221247206451</v>
      </c>
      <c r="P128" s="1" t="str">
        <f>HYPERLINK(".\sm_car_250805_2313\sm_car_250805_2313_127_Ca143TrN_MaMPK_DrSt_ode23t_1.png","figure")</f>
        <v>figure</v>
      </c>
      <c r="Q128" t="s">
        <v>15</v>
      </c>
    </row>
    <row r="129" spans="1:17" x14ac:dyDescent="0.25">
      <c r="A129">
        <v>128</v>
      </c>
      <c r="B129">
        <v>143</v>
      </c>
      <c r="C129" t="s">
        <v>46</v>
      </c>
      <c r="D129" t="s">
        <v>17</v>
      </c>
      <c r="E129" t="s">
        <v>47</v>
      </c>
      <c r="F129" t="s">
        <v>19</v>
      </c>
      <c r="G129" t="s">
        <v>26</v>
      </c>
      <c r="H129" t="s">
        <v>21</v>
      </c>
      <c r="I129" t="s">
        <v>55</v>
      </c>
      <c r="J129" t="s">
        <v>149</v>
      </c>
      <c r="K129" t="s">
        <v>23</v>
      </c>
      <c r="L129">
        <v>2185</v>
      </c>
      <c r="M129">
        <v>43.969290200000003</v>
      </c>
      <c r="N129">
        <v>-9.9331993139478852E-3</v>
      </c>
      <c r="O129">
        <v>-9.0238192026176084E-2</v>
      </c>
      <c r="P129" s="1" t="str">
        <f>HYPERLINK(".\sm_car_250805_2313\sm_car_250805_2313_128_Ca143TrN_MaMPK_DrSt_ode23t_1.png","figure")</f>
        <v>figure</v>
      </c>
      <c r="Q129" t="s">
        <v>15</v>
      </c>
    </row>
    <row r="130" spans="1:17" x14ac:dyDescent="0.25">
      <c r="A130">
        <v>129</v>
      </c>
      <c r="B130">
        <v>143</v>
      </c>
      <c r="C130" t="s">
        <v>46</v>
      </c>
      <c r="D130" t="s">
        <v>17</v>
      </c>
      <c r="E130" t="s">
        <v>47</v>
      </c>
      <c r="F130" t="s">
        <v>19</v>
      </c>
      <c r="G130" t="s">
        <v>26</v>
      </c>
      <c r="H130" t="s">
        <v>21</v>
      </c>
      <c r="I130" t="s">
        <v>56</v>
      </c>
      <c r="J130" t="s">
        <v>148</v>
      </c>
      <c r="K130" t="s">
        <v>23</v>
      </c>
      <c r="L130">
        <v>2369</v>
      </c>
      <c r="M130">
        <v>50.634759699999996</v>
      </c>
      <c r="N130">
        <v>0.7885575901562536</v>
      </c>
      <c r="O130">
        <v>-0.27140160867522561</v>
      </c>
      <c r="P130" s="1" t="str">
        <f>HYPERLINK(".\sm_car_250805_2313\sm_car_250805_2313_129_Ca143TrN_MaMPC_DrSt_ode23t_1.png","figure")</f>
        <v>figure</v>
      </c>
      <c r="Q130" t="s">
        <v>15</v>
      </c>
    </row>
    <row r="131" spans="1:17" x14ac:dyDescent="0.25">
      <c r="A131">
        <v>130</v>
      </c>
      <c r="B131">
        <v>143</v>
      </c>
      <c r="C131" t="s">
        <v>46</v>
      </c>
      <c r="D131" t="s">
        <v>17</v>
      </c>
      <c r="E131" t="s">
        <v>47</v>
      </c>
      <c r="F131" t="s">
        <v>19</v>
      </c>
      <c r="G131" t="s">
        <v>26</v>
      </c>
      <c r="H131" t="s">
        <v>21</v>
      </c>
      <c r="I131" t="s">
        <v>56</v>
      </c>
      <c r="J131" t="s">
        <v>149</v>
      </c>
      <c r="K131" t="s">
        <v>23</v>
      </c>
      <c r="L131">
        <v>2113</v>
      </c>
      <c r="M131">
        <v>45.655671900000002</v>
      </c>
      <c r="N131">
        <v>0.78670191261285893</v>
      </c>
      <c r="O131">
        <v>-0.15881410009566255</v>
      </c>
      <c r="P131" s="1" t="str">
        <f>HYPERLINK(".\sm_car_250805_2313\sm_car_250805_2313_130_Ca143TrN_MaMPC_DrSt_ode23t_1.png","figure")</f>
        <v>figure</v>
      </c>
      <c r="Q131" t="s">
        <v>15</v>
      </c>
    </row>
    <row r="132" spans="1:17" x14ac:dyDescent="0.25">
      <c r="A132">
        <v>131</v>
      </c>
      <c r="B132">
        <v>166</v>
      </c>
      <c r="C132" t="s">
        <v>45</v>
      </c>
      <c r="D132" t="s">
        <v>57</v>
      </c>
      <c r="E132" t="s">
        <v>18</v>
      </c>
      <c r="F132" t="s">
        <v>19</v>
      </c>
      <c r="G132" t="s">
        <v>26</v>
      </c>
      <c r="H132" t="s">
        <v>21</v>
      </c>
      <c r="I132" t="s">
        <v>55</v>
      </c>
      <c r="J132" t="s">
        <v>148</v>
      </c>
      <c r="K132" t="s">
        <v>23</v>
      </c>
      <c r="L132">
        <v>3165</v>
      </c>
      <c r="M132">
        <v>53.088432300000001</v>
      </c>
      <c r="N132">
        <v>-1.8014386237514404E-2</v>
      </c>
      <c r="O132">
        <v>-0.57257856383298866</v>
      </c>
      <c r="P132" s="1" t="str">
        <f>HYPERLINK(".\sm_car_250805_2313\sm_car_250805_2313_131_Ca166TrN_MaMPK_DrSt_ode23t_1.png","figure")</f>
        <v>figure</v>
      </c>
      <c r="Q132" t="s">
        <v>15</v>
      </c>
    </row>
    <row r="133" spans="1:17" x14ac:dyDescent="0.25">
      <c r="A133">
        <v>132</v>
      </c>
      <c r="B133">
        <v>166</v>
      </c>
      <c r="C133" t="s">
        <v>45</v>
      </c>
      <c r="D133" t="s">
        <v>57</v>
      </c>
      <c r="E133" t="s">
        <v>18</v>
      </c>
      <c r="F133" t="s">
        <v>19</v>
      </c>
      <c r="G133" t="s">
        <v>26</v>
      </c>
      <c r="H133" t="s">
        <v>21</v>
      </c>
      <c r="I133" t="s">
        <v>55</v>
      </c>
      <c r="J133" t="s">
        <v>149</v>
      </c>
      <c r="K133" t="s">
        <v>23</v>
      </c>
      <c r="L133">
        <v>3752</v>
      </c>
      <c r="M133">
        <v>54.493708300000002</v>
      </c>
      <c r="N133">
        <v>-9.9764837108790999E-3</v>
      </c>
      <c r="O133">
        <v>-8.4629121482272751E-2</v>
      </c>
      <c r="P133" s="1" t="str">
        <f>HYPERLINK(".\sm_car_250805_2313\sm_car_250805_2313_132_Ca166TrN_MaMPK_DrSt_ode23t_1.png","figure")</f>
        <v>figure</v>
      </c>
      <c r="Q133" t="s">
        <v>15</v>
      </c>
    </row>
    <row r="134" spans="1:17" x14ac:dyDescent="0.25">
      <c r="A134">
        <v>133</v>
      </c>
      <c r="B134">
        <v>166</v>
      </c>
      <c r="C134" t="s">
        <v>45</v>
      </c>
      <c r="D134" t="s">
        <v>57</v>
      </c>
      <c r="E134" t="s">
        <v>18</v>
      </c>
      <c r="F134" t="s">
        <v>19</v>
      </c>
      <c r="G134" t="s">
        <v>26</v>
      </c>
      <c r="H134" t="s">
        <v>21</v>
      </c>
      <c r="I134" t="s">
        <v>56</v>
      </c>
      <c r="J134" t="s">
        <v>148</v>
      </c>
      <c r="K134" t="s">
        <v>23</v>
      </c>
      <c r="L134">
        <v>3030</v>
      </c>
      <c r="M134">
        <v>50.5834221</v>
      </c>
      <c r="N134">
        <v>0.78543598168408835</v>
      </c>
      <c r="O134">
        <v>-0.3618798096681059</v>
      </c>
      <c r="P134" s="1" t="str">
        <f>HYPERLINK(".\sm_car_250805_2313\sm_car_250805_2313_133_Ca166TrN_MaMPC_DrSt_ode23t_1.png","figure")</f>
        <v>figure</v>
      </c>
      <c r="Q134" t="s">
        <v>15</v>
      </c>
    </row>
    <row r="135" spans="1:17" x14ac:dyDescent="0.25">
      <c r="A135">
        <v>134</v>
      </c>
      <c r="B135">
        <v>166</v>
      </c>
      <c r="C135" t="s">
        <v>45</v>
      </c>
      <c r="D135" t="s">
        <v>57</v>
      </c>
      <c r="E135" t="s">
        <v>18</v>
      </c>
      <c r="F135" t="s">
        <v>19</v>
      </c>
      <c r="G135" t="s">
        <v>26</v>
      </c>
      <c r="H135" t="s">
        <v>21</v>
      </c>
      <c r="I135" t="s">
        <v>56</v>
      </c>
      <c r="J135" t="s">
        <v>149</v>
      </c>
      <c r="K135" t="s">
        <v>23</v>
      </c>
      <c r="L135">
        <v>3446</v>
      </c>
      <c r="M135">
        <v>54.2660524</v>
      </c>
      <c r="N135">
        <v>0.78805432251689567</v>
      </c>
      <c r="O135">
        <v>2.58476261714022E-2</v>
      </c>
      <c r="P135" s="1" t="str">
        <f>HYPERLINK(".\sm_car_250805_2313\sm_car_250805_2313_134_Ca166TrN_MaMPC_DrSt_ode23t_1.png","figure")</f>
        <v>figure</v>
      </c>
      <c r="Q135" t="s">
        <v>15</v>
      </c>
    </row>
    <row r="136" spans="1:17" x14ac:dyDescent="0.25">
      <c r="A136">
        <v>135</v>
      </c>
      <c r="B136">
        <v>169</v>
      </c>
      <c r="C136" t="s">
        <v>45</v>
      </c>
      <c r="D136" t="s">
        <v>58</v>
      </c>
      <c r="E136" t="s">
        <v>49</v>
      </c>
      <c r="F136" t="s">
        <v>19</v>
      </c>
      <c r="G136" t="s">
        <v>26</v>
      </c>
      <c r="H136" t="s">
        <v>21</v>
      </c>
      <c r="I136" t="s">
        <v>55</v>
      </c>
      <c r="J136" t="s">
        <v>148</v>
      </c>
      <c r="K136" t="s">
        <v>23</v>
      </c>
      <c r="L136">
        <v>3286</v>
      </c>
      <c r="M136">
        <v>47.480186000000003</v>
      </c>
      <c r="N136">
        <v>2.1353693294457424E-2</v>
      </c>
      <c r="O136">
        <v>-0.57449792967676205</v>
      </c>
      <c r="P136" s="1" t="str">
        <f>HYPERLINK(".\sm_car_250805_2313\sm_car_250805_2313_135_Ca169TrN_MaMPK_DrSt_ode23t_1.png","figure")</f>
        <v>figure</v>
      </c>
      <c r="Q136" t="s">
        <v>15</v>
      </c>
    </row>
    <row r="137" spans="1:17" x14ac:dyDescent="0.25">
      <c r="A137">
        <v>136</v>
      </c>
      <c r="B137">
        <v>169</v>
      </c>
      <c r="C137" t="s">
        <v>45</v>
      </c>
      <c r="D137" t="s">
        <v>58</v>
      </c>
      <c r="E137" t="s">
        <v>49</v>
      </c>
      <c r="F137" t="s">
        <v>19</v>
      </c>
      <c r="G137" t="s">
        <v>26</v>
      </c>
      <c r="H137" t="s">
        <v>21</v>
      </c>
      <c r="I137" t="s">
        <v>55</v>
      </c>
      <c r="J137" t="s">
        <v>149</v>
      </c>
      <c r="K137" t="s">
        <v>23</v>
      </c>
      <c r="L137">
        <v>3920</v>
      </c>
      <c r="M137">
        <v>53.122894000000002</v>
      </c>
      <c r="N137">
        <v>-1.1605968700672015E-2</v>
      </c>
      <c r="O137">
        <v>-8.3834961034278385E-2</v>
      </c>
      <c r="P137" s="1" t="str">
        <f>HYPERLINK(".\sm_car_250805_2313\sm_car_250805_2313_136_Ca169TrN_MaMPK_DrSt_ode23t_1.png","figure")</f>
        <v>figure</v>
      </c>
      <c r="Q137" t="s">
        <v>15</v>
      </c>
    </row>
    <row r="138" spans="1:17" x14ac:dyDescent="0.25">
      <c r="A138">
        <v>137</v>
      </c>
      <c r="B138">
        <v>169</v>
      </c>
      <c r="C138" t="s">
        <v>45</v>
      </c>
      <c r="D138" t="s">
        <v>58</v>
      </c>
      <c r="E138" t="s">
        <v>49</v>
      </c>
      <c r="F138" t="s">
        <v>19</v>
      </c>
      <c r="G138" t="s">
        <v>26</v>
      </c>
      <c r="H138" t="s">
        <v>21</v>
      </c>
      <c r="I138" t="s">
        <v>56</v>
      </c>
      <c r="J138" t="s">
        <v>148</v>
      </c>
      <c r="K138" t="s">
        <v>23</v>
      </c>
      <c r="L138">
        <v>3033</v>
      </c>
      <c r="M138">
        <v>46.160467300000001</v>
      </c>
      <c r="N138">
        <v>0.78563515853409882</v>
      </c>
      <c r="O138">
        <v>-0.35988737965364309</v>
      </c>
      <c r="P138" s="1" t="str">
        <f>HYPERLINK(".\sm_car_250805_2313\sm_car_250805_2313_137_Ca169TrN_MaMPC_DrSt_ode23t_1.png","figure")</f>
        <v>figure</v>
      </c>
      <c r="Q138" t="s">
        <v>15</v>
      </c>
    </row>
    <row r="139" spans="1:17" x14ac:dyDescent="0.25">
      <c r="A139">
        <v>138</v>
      </c>
      <c r="B139">
        <v>169</v>
      </c>
      <c r="C139" t="s">
        <v>45</v>
      </c>
      <c r="D139" t="s">
        <v>58</v>
      </c>
      <c r="E139" t="s">
        <v>49</v>
      </c>
      <c r="F139" t="s">
        <v>19</v>
      </c>
      <c r="G139" t="s">
        <v>26</v>
      </c>
      <c r="H139" t="s">
        <v>21</v>
      </c>
      <c r="I139" t="s">
        <v>56</v>
      </c>
      <c r="J139" t="s">
        <v>149</v>
      </c>
      <c r="K139" t="s">
        <v>23</v>
      </c>
      <c r="L139">
        <v>3463</v>
      </c>
      <c r="M139">
        <v>47.5450059</v>
      </c>
      <c r="N139">
        <v>0.78793763770090841</v>
      </c>
      <c r="O139">
        <v>2.8202120297358732E-2</v>
      </c>
      <c r="P139" s="1" t="str">
        <f>HYPERLINK(".\sm_car_250805_2313\sm_car_250805_2313_138_Ca169TrN_MaMPC_DrSt_ode23t_1.png","figure")</f>
        <v>figure</v>
      </c>
      <c r="Q139" t="s">
        <v>15</v>
      </c>
    </row>
    <row r="140" spans="1:17" x14ac:dyDescent="0.25">
      <c r="A140">
        <v>139</v>
      </c>
      <c r="B140">
        <v>184</v>
      </c>
      <c r="C140" t="s">
        <v>105</v>
      </c>
      <c r="D140" t="s">
        <v>120</v>
      </c>
      <c r="E140" t="s">
        <v>49</v>
      </c>
      <c r="F140" t="s">
        <v>19</v>
      </c>
      <c r="G140" t="s">
        <v>20</v>
      </c>
      <c r="H140" t="s">
        <v>21</v>
      </c>
      <c r="I140" t="s">
        <v>55</v>
      </c>
      <c r="J140" t="s">
        <v>148</v>
      </c>
      <c r="K140" t="s">
        <v>23</v>
      </c>
      <c r="L140">
        <v>2238</v>
      </c>
      <c r="M140">
        <v>50.436171299999998</v>
      </c>
      <c r="N140">
        <v>-2.1876341406771069E-2</v>
      </c>
      <c r="O140">
        <v>-0.74277977396801997</v>
      </c>
      <c r="P140" s="1" t="str">
        <f>HYPERLINK(".\sm_car_250805_2313\sm_car_250805_2313_139_Ca184TrN_MaMPK_DrSt_ode23t_1.png","figure")</f>
        <v>figure</v>
      </c>
      <c r="Q140" t="s">
        <v>15</v>
      </c>
    </row>
    <row r="141" spans="1:17" x14ac:dyDescent="0.25">
      <c r="A141">
        <v>140</v>
      </c>
      <c r="B141">
        <v>184</v>
      </c>
      <c r="C141" t="s">
        <v>105</v>
      </c>
      <c r="D141" t="s">
        <v>120</v>
      </c>
      <c r="E141" t="s">
        <v>49</v>
      </c>
      <c r="F141" t="s">
        <v>19</v>
      </c>
      <c r="G141" t="s">
        <v>20</v>
      </c>
      <c r="H141" t="s">
        <v>21</v>
      </c>
      <c r="I141" t="s">
        <v>55</v>
      </c>
      <c r="J141" t="s">
        <v>149</v>
      </c>
      <c r="K141" t="s">
        <v>23</v>
      </c>
      <c r="L141">
        <v>2323</v>
      </c>
      <c r="M141">
        <v>50.8327752</v>
      </c>
      <c r="N141">
        <v>-1.0382600334853012E-2</v>
      </c>
      <c r="O141">
        <v>-3.0110195033744524E-2</v>
      </c>
      <c r="P141" s="1" t="str">
        <f>HYPERLINK(".\sm_car_250805_2313\sm_car_250805_2313_140_Ca184TrN_MaMPK_DrSt_ode23t_1.png","figure")</f>
        <v>figure</v>
      </c>
      <c r="Q141" t="s">
        <v>15</v>
      </c>
    </row>
    <row r="142" spans="1:17" x14ac:dyDescent="0.25">
      <c r="A142">
        <v>141</v>
      </c>
      <c r="B142">
        <v>184</v>
      </c>
      <c r="C142" t="s">
        <v>105</v>
      </c>
      <c r="D142" t="s">
        <v>120</v>
      </c>
      <c r="E142" t="s">
        <v>49</v>
      </c>
      <c r="F142" t="s">
        <v>19</v>
      </c>
      <c r="G142" t="s">
        <v>20</v>
      </c>
      <c r="H142" t="s">
        <v>21</v>
      </c>
      <c r="I142" t="s">
        <v>56</v>
      </c>
      <c r="J142" t="s">
        <v>148</v>
      </c>
      <c r="K142" t="s">
        <v>23</v>
      </c>
      <c r="L142">
        <v>2062</v>
      </c>
      <c r="M142">
        <v>48.150400500000003</v>
      </c>
      <c r="N142">
        <v>0.77719558753184614</v>
      </c>
      <c r="O142">
        <v>-0.33795243284919668</v>
      </c>
      <c r="P142" s="1" t="str">
        <f>HYPERLINK(".\sm_car_250805_2313\sm_car_250805_2313_141_Ca184TrN_MaMPC_DrSt_ode23t_1.png","figure")</f>
        <v>figure</v>
      </c>
      <c r="Q142" t="s">
        <v>15</v>
      </c>
    </row>
    <row r="143" spans="1:17" x14ac:dyDescent="0.25">
      <c r="A143">
        <v>142</v>
      </c>
      <c r="B143">
        <v>184</v>
      </c>
      <c r="C143" t="s">
        <v>105</v>
      </c>
      <c r="D143" t="s">
        <v>120</v>
      </c>
      <c r="E143" t="s">
        <v>49</v>
      </c>
      <c r="F143" t="s">
        <v>19</v>
      </c>
      <c r="G143" t="s">
        <v>20</v>
      </c>
      <c r="H143" t="s">
        <v>21</v>
      </c>
      <c r="I143" t="s">
        <v>56</v>
      </c>
      <c r="J143" t="s">
        <v>149</v>
      </c>
      <c r="K143" t="s">
        <v>23</v>
      </c>
      <c r="L143">
        <v>2057</v>
      </c>
      <c r="M143">
        <v>50.378421600000003</v>
      </c>
      <c r="N143">
        <v>0.78942962218896717</v>
      </c>
      <c r="O143">
        <v>-8.2636619093554659E-2</v>
      </c>
      <c r="P143" s="1" t="str">
        <f>HYPERLINK(".\sm_car_250805_2313\sm_car_250805_2313_142_Ca184TrN_MaMPC_DrSt_ode23t_1.png","figure")</f>
        <v>figure</v>
      </c>
      <c r="Q143" t="s">
        <v>15</v>
      </c>
    </row>
    <row r="144" spans="1:17" x14ac:dyDescent="0.25">
      <c r="A144">
        <v>143</v>
      </c>
      <c r="B144">
        <v>195</v>
      </c>
      <c r="C144" t="s">
        <v>45</v>
      </c>
      <c r="D144" t="s">
        <v>58</v>
      </c>
      <c r="E144" t="s">
        <v>107</v>
      </c>
      <c r="F144" t="s">
        <v>19</v>
      </c>
      <c r="G144" t="s">
        <v>26</v>
      </c>
      <c r="H144" t="s">
        <v>21</v>
      </c>
      <c r="I144" t="s">
        <v>55</v>
      </c>
      <c r="J144" t="s">
        <v>148</v>
      </c>
      <c r="K144" t="s">
        <v>23</v>
      </c>
      <c r="L144">
        <v>3304</v>
      </c>
      <c r="M144">
        <v>45.140010199999999</v>
      </c>
      <c r="N144">
        <v>-1.2592955842919432E-2</v>
      </c>
      <c r="O144">
        <v>-0.57373875989622403</v>
      </c>
      <c r="P144" s="1" t="str">
        <f>HYPERLINK(".\sm_car_250805_2313\sm_car_250805_2313_143_Ca195TrN_MaMPK_DrSt_ode23t_1.png","figure")</f>
        <v>figure</v>
      </c>
      <c r="Q144" t="s">
        <v>15</v>
      </c>
    </row>
    <row r="145" spans="1:17" x14ac:dyDescent="0.25">
      <c r="A145">
        <v>144</v>
      </c>
      <c r="B145">
        <v>195</v>
      </c>
      <c r="C145" t="s">
        <v>45</v>
      </c>
      <c r="D145" t="s">
        <v>58</v>
      </c>
      <c r="E145" t="s">
        <v>107</v>
      </c>
      <c r="F145" t="s">
        <v>19</v>
      </c>
      <c r="G145" t="s">
        <v>26</v>
      </c>
      <c r="H145" t="s">
        <v>21</v>
      </c>
      <c r="I145" t="s">
        <v>55</v>
      </c>
      <c r="J145" t="s">
        <v>149</v>
      </c>
      <c r="K145" t="s">
        <v>23</v>
      </c>
      <c r="L145">
        <v>3896</v>
      </c>
      <c r="M145">
        <v>52.512204599999997</v>
      </c>
      <c r="N145">
        <v>-1.0689980593766732E-2</v>
      </c>
      <c r="O145">
        <v>-8.3858219939539055E-2</v>
      </c>
      <c r="P145" s="1" t="str">
        <f>HYPERLINK(".\sm_car_250805_2313\sm_car_250805_2313_144_Ca195TrN_MaMPK_DrSt_ode23t_1.png","figure")</f>
        <v>figure</v>
      </c>
      <c r="Q145" t="s">
        <v>15</v>
      </c>
    </row>
    <row r="146" spans="1:17" x14ac:dyDescent="0.25">
      <c r="A146">
        <v>145</v>
      </c>
      <c r="B146">
        <v>195</v>
      </c>
      <c r="C146" t="s">
        <v>45</v>
      </c>
      <c r="D146" t="s">
        <v>58</v>
      </c>
      <c r="E146" t="s">
        <v>107</v>
      </c>
      <c r="F146" t="s">
        <v>19</v>
      </c>
      <c r="G146" t="s">
        <v>26</v>
      </c>
      <c r="H146" t="s">
        <v>21</v>
      </c>
      <c r="I146" t="s">
        <v>56</v>
      </c>
      <c r="J146" t="s">
        <v>148</v>
      </c>
      <c r="K146" t="s">
        <v>23</v>
      </c>
      <c r="L146">
        <v>3022</v>
      </c>
      <c r="M146">
        <v>42.526450699999998</v>
      </c>
      <c r="N146">
        <v>0.78820179098068444</v>
      </c>
      <c r="O146">
        <v>-0.35994292599162753</v>
      </c>
      <c r="P146" s="1" t="str">
        <f>HYPERLINK(".\sm_car_250805_2313\sm_car_250805_2313_145_Ca195TrN_MaMPC_DrSt_ode23t_1.png","figure")</f>
        <v>figure</v>
      </c>
      <c r="Q146" t="s">
        <v>15</v>
      </c>
    </row>
    <row r="147" spans="1:17" x14ac:dyDescent="0.25">
      <c r="A147">
        <v>146</v>
      </c>
      <c r="B147">
        <v>195</v>
      </c>
      <c r="C147" t="s">
        <v>45</v>
      </c>
      <c r="D147" t="s">
        <v>58</v>
      </c>
      <c r="E147" t="s">
        <v>107</v>
      </c>
      <c r="F147" t="s">
        <v>19</v>
      </c>
      <c r="G147" t="s">
        <v>26</v>
      </c>
      <c r="H147" t="s">
        <v>21</v>
      </c>
      <c r="I147" t="s">
        <v>56</v>
      </c>
      <c r="J147" t="s">
        <v>149</v>
      </c>
      <c r="K147" t="s">
        <v>23</v>
      </c>
      <c r="L147">
        <v>3476</v>
      </c>
      <c r="M147">
        <v>46.196302799999998</v>
      </c>
      <c r="N147">
        <v>0.78293119892706642</v>
      </c>
      <c r="O147">
        <v>2.8270959930833669E-2</v>
      </c>
      <c r="P147" s="1" t="str">
        <f>HYPERLINK(".\sm_car_250805_2313\sm_car_250805_2313_146_Ca195TrN_MaMPC_DrSt_ode23t_1.png","figure")</f>
        <v>figure</v>
      </c>
      <c r="Q147" t="s">
        <v>15</v>
      </c>
    </row>
    <row r="148" spans="1:17" x14ac:dyDescent="0.25">
      <c r="A148">
        <v>147</v>
      </c>
      <c r="B148">
        <v>198</v>
      </c>
      <c r="C148" t="s">
        <v>105</v>
      </c>
      <c r="D148" t="s">
        <v>120</v>
      </c>
      <c r="E148" t="s">
        <v>107</v>
      </c>
      <c r="F148" t="s">
        <v>19</v>
      </c>
      <c r="G148" t="s">
        <v>20</v>
      </c>
      <c r="H148" t="s">
        <v>21</v>
      </c>
      <c r="I148" t="s">
        <v>55</v>
      </c>
      <c r="J148" t="s">
        <v>148</v>
      </c>
      <c r="K148" t="s">
        <v>23</v>
      </c>
      <c r="L148">
        <v>2301</v>
      </c>
      <c r="M148">
        <v>31.1018191</v>
      </c>
      <c r="N148">
        <v>-1.7043862640652649E-2</v>
      </c>
      <c r="O148">
        <v>-0.74290921131709253</v>
      </c>
      <c r="P148" s="1" t="str">
        <f>HYPERLINK(".\sm_car_250805_2313\sm_car_250805_2313_147_Ca198TrN_MaMPK_DrSt_ode23t_1.png","figure")</f>
        <v>figure</v>
      </c>
      <c r="Q148" t="s">
        <v>15</v>
      </c>
    </row>
    <row r="149" spans="1:17" x14ac:dyDescent="0.25">
      <c r="A149">
        <v>148</v>
      </c>
      <c r="B149">
        <v>198</v>
      </c>
      <c r="C149" t="s">
        <v>105</v>
      </c>
      <c r="D149" t="s">
        <v>120</v>
      </c>
      <c r="E149" t="s">
        <v>107</v>
      </c>
      <c r="F149" t="s">
        <v>19</v>
      </c>
      <c r="G149" t="s">
        <v>20</v>
      </c>
      <c r="H149" t="s">
        <v>21</v>
      </c>
      <c r="I149" t="s">
        <v>55</v>
      </c>
      <c r="J149" t="s">
        <v>149</v>
      </c>
      <c r="K149" t="s">
        <v>23</v>
      </c>
      <c r="L149">
        <v>2571</v>
      </c>
      <c r="M149">
        <v>33.411112600000003</v>
      </c>
      <c r="N149">
        <v>7.6598977918175826E-3</v>
      </c>
      <c r="O149">
        <v>-3.0302658222791785E-2</v>
      </c>
      <c r="P149" s="1" t="str">
        <f>HYPERLINK(".\sm_car_250805_2313\sm_car_250805_2313_148_Ca198TrN_MaMPK_DrSt_ode23t_1.png","figure")</f>
        <v>figure</v>
      </c>
      <c r="Q149" t="s">
        <v>15</v>
      </c>
    </row>
    <row r="150" spans="1:17" x14ac:dyDescent="0.25">
      <c r="A150">
        <v>149</v>
      </c>
      <c r="B150">
        <v>198</v>
      </c>
      <c r="C150" t="s">
        <v>105</v>
      </c>
      <c r="D150" t="s">
        <v>120</v>
      </c>
      <c r="E150" t="s">
        <v>107</v>
      </c>
      <c r="F150" t="s">
        <v>19</v>
      </c>
      <c r="G150" t="s">
        <v>20</v>
      </c>
      <c r="H150" t="s">
        <v>21</v>
      </c>
      <c r="I150" t="s">
        <v>56</v>
      </c>
      <c r="J150" t="s">
        <v>148</v>
      </c>
      <c r="K150" t="s">
        <v>23</v>
      </c>
      <c r="L150">
        <v>2090</v>
      </c>
      <c r="M150">
        <v>32.528022300000003</v>
      </c>
      <c r="N150">
        <v>0.78944371244023515</v>
      </c>
      <c r="O150">
        <v>-0.33814696885099771</v>
      </c>
      <c r="P150" s="1" t="str">
        <f>HYPERLINK(".\sm_car_250805_2313\sm_car_250805_2313_149_Ca198TrN_MaMPC_DrSt_ode23t_1.png","figure")</f>
        <v>figure</v>
      </c>
      <c r="Q150" t="s">
        <v>15</v>
      </c>
    </row>
    <row r="151" spans="1:17" x14ac:dyDescent="0.25">
      <c r="A151">
        <v>150</v>
      </c>
      <c r="B151">
        <v>198</v>
      </c>
      <c r="C151" t="s">
        <v>105</v>
      </c>
      <c r="D151" t="s">
        <v>120</v>
      </c>
      <c r="E151" t="s">
        <v>107</v>
      </c>
      <c r="F151" t="s">
        <v>19</v>
      </c>
      <c r="G151" t="s">
        <v>20</v>
      </c>
      <c r="H151" t="s">
        <v>21</v>
      </c>
      <c r="I151" t="s">
        <v>56</v>
      </c>
      <c r="J151" t="s">
        <v>149</v>
      </c>
      <c r="K151" t="s">
        <v>23</v>
      </c>
      <c r="L151">
        <v>2163</v>
      </c>
      <c r="M151">
        <v>32.2071106</v>
      </c>
      <c r="N151">
        <v>0.76971463945896623</v>
      </c>
      <c r="O151">
        <v>-8.1932517304208266E-2</v>
      </c>
      <c r="P151" s="1" t="str">
        <f>HYPERLINK(".\sm_car_250805_2313\sm_car_250805_2313_150_Ca198TrN_MaMPC_DrSt_ode23t_1.png","figure")</f>
        <v>figure</v>
      </c>
      <c r="Q151" t="s">
        <v>15</v>
      </c>
    </row>
    <row r="152" spans="1:17" x14ac:dyDescent="0.25">
      <c r="A152">
        <v>151</v>
      </c>
      <c r="B152">
        <v>151</v>
      </c>
      <c r="C152" t="s">
        <v>16</v>
      </c>
      <c r="D152" t="s">
        <v>17</v>
      </c>
      <c r="E152" t="s">
        <v>18</v>
      </c>
      <c r="F152" t="s">
        <v>19</v>
      </c>
      <c r="G152" t="s">
        <v>59</v>
      </c>
      <c r="H152" t="s">
        <v>21</v>
      </c>
      <c r="I152" t="s">
        <v>24</v>
      </c>
      <c r="J152" t="s">
        <v>148</v>
      </c>
      <c r="K152" t="s">
        <v>23</v>
      </c>
      <c r="L152">
        <v>523</v>
      </c>
      <c r="M152">
        <v>12.3151011</v>
      </c>
      <c r="N152">
        <v>72.551483141729932</v>
      </c>
      <c r="O152">
        <v>-0.80463037599742193</v>
      </c>
      <c r="P152" s="1" t="str">
        <f>HYPERLINK(".\sm_car_250805_2313\sm_car_250805_2313_151_Ca151TrN_MaLSS_DrSt_ode23t_1.png","figure")</f>
        <v>figure</v>
      </c>
      <c r="Q152" t="s">
        <v>15</v>
      </c>
    </row>
    <row r="153" spans="1:17" x14ac:dyDescent="0.25">
      <c r="A153">
        <v>152</v>
      </c>
      <c r="B153">
        <v>152</v>
      </c>
      <c r="C153" t="s">
        <v>16</v>
      </c>
      <c r="D153" t="s">
        <v>17</v>
      </c>
      <c r="E153" t="s">
        <v>18</v>
      </c>
      <c r="F153" t="s">
        <v>19</v>
      </c>
      <c r="G153" t="s">
        <v>60</v>
      </c>
      <c r="H153" t="s">
        <v>21</v>
      </c>
      <c r="I153" t="s">
        <v>24</v>
      </c>
      <c r="J153" t="s">
        <v>148</v>
      </c>
      <c r="K153" t="s">
        <v>23</v>
      </c>
      <c r="L153">
        <v>531</v>
      </c>
      <c r="M153">
        <v>13.0529811</v>
      </c>
      <c r="N153">
        <v>70.955869350370747</v>
      </c>
      <c r="O153">
        <v>-0.52950022542498942</v>
      </c>
      <c r="P153" s="1" t="str">
        <f>HYPERLINK(".\sm_car_250805_2313\sm_car_250805_2313_152_Ca152TrN_MaLSS_DrSt_ode23t_1.png","figure")</f>
        <v>figure</v>
      </c>
      <c r="Q153" t="s">
        <v>15</v>
      </c>
    </row>
    <row r="154" spans="1:17" x14ac:dyDescent="0.25">
      <c r="A154">
        <v>153</v>
      </c>
      <c r="B154">
        <v>153</v>
      </c>
      <c r="C154" t="s">
        <v>16</v>
      </c>
      <c r="D154" t="s">
        <v>17</v>
      </c>
      <c r="E154" t="s">
        <v>18</v>
      </c>
      <c r="F154" t="s">
        <v>19</v>
      </c>
      <c r="G154" t="s">
        <v>61</v>
      </c>
      <c r="H154" t="s">
        <v>21</v>
      </c>
      <c r="I154" t="s">
        <v>24</v>
      </c>
      <c r="J154" t="s">
        <v>148</v>
      </c>
      <c r="K154" t="s">
        <v>23</v>
      </c>
      <c r="L154">
        <v>548</v>
      </c>
      <c r="M154">
        <v>13.216991800000001</v>
      </c>
      <c r="N154">
        <v>70.805860388659454</v>
      </c>
      <c r="O154">
        <v>-0.86851360959838986</v>
      </c>
      <c r="P154" s="1" t="str">
        <f>HYPERLINK(".\sm_car_250805_2313\sm_car_250805_2313_153_Ca153TrN_MaLSS_DrSt_ode23t_1.png","figure")</f>
        <v>figure</v>
      </c>
      <c r="Q154" t="s">
        <v>15</v>
      </c>
    </row>
    <row r="155" spans="1:17" x14ac:dyDescent="0.25">
      <c r="A155">
        <v>154</v>
      </c>
      <c r="B155">
        <v>154</v>
      </c>
      <c r="C155" t="s">
        <v>16</v>
      </c>
      <c r="D155" t="s">
        <v>17</v>
      </c>
      <c r="E155" t="s">
        <v>18</v>
      </c>
      <c r="F155" t="s">
        <v>19</v>
      </c>
      <c r="G155" t="s">
        <v>108</v>
      </c>
      <c r="H155" t="s">
        <v>21</v>
      </c>
      <c r="I155" t="s">
        <v>24</v>
      </c>
      <c r="J155" t="s">
        <v>148</v>
      </c>
      <c r="K155" t="s">
        <v>23</v>
      </c>
      <c r="L155">
        <v>497</v>
      </c>
      <c r="M155">
        <v>15.330527399999999</v>
      </c>
      <c r="N155">
        <v>70.98428043058</v>
      </c>
      <c r="O155">
        <v>-0.36102888347529238</v>
      </c>
      <c r="P155" s="1" t="str">
        <f>HYPERLINK(".\sm_car_250805_2313\sm_car_250805_2313_154_Ca154TrN_MaLSS_DrSt_ode23t_1.png","figure")</f>
        <v>figure</v>
      </c>
      <c r="Q155" t="s">
        <v>15</v>
      </c>
    </row>
    <row r="156" spans="1:17" x14ac:dyDescent="0.25">
      <c r="A156">
        <v>155</v>
      </c>
      <c r="B156">
        <v>155</v>
      </c>
      <c r="C156" t="s">
        <v>16</v>
      </c>
      <c r="D156" t="s">
        <v>17</v>
      </c>
      <c r="E156" t="s">
        <v>18</v>
      </c>
      <c r="F156" t="s">
        <v>19</v>
      </c>
      <c r="G156" t="s">
        <v>62</v>
      </c>
      <c r="H156" t="s">
        <v>21</v>
      </c>
      <c r="I156" t="s">
        <v>24</v>
      </c>
      <c r="J156" t="s">
        <v>148</v>
      </c>
      <c r="K156" t="s">
        <v>23</v>
      </c>
      <c r="L156">
        <v>558</v>
      </c>
      <c r="M156">
        <v>18.161976299999999</v>
      </c>
      <c r="N156">
        <v>70.831496287405585</v>
      </c>
      <c r="O156">
        <v>-0.84746192934203457</v>
      </c>
      <c r="P156" s="1" t="str">
        <f>HYPERLINK(".\sm_car_250805_2313\sm_car_250805_2313_155_Ca155TrN_MaLSS_DrSt_ode23t_1.png","figure")</f>
        <v>figure</v>
      </c>
      <c r="Q156" t="s">
        <v>15</v>
      </c>
    </row>
    <row r="157" spans="1:17" x14ac:dyDescent="0.25">
      <c r="A157">
        <v>156</v>
      </c>
      <c r="B157">
        <v>4</v>
      </c>
      <c r="C157" t="s">
        <v>16</v>
      </c>
      <c r="D157" t="s">
        <v>17</v>
      </c>
      <c r="E157" t="s">
        <v>18</v>
      </c>
      <c r="F157" t="s">
        <v>28</v>
      </c>
      <c r="G157" t="s">
        <v>20</v>
      </c>
      <c r="H157" t="s">
        <v>21</v>
      </c>
      <c r="I157" t="s">
        <v>22</v>
      </c>
      <c r="J157" t="s">
        <v>148</v>
      </c>
      <c r="K157" t="s">
        <v>63</v>
      </c>
      <c r="L157">
        <v>3247</v>
      </c>
      <c r="M157">
        <v>8.6328440999999998</v>
      </c>
      <c r="N157">
        <v>231.38224683871496</v>
      </c>
      <c r="O157">
        <v>2.2339937171260366E-3</v>
      </c>
      <c r="P157" s="1" t="str">
        <f>HYPERLINK(".\sm_car_250805_2313\sm_car_250805_2313_156_Ca004TrN_MaWOT_DrSt_ode3_1.png","figure")</f>
        <v>figure</v>
      </c>
      <c r="Q157" t="s">
        <v>15</v>
      </c>
    </row>
    <row r="158" spans="1:17" x14ac:dyDescent="0.25">
      <c r="A158">
        <v>157</v>
      </c>
      <c r="B158">
        <v>4</v>
      </c>
      <c r="C158" t="s">
        <v>16</v>
      </c>
      <c r="D158" t="s">
        <v>17</v>
      </c>
      <c r="E158" t="s">
        <v>18</v>
      </c>
      <c r="F158" t="s">
        <v>28</v>
      </c>
      <c r="G158" t="s">
        <v>20</v>
      </c>
      <c r="H158" t="s">
        <v>21</v>
      </c>
      <c r="I158" t="s">
        <v>24</v>
      </c>
      <c r="J158" t="s">
        <v>148</v>
      </c>
      <c r="K158" t="s">
        <v>63</v>
      </c>
      <c r="L158">
        <v>2564</v>
      </c>
      <c r="M158">
        <v>7.1176279999999998</v>
      </c>
      <c r="N158">
        <v>71.251895399548502</v>
      </c>
      <c r="O158">
        <v>-0.54030571140992245</v>
      </c>
      <c r="P158" s="1" t="str">
        <f>HYPERLINK(".\sm_car_250805_2313\sm_car_250805_2313_157_Ca004TrN_MaLSS_DrSt_ode3_1.png","figure")</f>
        <v>figure</v>
      </c>
      <c r="Q158" t="s">
        <v>15</v>
      </c>
    </row>
    <row r="159" spans="1:17" x14ac:dyDescent="0.25">
      <c r="A159">
        <v>158</v>
      </c>
      <c r="B159">
        <v>4</v>
      </c>
      <c r="C159" t="s">
        <v>16</v>
      </c>
      <c r="D159" t="s">
        <v>17</v>
      </c>
      <c r="E159" t="s">
        <v>18</v>
      </c>
      <c r="F159" t="s">
        <v>28</v>
      </c>
      <c r="G159" t="s">
        <v>20</v>
      </c>
      <c r="H159" t="s">
        <v>21</v>
      </c>
      <c r="I159" t="s">
        <v>64</v>
      </c>
      <c r="J159" t="s">
        <v>148</v>
      </c>
      <c r="K159" t="s">
        <v>63</v>
      </c>
      <c r="L159">
        <v>2562</v>
      </c>
      <c r="M159">
        <v>6.7132543</v>
      </c>
      <c r="N159">
        <v>63.784285151621532</v>
      </c>
      <c r="O159">
        <v>-25.042725609682812</v>
      </c>
      <c r="P159" s="1" t="str">
        <f>HYPERLINK(".\sm_car_250805_2313\sm_car_250805_2313_158_Ca004TrN_MaTUR_DrSt_ode3_1.png","figure")</f>
        <v>figure</v>
      </c>
      <c r="Q159" t="s">
        <v>15</v>
      </c>
    </row>
    <row r="160" spans="1:17" x14ac:dyDescent="0.25">
      <c r="A160">
        <v>159</v>
      </c>
      <c r="B160">
        <v>116</v>
      </c>
      <c r="C160" t="s">
        <v>16</v>
      </c>
      <c r="D160" t="s">
        <v>35</v>
      </c>
      <c r="E160" t="s">
        <v>18</v>
      </c>
      <c r="F160" t="s">
        <v>28</v>
      </c>
      <c r="G160" t="s">
        <v>20</v>
      </c>
      <c r="H160" t="s">
        <v>21</v>
      </c>
      <c r="I160" t="s">
        <v>22</v>
      </c>
      <c r="J160" t="s">
        <v>148</v>
      </c>
      <c r="K160" t="s">
        <v>63</v>
      </c>
      <c r="L160">
        <v>3244</v>
      </c>
      <c r="M160">
        <v>3.7610283999999998</v>
      </c>
      <c r="N160">
        <v>242.69607452341987</v>
      </c>
      <c r="O160">
        <v>0.23635446031101723</v>
      </c>
      <c r="P160" s="1" t="str">
        <f>HYPERLINK(".\sm_car_250805_2313\sm_car_250805_2313_159_Ca116TrN_MaWOT_DrSt_ode3_1.png","figure")</f>
        <v>figure</v>
      </c>
      <c r="Q160" t="s">
        <v>15</v>
      </c>
    </row>
    <row r="161" spans="1:17" x14ac:dyDescent="0.25">
      <c r="A161">
        <v>160</v>
      </c>
      <c r="B161">
        <v>116</v>
      </c>
      <c r="C161" t="s">
        <v>16</v>
      </c>
      <c r="D161" t="s">
        <v>35</v>
      </c>
      <c r="E161" t="s">
        <v>18</v>
      </c>
      <c r="F161" t="s">
        <v>28</v>
      </c>
      <c r="G161" t="s">
        <v>20</v>
      </c>
      <c r="H161" t="s">
        <v>21</v>
      </c>
      <c r="I161" t="s">
        <v>24</v>
      </c>
      <c r="J161" t="s">
        <v>148</v>
      </c>
      <c r="K161" t="s">
        <v>63</v>
      </c>
      <c r="L161">
        <v>2564</v>
      </c>
      <c r="M161">
        <v>3.1577327999999998</v>
      </c>
      <c r="N161">
        <v>74.657190781644118</v>
      </c>
      <c r="O161">
        <v>-0.34075824439014252</v>
      </c>
      <c r="P161" s="1" t="str">
        <f>HYPERLINK(".\sm_car_250805_2313\sm_car_250805_2313_160_Ca116TrN_MaLSS_DrSt_ode3_1.png","figure")</f>
        <v>figure</v>
      </c>
      <c r="Q161" t="s">
        <v>15</v>
      </c>
    </row>
    <row r="162" spans="1:17" x14ac:dyDescent="0.25">
      <c r="A162">
        <v>161</v>
      </c>
      <c r="B162">
        <v>116</v>
      </c>
      <c r="C162" t="s">
        <v>16</v>
      </c>
      <c r="D162" t="s">
        <v>35</v>
      </c>
      <c r="E162" t="s">
        <v>18</v>
      </c>
      <c r="F162" t="s">
        <v>28</v>
      </c>
      <c r="G162" t="s">
        <v>20</v>
      </c>
      <c r="H162" t="s">
        <v>21</v>
      </c>
      <c r="I162" t="s">
        <v>64</v>
      </c>
      <c r="J162" t="s">
        <v>148</v>
      </c>
      <c r="K162" t="s">
        <v>63</v>
      </c>
      <c r="L162">
        <v>2563</v>
      </c>
      <c r="M162">
        <v>3.1000809999999999</v>
      </c>
      <c r="N162">
        <v>71.322015477791922</v>
      </c>
      <c r="O162">
        <v>-17.59032913116118</v>
      </c>
      <c r="P162" s="1" t="str">
        <f>HYPERLINK(".\sm_car_250805_2313\sm_car_250805_2313_161_Ca116TrN_MaTUR_DrSt_ode3_1.png","figure")</f>
        <v>figure</v>
      </c>
      <c r="Q162" t="s">
        <v>15</v>
      </c>
    </row>
    <row r="163" spans="1:17" x14ac:dyDescent="0.25">
      <c r="A163">
        <v>162</v>
      </c>
      <c r="B163">
        <v>124</v>
      </c>
      <c r="C163" t="s">
        <v>16</v>
      </c>
      <c r="D163" t="s">
        <v>35</v>
      </c>
      <c r="E163" t="s">
        <v>49</v>
      </c>
      <c r="F163" t="s">
        <v>28</v>
      </c>
      <c r="G163" t="s">
        <v>20</v>
      </c>
      <c r="H163" t="s">
        <v>21</v>
      </c>
      <c r="I163" t="s">
        <v>22</v>
      </c>
      <c r="J163" t="s">
        <v>148</v>
      </c>
      <c r="K163" t="s">
        <v>63</v>
      </c>
      <c r="L163">
        <v>3244</v>
      </c>
      <c r="M163">
        <v>2.1100360999999999</v>
      </c>
      <c r="N163">
        <v>242.87242715534217</v>
      </c>
      <c r="O163">
        <v>0.2361586465591097</v>
      </c>
      <c r="P163" s="1" t="str">
        <f>HYPERLINK(".\sm_car_250805_2313\sm_car_250805_2313_162_Ca124TrN_MaWOT_DrSt_ode3_1.png","figure")</f>
        <v>figure</v>
      </c>
      <c r="Q163" t="s">
        <v>15</v>
      </c>
    </row>
    <row r="164" spans="1:17" x14ac:dyDescent="0.25">
      <c r="A164">
        <v>163</v>
      </c>
      <c r="B164">
        <v>124</v>
      </c>
      <c r="C164" t="s">
        <v>16</v>
      </c>
      <c r="D164" t="s">
        <v>35</v>
      </c>
      <c r="E164" t="s">
        <v>49</v>
      </c>
      <c r="F164" t="s">
        <v>28</v>
      </c>
      <c r="G164" t="s">
        <v>20</v>
      </c>
      <c r="H164" t="s">
        <v>21</v>
      </c>
      <c r="I164" t="s">
        <v>24</v>
      </c>
      <c r="J164" t="s">
        <v>148</v>
      </c>
      <c r="K164" t="s">
        <v>63</v>
      </c>
      <c r="L164">
        <v>2565</v>
      </c>
      <c r="M164">
        <v>1.7423312</v>
      </c>
      <c r="N164">
        <v>74.796106047599494</v>
      </c>
      <c r="O164">
        <v>-0.34233746651595126</v>
      </c>
      <c r="P164" s="1" t="str">
        <f>HYPERLINK(".\sm_car_250805_2313\sm_car_250805_2313_163_Ca124TrN_MaLSS_DrSt_ode3_1.png","figure")</f>
        <v>figure</v>
      </c>
      <c r="Q164" t="s">
        <v>15</v>
      </c>
    </row>
    <row r="165" spans="1:17" x14ac:dyDescent="0.25">
      <c r="A165">
        <v>164</v>
      </c>
      <c r="B165">
        <v>124</v>
      </c>
      <c r="C165" t="s">
        <v>16</v>
      </c>
      <c r="D165" t="s">
        <v>35</v>
      </c>
      <c r="E165" t="s">
        <v>49</v>
      </c>
      <c r="F165" t="s">
        <v>28</v>
      </c>
      <c r="G165" t="s">
        <v>20</v>
      </c>
      <c r="H165" t="s">
        <v>21</v>
      </c>
      <c r="I165" t="s">
        <v>64</v>
      </c>
      <c r="J165" t="s">
        <v>148</v>
      </c>
      <c r="K165" t="s">
        <v>63</v>
      </c>
      <c r="L165">
        <v>2564</v>
      </c>
      <c r="M165">
        <v>1.755949</v>
      </c>
      <c r="N165">
        <v>71.447408139703882</v>
      </c>
      <c r="O165">
        <v>-17.636376353758354</v>
      </c>
      <c r="P165" s="1" t="str">
        <f>HYPERLINK(".\sm_car_250805_2313\sm_car_250805_2313_164_Ca124TrN_MaTUR_DrSt_ode3_1.png","figure")</f>
        <v>figure</v>
      </c>
      <c r="Q165" t="s">
        <v>15</v>
      </c>
    </row>
    <row r="166" spans="1:17" x14ac:dyDescent="0.25">
      <c r="A166">
        <v>165</v>
      </c>
      <c r="B166">
        <v>141</v>
      </c>
      <c r="C166" t="s">
        <v>45</v>
      </c>
      <c r="D166" t="s">
        <v>17</v>
      </c>
      <c r="E166" t="s">
        <v>18</v>
      </c>
      <c r="F166" t="s">
        <v>28</v>
      </c>
      <c r="G166" t="s">
        <v>26</v>
      </c>
      <c r="H166" t="s">
        <v>21</v>
      </c>
      <c r="I166" t="s">
        <v>22</v>
      </c>
      <c r="J166" t="s">
        <v>148</v>
      </c>
      <c r="K166" t="s">
        <v>63</v>
      </c>
      <c r="L166">
        <v>3837</v>
      </c>
      <c r="M166">
        <v>11.3868367</v>
      </c>
      <c r="N166">
        <v>405.26699927161485</v>
      </c>
      <c r="O166">
        <v>1.5961569122996149</v>
      </c>
      <c r="P166" s="1" t="str">
        <f>HYPERLINK(".\sm_car_250805_2313\sm_car_250805_2313_165_Ca141TrN_MaWOT_DrSt_ode3_1.png","figure")</f>
        <v>figure</v>
      </c>
      <c r="Q166" t="s">
        <v>15</v>
      </c>
    </row>
    <row r="167" spans="1:17" x14ac:dyDescent="0.25">
      <c r="A167">
        <v>166</v>
      </c>
      <c r="B167">
        <v>141</v>
      </c>
      <c r="C167" t="s">
        <v>45</v>
      </c>
      <c r="D167" t="s">
        <v>17</v>
      </c>
      <c r="E167" t="s">
        <v>18</v>
      </c>
      <c r="F167" t="s">
        <v>28</v>
      </c>
      <c r="G167" t="s">
        <v>26</v>
      </c>
      <c r="H167" t="s">
        <v>21</v>
      </c>
      <c r="I167" t="s">
        <v>24</v>
      </c>
      <c r="J167" t="s">
        <v>148</v>
      </c>
      <c r="K167" t="s">
        <v>63</v>
      </c>
      <c r="L167">
        <v>3192</v>
      </c>
      <c r="M167">
        <v>9.9318810000000006</v>
      </c>
      <c r="N167">
        <v>154.45726064104292</v>
      </c>
      <c r="O167">
        <v>-0.58045900798927486</v>
      </c>
      <c r="P167" s="1" t="str">
        <f>HYPERLINK(".\sm_car_250805_2313\sm_car_250805_2313_166_Ca141TrN_MaLSS_DrSt_ode3_1.png","figure")</f>
        <v>figure</v>
      </c>
      <c r="Q167" t="s">
        <v>15</v>
      </c>
    </row>
    <row r="168" spans="1:17" x14ac:dyDescent="0.25">
      <c r="A168">
        <v>167</v>
      </c>
      <c r="B168">
        <v>141</v>
      </c>
      <c r="C168" t="s">
        <v>45</v>
      </c>
      <c r="D168" t="s">
        <v>17</v>
      </c>
      <c r="E168" t="s">
        <v>18</v>
      </c>
      <c r="F168" t="s">
        <v>28</v>
      </c>
      <c r="G168" t="s">
        <v>26</v>
      </c>
      <c r="H168" t="s">
        <v>21</v>
      </c>
      <c r="I168" t="s">
        <v>64</v>
      </c>
      <c r="J168" t="s">
        <v>148</v>
      </c>
      <c r="K168" t="s">
        <v>63</v>
      </c>
      <c r="L168">
        <v>3160</v>
      </c>
      <c r="M168">
        <v>9.5224167000000008</v>
      </c>
      <c r="N168">
        <v>98.352619069086302</v>
      </c>
      <c r="O168">
        <v>-87.510631613405067</v>
      </c>
      <c r="P168" s="1" t="str">
        <f>HYPERLINK(".\sm_car_250805_2313\sm_car_250805_2313_167_Ca141TrN_MaTUR_DrSt_ode3_1.png","figure")</f>
        <v>figure</v>
      </c>
      <c r="Q168" t="s">
        <v>15</v>
      </c>
    </row>
    <row r="169" spans="1:17" x14ac:dyDescent="0.25">
      <c r="A169">
        <v>168</v>
      </c>
      <c r="B169">
        <v>145</v>
      </c>
      <c r="C169" t="s">
        <v>46</v>
      </c>
      <c r="D169" t="s">
        <v>17</v>
      </c>
      <c r="E169" t="s">
        <v>50</v>
      </c>
      <c r="F169" t="s">
        <v>19</v>
      </c>
      <c r="G169" t="s">
        <v>26</v>
      </c>
      <c r="H169" t="s">
        <v>21</v>
      </c>
      <c r="I169" t="s">
        <v>22</v>
      </c>
      <c r="J169" t="s">
        <v>148</v>
      </c>
      <c r="K169" t="s">
        <v>63</v>
      </c>
      <c r="L169">
        <v>2645</v>
      </c>
      <c r="M169">
        <v>6.7063338000000003</v>
      </c>
      <c r="N169">
        <v>62.986821635983219</v>
      </c>
      <c r="O169">
        <v>3.4728343260720516E-2</v>
      </c>
      <c r="P169" s="1" t="str">
        <f>HYPERLINK(".\sm_car_250805_2313\sm_car_250805_2313_168_Ca145TrN_MaWOT_DrSt_ode3_1.png","figure")</f>
        <v>figure</v>
      </c>
      <c r="Q169" t="s">
        <v>15</v>
      </c>
    </row>
    <row r="170" spans="1:17" x14ac:dyDescent="0.25">
      <c r="A170">
        <v>169</v>
      </c>
      <c r="B170">
        <v>145</v>
      </c>
      <c r="C170" t="s">
        <v>46</v>
      </c>
      <c r="D170" t="s">
        <v>17</v>
      </c>
      <c r="E170" t="s">
        <v>50</v>
      </c>
      <c r="F170" t="s">
        <v>19</v>
      </c>
      <c r="G170" t="s">
        <v>26</v>
      </c>
      <c r="H170" t="s">
        <v>21</v>
      </c>
      <c r="I170" t="s">
        <v>24</v>
      </c>
      <c r="J170" t="s">
        <v>148</v>
      </c>
      <c r="K170" t="s">
        <v>63</v>
      </c>
      <c r="L170">
        <v>2383</v>
      </c>
      <c r="M170">
        <v>6.2652685000000004</v>
      </c>
      <c r="N170">
        <v>25.350384528538779</v>
      </c>
      <c r="O170">
        <v>-4.147040037020653E-2</v>
      </c>
      <c r="P170" s="1" t="str">
        <f>HYPERLINK(".\sm_car_250805_2313\sm_car_250805_2313_169_Ca145TrN_MaLSS_DrSt_ode3_1.png","figure")</f>
        <v>figure</v>
      </c>
      <c r="Q170" t="s">
        <v>15</v>
      </c>
    </row>
    <row r="171" spans="1:17" x14ac:dyDescent="0.25">
      <c r="A171">
        <v>170</v>
      </c>
      <c r="B171">
        <v>145</v>
      </c>
      <c r="C171" t="s">
        <v>46</v>
      </c>
      <c r="D171" t="s">
        <v>17</v>
      </c>
      <c r="E171" t="s">
        <v>50</v>
      </c>
      <c r="F171" t="s">
        <v>19</v>
      </c>
      <c r="G171" t="s">
        <v>26</v>
      </c>
      <c r="H171" t="s">
        <v>21</v>
      </c>
      <c r="I171" t="s">
        <v>64</v>
      </c>
      <c r="J171" t="s">
        <v>148</v>
      </c>
      <c r="K171" t="s">
        <v>63</v>
      </c>
      <c r="L171">
        <v>2381</v>
      </c>
      <c r="M171">
        <v>6.3472156999999996</v>
      </c>
      <c r="N171">
        <v>25.137841099484849</v>
      </c>
      <c r="O171">
        <v>-2.6089116950163844</v>
      </c>
      <c r="P171" s="1" t="str">
        <f>HYPERLINK(".\sm_car_250805_2313\sm_car_250805_2313_170_Ca145TrN_MaTUR_DrSt_ode3_1.png","figure")</f>
        <v>figure</v>
      </c>
      <c r="Q171" t="s">
        <v>15</v>
      </c>
    </row>
    <row r="172" spans="1:17" x14ac:dyDescent="0.25">
      <c r="A172">
        <v>171</v>
      </c>
      <c r="B172">
        <v>199</v>
      </c>
      <c r="C172" t="s">
        <v>46</v>
      </c>
      <c r="D172" t="s">
        <v>17</v>
      </c>
      <c r="E172" t="s">
        <v>109</v>
      </c>
      <c r="F172" t="s">
        <v>19</v>
      </c>
      <c r="G172" t="s">
        <v>26</v>
      </c>
      <c r="H172" t="s">
        <v>21</v>
      </c>
      <c r="I172" t="s">
        <v>22</v>
      </c>
      <c r="J172" t="s">
        <v>148</v>
      </c>
      <c r="K172" t="s">
        <v>63</v>
      </c>
      <c r="L172">
        <v>2646</v>
      </c>
      <c r="M172">
        <v>7.4282494999999997</v>
      </c>
      <c r="N172">
        <v>63.666464393251772</v>
      </c>
      <c r="O172">
        <v>0.10020892810743987</v>
      </c>
      <c r="P172" s="1" t="str">
        <f>HYPERLINK(".\sm_car_250805_2313\sm_car_250805_2313_171_Ca199TrN_MaWOT_DrSt_ode3_1.png","figure")</f>
        <v>figure</v>
      </c>
      <c r="Q172" t="s">
        <v>15</v>
      </c>
    </row>
    <row r="173" spans="1:17" x14ac:dyDescent="0.25">
      <c r="A173">
        <v>172</v>
      </c>
      <c r="B173">
        <v>199</v>
      </c>
      <c r="C173" t="s">
        <v>46</v>
      </c>
      <c r="D173" t="s">
        <v>17</v>
      </c>
      <c r="E173" t="s">
        <v>109</v>
      </c>
      <c r="F173" t="s">
        <v>19</v>
      </c>
      <c r="G173" t="s">
        <v>26</v>
      </c>
      <c r="H173" t="s">
        <v>21</v>
      </c>
      <c r="I173" t="s">
        <v>24</v>
      </c>
      <c r="J173" t="s">
        <v>148</v>
      </c>
      <c r="K173" t="s">
        <v>63</v>
      </c>
      <c r="L173">
        <v>2387</v>
      </c>
      <c r="M173">
        <v>6.8038224999999999</v>
      </c>
      <c r="N173">
        <v>25.965284803801108</v>
      </c>
      <c r="O173">
        <v>-2.8437674276315383E-2</v>
      </c>
      <c r="P173" s="1" t="str">
        <f>HYPERLINK(".\sm_car_250805_2313\sm_car_250805_2313_172_Ca199TrN_MaLSS_DrSt_ode3_1.png","figure")</f>
        <v>figure</v>
      </c>
      <c r="Q173" t="s">
        <v>15</v>
      </c>
    </row>
    <row r="174" spans="1:17" x14ac:dyDescent="0.25">
      <c r="A174">
        <v>173</v>
      </c>
      <c r="B174">
        <v>199</v>
      </c>
      <c r="C174" t="s">
        <v>46</v>
      </c>
      <c r="D174" t="s">
        <v>17</v>
      </c>
      <c r="E174" t="s">
        <v>109</v>
      </c>
      <c r="F174" t="s">
        <v>19</v>
      </c>
      <c r="G174" t="s">
        <v>26</v>
      </c>
      <c r="H174" t="s">
        <v>21</v>
      </c>
      <c r="I174" t="s">
        <v>64</v>
      </c>
      <c r="J174" t="s">
        <v>148</v>
      </c>
      <c r="K174" t="s">
        <v>63</v>
      </c>
      <c r="L174">
        <v>2383</v>
      </c>
      <c r="M174">
        <v>7.0686470999999997</v>
      </c>
      <c r="N174">
        <v>25.754133243783855</v>
      </c>
      <c r="O174">
        <v>-2.6783870275139745</v>
      </c>
      <c r="P174" s="1" t="str">
        <f>HYPERLINK(".\sm_car_250805_2313\sm_car_250805_2313_173_Ca199TrN_MaTUR_DrSt_ode3_1.png","figure")</f>
        <v>figure</v>
      </c>
      <c r="Q174" t="s">
        <v>15</v>
      </c>
    </row>
    <row r="175" spans="1:17" x14ac:dyDescent="0.25">
      <c r="A175">
        <v>174</v>
      </c>
      <c r="B175">
        <v>139</v>
      </c>
      <c r="C175" t="s">
        <v>45</v>
      </c>
      <c r="D175" t="s">
        <v>17</v>
      </c>
      <c r="E175" t="s">
        <v>18</v>
      </c>
      <c r="F175" t="s">
        <v>19</v>
      </c>
      <c r="G175" t="s">
        <v>26</v>
      </c>
      <c r="H175" t="s">
        <v>21</v>
      </c>
      <c r="I175" t="s">
        <v>53</v>
      </c>
      <c r="J175" t="s">
        <v>148</v>
      </c>
      <c r="K175" t="s">
        <v>23</v>
      </c>
      <c r="L175">
        <v>520</v>
      </c>
      <c r="M175">
        <v>11.9025657</v>
      </c>
      <c r="N175">
        <v>253.99864454206647</v>
      </c>
      <c r="O175">
        <v>-7.9455582439176275E-3</v>
      </c>
      <c r="P175" s="1" t="str">
        <f>HYPERLINK(".\sm_car_250805_2313\sm_car_250805_2313_174_Ca139TrN_MaDLC_DrSt_ode23t_1.png","figure")</f>
        <v>figure</v>
      </c>
      <c r="Q175" t="s">
        <v>15</v>
      </c>
    </row>
    <row r="176" spans="1:17" x14ac:dyDescent="0.25">
      <c r="A176">
        <v>175</v>
      </c>
      <c r="B176">
        <v>139</v>
      </c>
      <c r="C176" t="s">
        <v>45</v>
      </c>
      <c r="D176" t="s">
        <v>17</v>
      </c>
      <c r="E176" t="s">
        <v>18</v>
      </c>
      <c r="F176" t="s">
        <v>19</v>
      </c>
      <c r="G176" t="s">
        <v>26</v>
      </c>
      <c r="H176" t="s">
        <v>65</v>
      </c>
      <c r="I176" t="s">
        <v>53</v>
      </c>
      <c r="J176" t="s">
        <v>148</v>
      </c>
      <c r="K176" t="s">
        <v>23</v>
      </c>
      <c r="L176">
        <v>895</v>
      </c>
      <c r="M176">
        <v>31.600142999999999</v>
      </c>
      <c r="N176">
        <v>253.2379445377947</v>
      </c>
      <c r="O176">
        <v>0.1643335419110743</v>
      </c>
      <c r="P176" s="1" t="str">
        <f>HYPERLINK(".\sm_car_250805_2313\sm_car_250805_2313_175_Ca139TrE_MaDLC_DrSt_ode23t_1.png","figure")</f>
        <v>figure</v>
      </c>
      <c r="Q176" t="s">
        <v>15</v>
      </c>
    </row>
    <row r="177" spans="1:17" x14ac:dyDescent="0.25">
      <c r="A177">
        <v>176</v>
      </c>
      <c r="B177">
        <v>139</v>
      </c>
      <c r="C177" t="s">
        <v>45</v>
      </c>
      <c r="D177" t="s">
        <v>17</v>
      </c>
      <c r="E177" t="s">
        <v>18</v>
      </c>
      <c r="F177" t="s">
        <v>19</v>
      </c>
      <c r="G177" t="s">
        <v>26</v>
      </c>
      <c r="H177" t="s">
        <v>66</v>
      </c>
      <c r="I177" t="s">
        <v>53</v>
      </c>
      <c r="J177" t="s">
        <v>148</v>
      </c>
      <c r="K177" t="s">
        <v>23</v>
      </c>
      <c r="L177">
        <v>910</v>
      </c>
      <c r="M177">
        <v>34.527022799999997</v>
      </c>
      <c r="N177">
        <v>253.57262550135965</v>
      </c>
      <c r="O177">
        <v>-7.912654230171956E-3</v>
      </c>
      <c r="P177" s="1" t="str">
        <f>HYPERLINK(".\sm_car_250805_2313\sm_car_250805_2313_176_Ca139TrT_MaDLC_DrSt_ode23t_1.png","figure")</f>
        <v>figure</v>
      </c>
      <c r="Q177" t="s">
        <v>15</v>
      </c>
    </row>
    <row r="178" spans="1:17" x14ac:dyDescent="0.25">
      <c r="A178">
        <v>177</v>
      </c>
      <c r="B178">
        <v>139</v>
      </c>
      <c r="C178" t="s">
        <v>45</v>
      </c>
      <c r="D178" t="s">
        <v>17</v>
      </c>
      <c r="E178" t="s">
        <v>18</v>
      </c>
      <c r="F178" t="s">
        <v>19</v>
      </c>
      <c r="G178" t="s">
        <v>26</v>
      </c>
      <c r="H178" t="s">
        <v>65</v>
      </c>
      <c r="I178" t="s">
        <v>53</v>
      </c>
      <c r="J178" t="s">
        <v>148</v>
      </c>
      <c r="K178" t="s">
        <v>23</v>
      </c>
      <c r="L178">
        <v>795</v>
      </c>
      <c r="M178">
        <v>21.3836732</v>
      </c>
      <c r="N178">
        <v>253.43217150792168</v>
      </c>
      <c r="O178">
        <v>1.5227979648919199E-2</v>
      </c>
      <c r="P178" s="1" t="str">
        <f>HYPERLINK(".\sm_car_250805_2313\sm_car_250805_2313_177_Ca139TrE_MaDLC_DrSt_ode23t_1.png","figure")</f>
        <v>figure</v>
      </c>
      <c r="Q178" t="s">
        <v>15</v>
      </c>
    </row>
    <row r="179" spans="1:17" x14ac:dyDescent="0.25">
      <c r="A179">
        <v>178</v>
      </c>
      <c r="B179">
        <v>2</v>
      </c>
      <c r="C179" t="s">
        <v>16</v>
      </c>
      <c r="D179" t="s">
        <v>17</v>
      </c>
      <c r="E179" t="s">
        <v>18</v>
      </c>
      <c r="F179" t="s">
        <v>19</v>
      </c>
      <c r="G179" t="s">
        <v>26</v>
      </c>
      <c r="H179" t="s">
        <v>21</v>
      </c>
      <c r="I179" t="s">
        <v>53</v>
      </c>
      <c r="J179" t="s">
        <v>148</v>
      </c>
      <c r="K179" t="s">
        <v>23</v>
      </c>
      <c r="L179">
        <v>534</v>
      </c>
      <c r="M179">
        <v>9.4853193000000005</v>
      </c>
      <c r="N179">
        <v>253.76202532752666</v>
      </c>
      <c r="O179">
        <v>4.5522999983445001E-2</v>
      </c>
      <c r="P179" s="1" t="str">
        <f>HYPERLINK(".\sm_car_250805_2313\sm_car_250805_2313_178_Ca002TrN_MaDLC_DrSt_ode23t_1.png","figure")</f>
        <v>figure</v>
      </c>
      <c r="Q179" t="s">
        <v>15</v>
      </c>
    </row>
    <row r="180" spans="1:17" x14ac:dyDescent="0.25">
      <c r="A180">
        <v>179</v>
      </c>
      <c r="B180">
        <v>2</v>
      </c>
      <c r="C180" t="s">
        <v>16</v>
      </c>
      <c r="D180" t="s">
        <v>17</v>
      </c>
      <c r="E180" t="s">
        <v>18</v>
      </c>
      <c r="F180" t="s">
        <v>19</v>
      </c>
      <c r="G180" t="s">
        <v>26</v>
      </c>
      <c r="H180" t="s">
        <v>65</v>
      </c>
      <c r="I180" t="s">
        <v>53</v>
      </c>
      <c r="J180" t="s">
        <v>148</v>
      </c>
      <c r="K180" t="s">
        <v>23</v>
      </c>
      <c r="L180">
        <v>570</v>
      </c>
      <c r="M180">
        <v>17.998428799999999</v>
      </c>
      <c r="N180">
        <v>254.90047301397647</v>
      </c>
      <c r="O180">
        <v>4.1917218825538782E-2</v>
      </c>
      <c r="P180" s="1" t="str">
        <f>HYPERLINK(".\sm_car_250805_2313\sm_car_250805_2313_179_Ca002TrE_MaDLC_DrSt_ode23t_1.png","figure")</f>
        <v>figure</v>
      </c>
      <c r="Q180" t="s">
        <v>15</v>
      </c>
    </row>
    <row r="181" spans="1:17" x14ac:dyDescent="0.25">
      <c r="A181">
        <v>180</v>
      </c>
      <c r="B181">
        <v>2</v>
      </c>
      <c r="C181" t="s">
        <v>16</v>
      </c>
      <c r="D181" t="s">
        <v>17</v>
      </c>
      <c r="E181" t="s">
        <v>18</v>
      </c>
      <c r="F181" t="s">
        <v>19</v>
      </c>
      <c r="G181" t="s">
        <v>26</v>
      </c>
      <c r="H181" t="s">
        <v>66</v>
      </c>
      <c r="I181" t="s">
        <v>53</v>
      </c>
      <c r="J181" t="s">
        <v>148</v>
      </c>
      <c r="K181" t="s">
        <v>23</v>
      </c>
      <c r="L181">
        <v>1008</v>
      </c>
      <c r="M181">
        <v>35.411762099999997</v>
      </c>
      <c r="N181">
        <v>253.88715926833027</v>
      </c>
      <c r="O181">
        <v>4.507410886492158E-2</v>
      </c>
      <c r="P181" s="1" t="str">
        <f>HYPERLINK(".\sm_car_250805_2313\sm_car_250805_2313_180_Ca002TrT_MaDLC_DrSt_ode23t_1.png","figure")</f>
        <v>figure</v>
      </c>
      <c r="Q181" t="s">
        <v>15</v>
      </c>
    </row>
    <row r="182" spans="1:17" x14ac:dyDescent="0.25">
      <c r="A182">
        <v>181</v>
      </c>
      <c r="B182">
        <v>2</v>
      </c>
      <c r="C182" t="s">
        <v>16</v>
      </c>
      <c r="D182" t="s">
        <v>17</v>
      </c>
      <c r="E182" t="s">
        <v>18</v>
      </c>
      <c r="F182" t="s">
        <v>19</v>
      </c>
      <c r="G182" t="s">
        <v>26</v>
      </c>
      <c r="H182" t="s">
        <v>65</v>
      </c>
      <c r="I182" t="s">
        <v>53</v>
      </c>
      <c r="J182" t="s">
        <v>148</v>
      </c>
      <c r="K182" t="s">
        <v>23</v>
      </c>
      <c r="L182">
        <v>570</v>
      </c>
      <c r="M182">
        <v>13.746468200000001</v>
      </c>
      <c r="N182">
        <v>254.20110631159048</v>
      </c>
      <c r="O182">
        <v>4.4465315463175781E-2</v>
      </c>
      <c r="P182" s="1" t="str">
        <f>HYPERLINK(".\sm_car_250805_2313\sm_car_250805_2313_181_Ca002TrE_MaDLC_DrSt_ode23t_1.png","figure")</f>
        <v>figure</v>
      </c>
      <c r="Q182" t="s">
        <v>15</v>
      </c>
    </row>
    <row r="183" spans="1:17" x14ac:dyDescent="0.25">
      <c r="A183">
        <v>182</v>
      </c>
      <c r="B183">
        <v>145</v>
      </c>
      <c r="C183" t="s">
        <v>46</v>
      </c>
      <c r="D183" t="s">
        <v>17</v>
      </c>
      <c r="E183" t="s">
        <v>50</v>
      </c>
      <c r="F183" t="s">
        <v>19</v>
      </c>
      <c r="G183" t="s">
        <v>26</v>
      </c>
      <c r="H183" t="s">
        <v>21</v>
      </c>
      <c r="I183" t="s">
        <v>53</v>
      </c>
      <c r="J183" t="s">
        <v>148</v>
      </c>
      <c r="K183" t="s">
        <v>23</v>
      </c>
      <c r="L183">
        <v>458</v>
      </c>
      <c r="M183">
        <v>15.908891499999999</v>
      </c>
      <c r="N183">
        <v>253.96013014827827</v>
      </c>
      <c r="O183">
        <v>7.4761119357884542E-2</v>
      </c>
      <c r="P183" s="1" t="str">
        <f>HYPERLINK(".\sm_car_250805_2313\sm_car_250805_2313_182_Ca145TrN_MaDLC_DrSt_ode23t_1.png","figure")</f>
        <v>figure</v>
      </c>
      <c r="Q183" t="s">
        <v>15</v>
      </c>
    </row>
    <row r="184" spans="1:17" x14ac:dyDescent="0.25">
      <c r="A184">
        <v>183</v>
      </c>
      <c r="B184">
        <v>145</v>
      </c>
      <c r="C184" t="s">
        <v>46</v>
      </c>
      <c r="D184" t="s">
        <v>17</v>
      </c>
      <c r="E184" t="s">
        <v>50</v>
      </c>
      <c r="F184" t="s">
        <v>19</v>
      </c>
      <c r="G184" t="s">
        <v>26</v>
      </c>
      <c r="H184" t="s">
        <v>65</v>
      </c>
      <c r="I184" t="s">
        <v>53</v>
      </c>
      <c r="J184" t="s">
        <v>148</v>
      </c>
      <c r="K184" t="s">
        <v>23</v>
      </c>
      <c r="L184">
        <v>568</v>
      </c>
      <c r="M184">
        <v>31.458552399999999</v>
      </c>
      <c r="N184">
        <v>253.83641660474387</v>
      </c>
      <c r="O184">
        <v>7.5892670149139363E-2</v>
      </c>
      <c r="P184" s="1" t="str">
        <f>HYPERLINK(".\sm_car_250805_2313\sm_car_250805_2313_183_Ca145TrE_MaDLC_DrSt_ode23t_1.png","figure")</f>
        <v>figure</v>
      </c>
      <c r="Q184" t="s">
        <v>15</v>
      </c>
    </row>
    <row r="185" spans="1:17" x14ac:dyDescent="0.25">
      <c r="A185">
        <v>184</v>
      </c>
      <c r="B185">
        <v>145</v>
      </c>
      <c r="C185" t="s">
        <v>46</v>
      </c>
      <c r="D185" t="s">
        <v>17</v>
      </c>
      <c r="E185" t="s">
        <v>50</v>
      </c>
      <c r="F185" t="s">
        <v>19</v>
      </c>
      <c r="G185" t="s">
        <v>26</v>
      </c>
      <c r="H185" t="s">
        <v>66</v>
      </c>
      <c r="I185" t="s">
        <v>53</v>
      </c>
      <c r="J185" t="s">
        <v>148</v>
      </c>
      <c r="K185" t="s">
        <v>23</v>
      </c>
      <c r="L185">
        <v>785</v>
      </c>
      <c r="M185">
        <v>47.439185700000003</v>
      </c>
      <c r="N185">
        <v>255.1388485197071</v>
      </c>
      <c r="O185">
        <v>6.9433074797252914E-2</v>
      </c>
      <c r="P185" s="1" t="str">
        <f>HYPERLINK(".\sm_car_250805_2313\sm_car_250805_2313_184_Ca145TrT_MaDLC_DrSt_ode23t_1.png","figure")</f>
        <v>figure</v>
      </c>
      <c r="Q185" t="s">
        <v>15</v>
      </c>
    </row>
    <row r="186" spans="1:17" x14ac:dyDescent="0.25">
      <c r="A186">
        <v>185</v>
      </c>
      <c r="B186">
        <v>145</v>
      </c>
      <c r="C186" t="s">
        <v>46</v>
      </c>
      <c r="D186" t="s">
        <v>17</v>
      </c>
      <c r="E186" t="s">
        <v>50</v>
      </c>
      <c r="F186" t="s">
        <v>19</v>
      </c>
      <c r="G186" t="s">
        <v>26</v>
      </c>
      <c r="H186" t="s">
        <v>65</v>
      </c>
      <c r="I186" t="s">
        <v>53</v>
      </c>
      <c r="J186" t="s">
        <v>148</v>
      </c>
      <c r="K186" t="s">
        <v>23</v>
      </c>
      <c r="L186">
        <v>574</v>
      </c>
      <c r="M186">
        <v>26.766628399999998</v>
      </c>
      <c r="N186">
        <v>256.54076134852608</v>
      </c>
      <c r="O186">
        <v>6.3793917162170644E-2</v>
      </c>
      <c r="P186" s="1" t="str">
        <f>HYPERLINK(".\sm_car_250805_2313\sm_car_250805_2313_185_Ca145TrE_MaDLC_DrSt_ode23t_1.png","figure")</f>
        <v>figure</v>
      </c>
      <c r="Q186" t="s">
        <v>15</v>
      </c>
    </row>
    <row r="187" spans="1:17" x14ac:dyDescent="0.25">
      <c r="A187">
        <v>186</v>
      </c>
      <c r="B187">
        <v>199</v>
      </c>
      <c r="C187" t="s">
        <v>46</v>
      </c>
      <c r="D187" t="s">
        <v>17</v>
      </c>
      <c r="E187" t="s">
        <v>109</v>
      </c>
      <c r="F187" t="s">
        <v>19</v>
      </c>
      <c r="G187" t="s">
        <v>26</v>
      </c>
      <c r="H187" t="s">
        <v>21</v>
      </c>
      <c r="I187" t="s">
        <v>53</v>
      </c>
      <c r="J187" t="s">
        <v>148</v>
      </c>
      <c r="K187" t="s">
        <v>23</v>
      </c>
      <c r="L187">
        <v>465</v>
      </c>
      <c r="M187">
        <v>6.9803300000000004</v>
      </c>
      <c r="N187">
        <v>253.81994076647851</v>
      </c>
      <c r="O187">
        <v>7.5303979400101362E-2</v>
      </c>
      <c r="P187" s="1" t="str">
        <f>HYPERLINK(".\sm_car_250805_2313\sm_car_250805_2313_186_Ca199TrN_MaDLC_DrSt_ode23t_1.png","figure")</f>
        <v>figure</v>
      </c>
      <c r="Q187" t="s">
        <v>15</v>
      </c>
    </row>
    <row r="188" spans="1:17" x14ac:dyDescent="0.25">
      <c r="A188">
        <v>187</v>
      </c>
      <c r="B188">
        <v>199</v>
      </c>
      <c r="C188" t="s">
        <v>46</v>
      </c>
      <c r="D188" t="s">
        <v>17</v>
      </c>
      <c r="E188" t="s">
        <v>109</v>
      </c>
      <c r="F188" t="s">
        <v>19</v>
      </c>
      <c r="G188" t="s">
        <v>26</v>
      </c>
      <c r="H188" t="s">
        <v>65</v>
      </c>
      <c r="I188" t="s">
        <v>53</v>
      </c>
      <c r="J188" t="s">
        <v>148</v>
      </c>
      <c r="K188" t="s">
        <v>23</v>
      </c>
      <c r="L188">
        <v>577</v>
      </c>
      <c r="M188">
        <v>17.2620757</v>
      </c>
      <c r="N188">
        <v>256.00252403788977</v>
      </c>
      <c r="O188">
        <v>6.5936342387095337E-2</v>
      </c>
      <c r="P188" s="1" t="str">
        <f>HYPERLINK(".\sm_car_250805_2313\sm_car_250805_2313_187_Ca199TrE_MaDLC_DrSt_ode23t_1.png","figure")</f>
        <v>figure</v>
      </c>
      <c r="Q188" t="s">
        <v>15</v>
      </c>
    </row>
    <row r="189" spans="1:17" x14ac:dyDescent="0.25">
      <c r="A189">
        <v>188</v>
      </c>
      <c r="B189">
        <v>199</v>
      </c>
      <c r="C189" t="s">
        <v>46</v>
      </c>
      <c r="D189" t="s">
        <v>17</v>
      </c>
      <c r="E189" t="s">
        <v>109</v>
      </c>
      <c r="F189" t="s">
        <v>19</v>
      </c>
      <c r="G189" t="s">
        <v>26</v>
      </c>
      <c r="H189" t="s">
        <v>66</v>
      </c>
      <c r="I189" t="s">
        <v>53</v>
      </c>
      <c r="J189" t="s">
        <v>148</v>
      </c>
      <c r="K189" t="s">
        <v>23</v>
      </c>
      <c r="L189">
        <v>785</v>
      </c>
      <c r="M189">
        <v>21.937336200000001</v>
      </c>
      <c r="N189">
        <v>256.39257397283041</v>
      </c>
      <c r="O189">
        <v>6.4016354142221399E-2</v>
      </c>
      <c r="P189" s="1" t="str">
        <f>HYPERLINK(".\sm_car_250805_2313\sm_car_250805_2313_188_Ca199TrT_MaDLC_DrSt_ode23t_1.png","figure")</f>
        <v>figure</v>
      </c>
      <c r="Q189" t="s">
        <v>15</v>
      </c>
    </row>
    <row r="190" spans="1:17" x14ac:dyDescent="0.25">
      <c r="A190">
        <v>189</v>
      </c>
      <c r="B190">
        <v>199</v>
      </c>
      <c r="C190" t="s">
        <v>46</v>
      </c>
      <c r="D190" t="s">
        <v>17</v>
      </c>
      <c r="E190" t="s">
        <v>109</v>
      </c>
      <c r="F190" t="s">
        <v>19</v>
      </c>
      <c r="G190" t="s">
        <v>26</v>
      </c>
      <c r="H190" t="s">
        <v>65</v>
      </c>
      <c r="I190" t="s">
        <v>53</v>
      </c>
      <c r="J190" t="s">
        <v>148</v>
      </c>
      <c r="K190" t="s">
        <v>23</v>
      </c>
      <c r="L190">
        <v>571</v>
      </c>
      <c r="M190">
        <v>11.832452399999999</v>
      </c>
      <c r="N190">
        <v>254.59480065799028</v>
      </c>
      <c r="O190">
        <v>7.2203755601687014E-2</v>
      </c>
      <c r="P190" s="1" t="str">
        <f>HYPERLINK(".\sm_car_250805_2313\sm_car_250805_2313_189_Ca199TrE_MaDLC_DrSt_ode23t_1.png","figure")</f>
        <v>figure</v>
      </c>
      <c r="Q190" t="s">
        <v>15</v>
      </c>
    </row>
    <row r="191" spans="1:17" x14ac:dyDescent="0.25">
      <c r="A191">
        <v>190</v>
      </c>
      <c r="B191">
        <v>189</v>
      </c>
      <c r="C191" t="s">
        <v>45</v>
      </c>
      <c r="D191" t="s">
        <v>17</v>
      </c>
      <c r="E191" t="s">
        <v>107</v>
      </c>
      <c r="F191" t="s">
        <v>19</v>
      </c>
      <c r="G191" t="s">
        <v>26</v>
      </c>
      <c r="H191" t="s">
        <v>65</v>
      </c>
      <c r="I191" t="s">
        <v>67</v>
      </c>
      <c r="J191" t="s">
        <v>148</v>
      </c>
      <c r="K191" t="s">
        <v>23</v>
      </c>
      <c r="L191">
        <v>426</v>
      </c>
      <c r="M191">
        <v>12.5360356</v>
      </c>
      <c r="N191">
        <v>264.61107809087872</v>
      </c>
      <c r="O191">
        <v>1.1308616184617648E-3</v>
      </c>
      <c r="P191" s="1" t="str">
        <f>HYPERLINK(".\sm_car_250805_2313\sm_car_250805_2313_190_Ca189TrE_MaTRD_DrSt_ode23t_1.png","figure")</f>
        <v>figure</v>
      </c>
      <c r="Q191" t="s">
        <v>15</v>
      </c>
    </row>
    <row r="192" spans="1:17" x14ac:dyDescent="0.25">
      <c r="A192">
        <v>191</v>
      </c>
      <c r="B192">
        <v>189</v>
      </c>
      <c r="C192" t="s">
        <v>45</v>
      </c>
      <c r="D192" t="s">
        <v>17</v>
      </c>
      <c r="E192" t="s">
        <v>107</v>
      </c>
      <c r="F192" t="s">
        <v>19</v>
      </c>
      <c r="G192" t="s">
        <v>26</v>
      </c>
      <c r="H192" t="s">
        <v>65</v>
      </c>
      <c r="I192" t="s">
        <v>67</v>
      </c>
      <c r="J192" t="s">
        <v>148</v>
      </c>
      <c r="K192" t="s">
        <v>23</v>
      </c>
      <c r="L192">
        <v>608</v>
      </c>
      <c r="M192">
        <v>13.2125833</v>
      </c>
      <c r="N192">
        <v>264.32148090341201</v>
      </c>
      <c r="O192">
        <v>1.469189030403939E-3</v>
      </c>
      <c r="P192" s="1" t="str">
        <f>HYPERLINK(".\sm_car_250805_2313\sm_car_250805_2313_191_Ca189TrU_MaTRD_DrSt_ode23t_1.png","figure")</f>
        <v>figure</v>
      </c>
      <c r="Q192" t="s">
        <v>15</v>
      </c>
    </row>
    <row r="193" spans="1:17" x14ac:dyDescent="0.25">
      <c r="A193">
        <v>192</v>
      </c>
      <c r="B193">
        <v>149</v>
      </c>
      <c r="C193" t="s">
        <v>46</v>
      </c>
      <c r="D193" t="s">
        <v>17</v>
      </c>
      <c r="E193" t="s">
        <v>68</v>
      </c>
      <c r="F193" t="s">
        <v>19</v>
      </c>
      <c r="G193" t="s">
        <v>26</v>
      </c>
      <c r="H193" t="s">
        <v>21</v>
      </c>
      <c r="I193" t="s">
        <v>69</v>
      </c>
      <c r="J193" t="s">
        <v>148</v>
      </c>
      <c r="K193" t="s">
        <v>23</v>
      </c>
      <c r="L193">
        <v>669</v>
      </c>
      <c r="M193">
        <v>9.3308678</v>
      </c>
      <c r="N193">
        <v>-5.8747693058971429E-3</v>
      </c>
      <c r="O193">
        <v>-3.5942483481082865E-4</v>
      </c>
      <c r="P193" s="1" t="str">
        <f>HYPERLINK(".\sm_car_250805_2313\sm_car_250805_2313_192_Ca149TrN_MaPST_DrSt_ode23t_1.png","figure")</f>
        <v>figure</v>
      </c>
      <c r="Q193" t="s">
        <v>15</v>
      </c>
    </row>
    <row r="194" spans="1:17" x14ac:dyDescent="0.25">
      <c r="A194">
        <v>193</v>
      </c>
      <c r="B194">
        <v>139</v>
      </c>
      <c r="C194" t="s">
        <v>45</v>
      </c>
      <c r="D194" t="s">
        <v>17</v>
      </c>
      <c r="E194" t="s">
        <v>18</v>
      </c>
      <c r="F194" t="s">
        <v>19</v>
      </c>
      <c r="G194" t="s">
        <v>26</v>
      </c>
      <c r="H194" t="s">
        <v>21</v>
      </c>
      <c r="I194" t="s">
        <v>70</v>
      </c>
      <c r="J194" t="s">
        <v>148</v>
      </c>
      <c r="K194" t="s">
        <v>23</v>
      </c>
      <c r="L194">
        <v>1554</v>
      </c>
      <c r="M194">
        <v>39.183082400000004</v>
      </c>
      <c r="N194">
        <v>36.488207041413744</v>
      </c>
      <c r="O194">
        <v>0.22756669109301078</v>
      </c>
      <c r="P194" s="1" t="str">
        <f>HYPERLINK(".\sm_car_250805_2313\sm_car_250805_2313_193_Ca139TrN_MaSKD_DrSt_ode23t_1.png","figure")</f>
        <v>figure</v>
      </c>
      <c r="Q194" t="s">
        <v>15</v>
      </c>
    </row>
    <row r="195" spans="1:17" x14ac:dyDescent="0.25">
      <c r="A195">
        <v>194</v>
      </c>
      <c r="B195">
        <v>139</v>
      </c>
      <c r="C195" t="s">
        <v>45</v>
      </c>
      <c r="D195" t="s">
        <v>17</v>
      </c>
      <c r="E195" t="s">
        <v>18</v>
      </c>
      <c r="F195" t="s">
        <v>19</v>
      </c>
      <c r="G195" t="s">
        <v>26</v>
      </c>
      <c r="H195" t="s">
        <v>21</v>
      </c>
      <c r="I195" t="s">
        <v>71</v>
      </c>
      <c r="J195" t="s">
        <v>148</v>
      </c>
      <c r="K195" t="s">
        <v>23</v>
      </c>
      <c r="L195">
        <v>835</v>
      </c>
      <c r="M195">
        <v>19.985371000000001</v>
      </c>
      <c r="N195">
        <v>-0.15516346616592003</v>
      </c>
      <c r="O195">
        <v>20.52311794776778</v>
      </c>
      <c r="P195" s="1" t="str">
        <f>HYPERLINK(".\sm_car_250805_2313\sm_car_250805_2313_194_Ca139TrN_MaRAD_DrSt_ode23t_1.png","figure")</f>
        <v>figure</v>
      </c>
      <c r="Q195" t="s">
        <v>15</v>
      </c>
    </row>
    <row r="196" spans="1:17" x14ac:dyDescent="0.25">
      <c r="A196">
        <v>195</v>
      </c>
      <c r="B196">
        <v>184</v>
      </c>
      <c r="C196" t="s">
        <v>105</v>
      </c>
      <c r="D196" t="s">
        <v>120</v>
      </c>
      <c r="E196" t="s">
        <v>49</v>
      </c>
      <c r="F196" t="s">
        <v>19</v>
      </c>
      <c r="G196" t="s">
        <v>20</v>
      </c>
      <c r="H196" t="s">
        <v>21</v>
      </c>
      <c r="I196" t="s">
        <v>70</v>
      </c>
      <c r="J196" t="s">
        <v>148</v>
      </c>
      <c r="K196" t="s">
        <v>23</v>
      </c>
      <c r="L196">
        <v>1314</v>
      </c>
      <c r="M196">
        <v>47.813623200000002</v>
      </c>
      <c r="N196">
        <v>36.322574635126607</v>
      </c>
      <c r="O196">
        <v>0.16400590015292102</v>
      </c>
      <c r="P196" s="1" t="str">
        <f>HYPERLINK(".\sm_car_250805_2313\sm_car_250805_2313_195_Ca184TrN_MaSKD_DrSt_ode23t_1.png","figure")</f>
        <v>figure</v>
      </c>
      <c r="Q196" t="s">
        <v>15</v>
      </c>
    </row>
    <row r="197" spans="1:17" x14ac:dyDescent="0.25">
      <c r="A197">
        <v>196</v>
      </c>
      <c r="B197">
        <v>184</v>
      </c>
      <c r="C197" t="s">
        <v>105</v>
      </c>
      <c r="D197" t="s">
        <v>120</v>
      </c>
      <c r="E197" t="s">
        <v>49</v>
      </c>
      <c r="F197" t="s">
        <v>19</v>
      </c>
      <c r="G197" t="s">
        <v>20</v>
      </c>
      <c r="H197" t="s">
        <v>21</v>
      </c>
      <c r="I197" t="s">
        <v>71</v>
      </c>
      <c r="J197" t="s">
        <v>148</v>
      </c>
      <c r="K197" t="s">
        <v>23</v>
      </c>
      <c r="L197">
        <v>640</v>
      </c>
      <c r="M197">
        <v>23.535407500000002</v>
      </c>
      <c r="N197">
        <v>7.4804766369200877</v>
      </c>
      <c r="O197">
        <v>10.384008101876367</v>
      </c>
      <c r="P197" s="1" t="str">
        <f>HYPERLINK(".\sm_car_250805_2313\sm_car_250805_2313_196_Ca184TrN_MaRAD_DrSt_ode23t_1.png","figure")</f>
        <v>figure</v>
      </c>
      <c r="Q197" t="s">
        <v>15</v>
      </c>
    </row>
    <row r="198" spans="1:17" x14ac:dyDescent="0.25">
      <c r="A198">
        <v>197</v>
      </c>
      <c r="B198">
        <v>228</v>
      </c>
      <c r="C198" t="s">
        <v>160</v>
      </c>
      <c r="D198" t="s">
        <v>35</v>
      </c>
      <c r="E198" t="s">
        <v>107</v>
      </c>
      <c r="F198" t="s">
        <v>19</v>
      </c>
      <c r="G198" t="s">
        <v>26</v>
      </c>
      <c r="H198" t="s">
        <v>21</v>
      </c>
      <c r="I198" t="s">
        <v>70</v>
      </c>
      <c r="J198" t="s">
        <v>148</v>
      </c>
      <c r="K198" t="s">
        <v>23</v>
      </c>
      <c r="L198">
        <v>1699</v>
      </c>
      <c r="M198">
        <v>6.9426363999999996</v>
      </c>
      <c r="N198">
        <v>36.639083845445917</v>
      </c>
      <c r="O198">
        <v>0.56379753743827521</v>
      </c>
      <c r="P198" s="1" t="str">
        <f>HYPERLINK(".\sm_car_250805_2313\sm_car_250805_2313_197_Ca228TrN_MaSKD_DrSt_ode23t_1.png","figure")</f>
        <v>figure</v>
      </c>
      <c r="Q198" t="s">
        <v>15</v>
      </c>
    </row>
    <row r="199" spans="1:17" x14ac:dyDescent="0.25">
      <c r="A199">
        <v>198</v>
      </c>
      <c r="B199">
        <v>228</v>
      </c>
      <c r="C199" t="s">
        <v>160</v>
      </c>
      <c r="D199" t="s">
        <v>35</v>
      </c>
      <c r="E199" t="s">
        <v>107</v>
      </c>
      <c r="F199" t="s">
        <v>19</v>
      </c>
      <c r="G199" t="s">
        <v>26</v>
      </c>
      <c r="H199" t="s">
        <v>21</v>
      </c>
      <c r="I199" t="s">
        <v>71</v>
      </c>
      <c r="J199" t="s">
        <v>148</v>
      </c>
      <c r="K199" t="s">
        <v>23</v>
      </c>
      <c r="L199">
        <v>778</v>
      </c>
      <c r="M199">
        <v>3.4088498999999999</v>
      </c>
      <c r="N199">
        <v>6.9926163639926351</v>
      </c>
      <c r="O199">
        <v>19.381911035855172</v>
      </c>
      <c r="P199" s="1" t="str">
        <f>HYPERLINK(".\sm_car_250805_2313\sm_car_250805_2313_198_Ca228TrN_MaRAD_DrSt_ode23t_1.png","figure")</f>
        <v>figure</v>
      </c>
      <c r="Q199" t="s">
        <v>15</v>
      </c>
    </row>
    <row r="200" spans="1:17" x14ac:dyDescent="0.25">
      <c r="A200">
        <v>199</v>
      </c>
      <c r="B200">
        <v>230</v>
      </c>
      <c r="C200" t="s">
        <v>160</v>
      </c>
      <c r="D200" t="s">
        <v>161</v>
      </c>
      <c r="E200" t="s">
        <v>162</v>
      </c>
      <c r="F200" t="s">
        <v>19</v>
      </c>
      <c r="G200" t="s">
        <v>26</v>
      </c>
      <c r="H200" t="s">
        <v>21</v>
      </c>
      <c r="I200" t="s">
        <v>70</v>
      </c>
      <c r="J200" t="s">
        <v>148</v>
      </c>
      <c r="K200" t="s">
        <v>23</v>
      </c>
      <c r="L200">
        <v>1390</v>
      </c>
      <c r="M200">
        <v>25.576811200000002</v>
      </c>
      <c r="N200">
        <v>36.372607613430752</v>
      </c>
      <c r="O200">
        <v>0.21116389978409741</v>
      </c>
      <c r="P200" s="1" t="str">
        <f>HYPERLINK(".\sm_car_250805_2313\sm_car_250805_2313_199_Ca230TrN_MaSKD_DrSt_ode23t_1.png","figure")</f>
        <v>figure</v>
      </c>
      <c r="Q200" t="s">
        <v>15</v>
      </c>
    </row>
    <row r="201" spans="1:17" x14ac:dyDescent="0.25">
      <c r="A201">
        <v>200</v>
      </c>
      <c r="B201">
        <v>230</v>
      </c>
      <c r="C201" t="s">
        <v>160</v>
      </c>
      <c r="D201" t="s">
        <v>161</v>
      </c>
      <c r="E201" t="s">
        <v>162</v>
      </c>
      <c r="F201" t="s">
        <v>19</v>
      </c>
      <c r="G201" t="s">
        <v>26</v>
      </c>
      <c r="H201" t="s">
        <v>21</v>
      </c>
      <c r="I201" t="s">
        <v>71</v>
      </c>
      <c r="J201" t="s">
        <v>148</v>
      </c>
      <c r="K201" t="s">
        <v>23</v>
      </c>
      <c r="L201">
        <v>709</v>
      </c>
      <c r="M201">
        <v>12.7620614</v>
      </c>
      <c r="N201">
        <v>5.5454686071898216</v>
      </c>
      <c r="O201">
        <v>13.371136507143071</v>
      </c>
      <c r="P201" s="1" t="str">
        <f>HYPERLINK(".\sm_car_250805_2313\sm_car_250805_2313_200_Ca230TrN_MaRAD_DrSt_ode23t_1.png","figure")</f>
        <v>figure</v>
      </c>
      <c r="Q201" t="s">
        <v>15</v>
      </c>
    </row>
    <row r="202" spans="1:17" x14ac:dyDescent="0.25">
      <c r="A202">
        <v>201</v>
      </c>
      <c r="B202">
        <v>198</v>
      </c>
      <c r="C202" t="s">
        <v>105</v>
      </c>
      <c r="D202" t="s">
        <v>120</v>
      </c>
      <c r="E202" t="s">
        <v>107</v>
      </c>
      <c r="F202" t="s">
        <v>19</v>
      </c>
      <c r="G202" t="s">
        <v>20</v>
      </c>
      <c r="H202" t="s">
        <v>21</v>
      </c>
      <c r="I202" t="s">
        <v>70</v>
      </c>
      <c r="J202" t="s">
        <v>148</v>
      </c>
      <c r="K202" t="s">
        <v>23</v>
      </c>
      <c r="L202">
        <v>1405</v>
      </c>
      <c r="M202">
        <v>30.513261199999999</v>
      </c>
      <c r="N202">
        <v>36.954841088038648</v>
      </c>
      <c r="O202">
        <v>0.14382992338675707</v>
      </c>
      <c r="P202" s="1" t="str">
        <f>HYPERLINK(".\sm_car_250805_2313\sm_car_250805_2313_201_Ca198TrN_MaSKD_DrSt_ode23t_1.png","figure")</f>
        <v>figure</v>
      </c>
      <c r="Q202" t="s">
        <v>15</v>
      </c>
    </row>
    <row r="203" spans="1:17" x14ac:dyDescent="0.25">
      <c r="A203">
        <v>202</v>
      </c>
      <c r="B203">
        <v>198</v>
      </c>
      <c r="C203" t="s">
        <v>105</v>
      </c>
      <c r="D203" t="s">
        <v>120</v>
      </c>
      <c r="E203" t="s">
        <v>107</v>
      </c>
      <c r="F203" t="s">
        <v>19</v>
      </c>
      <c r="G203" t="s">
        <v>20</v>
      </c>
      <c r="H203" t="s">
        <v>21</v>
      </c>
      <c r="I203" t="s">
        <v>71</v>
      </c>
      <c r="J203" t="s">
        <v>148</v>
      </c>
      <c r="K203" t="s">
        <v>23</v>
      </c>
      <c r="L203">
        <v>684</v>
      </c>
      <c r="M203">
        <v>14.3957234</v>
      </c>
      <c r="N203">
        <v>7.5246762996883128</v>
      </c>
      <c r="O203">
        <v>10.292864648313452</v>
      </c>
      <c r="P203" s="1" t="str">
        <f>HYPERLINK(".\sm_car_250805_2313\sm_car_250805_2313_202_Ca198TrN_MaRAD_DrSt_ode23t_1.png","figure")</f>
        <v>figure</v>
      </c>
      <c r="Q203" t="s">
        <v>15</v>
      </c>
    </row>
    <row r="204" spans="1:17" x14ac:dyDescent="0.25">
      <c r="A204">
        <v>203</v>
      </c>
      <c r="B204">
        <v>189</v>
      </c>
      <c r="C204" t="s">
        <v>45</v>
      </c>
      <c r="D204" t="s">
        <v>17</v>
      </c>
      <c r="E204" t="s">
        <v>107</v>
      </c>
      <c r="F204" t="s">
        <v>19</v>
      </c>
      <c r="G204" t="s">
        <v>26</v>
      </c>
      <c r="H204" t="s">
        <v>21</v>
      </c>
      <c r="I204" t="s">
        <v>132</v>
      </c>
      <c r="J204" t="s">
        <v>148</v>
      </c>
      <c r="K204" t="s">
        <v>23</v>
      </c>
      <c r="L204">
        <v>572</v>
      </c>
      <c r="M204">
        <v>10.38106</v>
      </c>
      <c r="N204">
        <v>132.97266534688606</v>
      </c>
      <c r="O204">
        <v>-15.329368258505109</v>
      </c>
      <c r="P204" s="1" t="str">
        <f>HYPERLINK(".\sm_car_250805_2313\sm_car_250805_2313_203_Ca189TrN_MaFSH_DrSt_ode23t_1.png","figure")</f>
        <v>figure</v>
      </c>
      <c r="Q204" t="s">
        <v>15</v>
      </c>
    </row>
    <row r="205" spans="1:17" x14ac:dyDescent="0.25">
      <c r="A205">
        <v>204</v>
      </c>
      <c r="B205">
        <v>189</v>
      </c>
      <c r="C205" t="s">
        <v>45</v>
      </c>
      <c r="D205" t="s">
        <v>17</v>
      </c>
      <c r="E205" t="s">
        <v>107</v>
      </c>
      <c r="F205" t="s">
        <v>19</v>
      </c>
      <c r="G205" t="s">
        <v>26</v>
      </c>
      <c r="H205" t="s">
        <v>21</v>
      </c>
      <c r="I205" t="s">
        <v>133</v>
      </c>
      <c r="J205" t="s">
        <v>148</v>
      </c>
      <c r="K205" t="s">
        <v>23</v>
      </c>
      <c r="L205">
        <v>426</v>
      </c>
      <c r="M205">
        <v>6.6620561</v>
      </c>
      <c r="N205">
        <v>129.56598580183399</v>
      </c>
      <c r="O205">
        <v>-8.9367387796341085</v>
      </c>
      <c r="P205" s="1" t="str">
        <f>HYPERLINK(".\sm_car_250805_2313\sm_car_250805_2313_204_Ca189TrN_MaSWD_DrSt_ode23t_1.png","figure")</f>
        <v>figure</v>
      </c>
      <c r="Q205" t="s">
        <v>15</v>
      </c>
    </row>
    <row r="206" spans="1:17" x14ac:dyDescent="0.25">
      <c r="A206">
        <v>205</v>
      </c>
      <c r="B206">
        <v>189</v>
      </c>
      <c r="C206" t="s">
        <v>45</v>
      </c>
      <c r="D206" t="s">
        <v>17</v>
      </c>
      <c r="E206" t="s">
        <v>107</v>
      </c>
      <c r="F206" t="s">
        <v>19</v>
      </c>
      <c r="G206" t="s">
        <v>26</v>
      </c>
      <c r="H206" t="s">
        <v>21</v>
      </c>
      <c r="I206" t="s">
        <v>134</v>
      </c>
      <c r="J206" t="s">
        <v>148</v>
      </c>
      <c r="K206" t="s">
        <v>23</v>
      </c>
      <c r="L206">
        <v>426</v>
      </c>
      <c r="M206">
        <v>7.3851918999999997</v>
      </c>
      <c r="N206">
        <v>113.24764265676505</v>
      </c>
      <c r="O206">
        <v>18.121072130455634</v>
      </c>
      <c r="P206" s="1" t="str">
        <f>HYPERLINK(".\sm_car_250805_2313\sm_car_250805_2313_205_Ca189TrN_MaRST_DrSt_ode23t_1.png","figure")</f>
        <v>figure</v>
      </c>
      <c r="Q206" t="s">
        <v>15</v>
      </c>
    </row>
    <row r="207" spans="1:17" x14ac:dyDescent="0.25">
      <c r="A207">
        <v>206</v>
      </c>
      <c r="B207">
        <v>189</v>
      </c>
      <c r="C207" t="s">
        <v>45</v>
      </c>
      <c r="D207" t="s">
        <v>17</v>
      </c>
      <c r="E207" t="s">
        <v>107</v>
      </c>
      <c r="F207" t="s">
        <v>19</v>
      </c>
      <c r="G207" t="s">
        <v>26</v>
      </c>
      <c r="H207" t="s">
        <v>21</v>
      </c>
      <c r="I207" t="s">
        <v>135</v>
      </c>
      <c r="J207" t="s">
        <v>148</v>
      </c>
      <c r="K207" t="s">
        <v>23</v>
      </c>
      <c r="L207">
        <v>602</v>
      </c>
      <c r="M207">
        <v>19.1349543</v>
      </c>
      <c r="N207">
        <v>224.11010880060448</v>
      </c>
      <c r="O207">
        <v>0.10581751914087832</v>
      </c>
      <c r="P207" s="1" t="str">
        <f>HYPERLINK(".\sm_car_250805_2313\sm_car_250805_2313_206_Ca189TrN_MaSLA_DrSt_ode23t_1.png","figure")</f>
        <v>figure</v>
      </c>
      <c r="Q207" t="s">
        <v>15</v>
      </c>
    </row>
    <row r="208" spans="1:17" x14ac:dyDescent="0.25">
      <c r="A208">
        <v>207</v>
      </c>
      <c r="B208">
        <v>218</v>
      </c>
      <c r="C208" t="s">
        <v>16</v>
      </c>
      <c r="D208" t="s">
        <v>128</v>
      </c>
      <c r="E208" t="s">
        <v>107</v>
      </c>
      <c r="F208" t="s">
        <v>19</v>
      </c>
      <c r="G208" t="s">
        <v>26</v>
      </c>
      <c r="H208" t="s">
        <v>21</v>
      </c>
      <c r="I208" t="s">
        <v>132</v>
      </c>
      <c r="J208" t="s">
        <v>148</v>
      </c>
      <c r="K208" t="s">
        <v>23</v>
      </c>
      <c r="L208">
        <v>572</v>
      </c>
      <c r="M208">
        <v>7.7330978999999997</v>
      </c>
      <c r="N208">
        <v>102.06594583856541</v>
      </c>
      <c r="O208">
        <v>-21.992704298816069</v>
      </c>
      <c r="P208" s="1" t="str">
        <f>HYPERLINK(".\sm_car_250805_2313\sm_car_250805_2313_207_Ca218TrN_MaFSH_DrSt_ode23t_1.png","figure")</f>
        <v>figure</v>
      </c>
      <c r="Q208" t="s">
        <v>15</v>
      </c>
    </row>
    <row r="209" spans="1:17" x14ac:dyDescent="0.25">
      <c r="A209">
        <v>208</v>
      </c>
      <c r="B209">
        <v>218</v>
      </c>
      <c r="C209" t="s">
        <v>16</v>
      </c>
      <c r="D209" t="s">
        <v>128</v>
      </c>
      <c r="E209" t="s">
        <v>107</v>
      </c>
      <c r="F209" t="s">
        <v>19</v>
      </c>
      <c r="G209" t="s">
        <v>26</v>
      </c>
      <c r="H209" t="s">
        <v>21</v>
      </c>
      <c r="I209" t="s">
        <v>133</v>
      </c>
      <c r="J209" t="s">
        <v>148</v>
      </c>
      <c r="K209" t="s">
        <v>23</v>
      </c>
      <c r="L209">
        <v>457</v>
      </c>
      <c r="M209">
        <v>6.3790475000000004</v>
      </c>
      <c r="N209">
        <v>136.95604026369259</v>
      </c>
      <c r="O209">
        <v>-8.8228422669825921</v>
      </c>
      <c r="P209" s="1" t="str">
        <f>HYPERLINK(".\sm_car_250805_2313\sm_car_250805_2313_208_Ca218TrN_MaSWD_DrSt_ode23t_1.png","figure")</f>
        <v>figure</v>
      </c>
      <c r="Q209" t="s">
        <v>15</v>
      </c>
    </row>
    <row r="210" spans="1:17" x14ac:dyDescent="0.25">
      <c r="A210">
        <v>209</v>
      </c>
      <c r="B210">
        <v>218</v>
      </c>
      <c r="C210" t="s">
        <v>16</v>
      </c>
      <c r="D210" t="s">
        <v>128</v>
      </c>
      <c r="E210" t="s">
        <v>107</v>
      </c>
      <c r="F210" t="s">
        <v>19</v>
      </c>
      <c r="G210" t="s">
        <v>26</v>
      </c>
      <c r="H210" t="s">
        <v>21</v>
      </c>
      <c r="I210" t="s">
        <v>134</v>
      </c>
      <c r="J210" t="s">
        <v>148</v>
      </c>
      <c r="K210" t="s">
        <v>23</v>
      </c>
      <c r="L210">
        <v>384</v>
      </c>
      <c r="M210">
        <v>5.4866539000000003</v>
      </c>
      <c r="N210">
        <v>102.58887658380633</v>
      </c>
      <c r="O210">
        <v>29.491996010027805</v>
      </c>
      <c r="P210" s="1" t="str">
        <f>HYPERLINK(".\sm_car_250805_2313\sm_car_250805_2313_209_Ca218TrN_MaRST_DrSt_ode23t_1.png","figure")</f>
        <v>figure</v>
      </c>
      <c r="Q210" t="s">
        <v>15</v>
      </c>
    </row>
    <row r="211" spans="1:17" x14ac:dyDescent="0.25">
      <c r="A211">
        <v>210</v>
      </c>
      <c r="B211">
        <v>218</v>
      </c>
      <c r="C211" t="s">
        <v>16</v>
      </c>
      <c r="D211" t="s">
        <v>128</v>
      </c>
      <c r="E211" t="s">
        <v>107</v>
      </c>
      <c r="F211" t="s">
        <v>19</v>
      </c>
      <c r="G211" t="s">
        <v>26</v>
      </c>
      <c r="H211" t="s">
        <v>21</v>
      </c>
      <c r="I211" t="s">
        <v>135</v>
      </c>
      <c r="J211" t="s">
        <v>148</v>
      </c>
      <c r="K211" t="s">
        <v>23</v>
      </c>
      <c r="L211">
        <v>661</v>
      </c>
      <c r="M211">
        <v>17.4093245</v>
      </c>
      <c r="N211">
        <v>222.46601914351083</v>
      </c>
      <c r="O211">
        <v>0.10575177447604622</v>
      </c>
      <c r="P211" s="1" t="str">
        <f>HYPERLINK(".\sm_car_250805_2313\sm_car_250805_2313_210_Ca218TrN_MaSLA_DrSt_ode23t_1.png","figure")</f>
        <v>figure</v>
      </c>
      <c r="Q211" t="s">
        <v>15</v>
      </c>
    </row>
    <row r="212" spans="1:17" x14ac:dyDescent="0.25">
      <c r="A212">
        <v>211</v>
      </c>
      <c r="B212">
        <v>156</v>
      </c>
      <c r="C212" t="s">
        <v>45</v>
      </c>
      <c r="D212" t="s">
        <v>17</v>
      </c>
      <c r="E212" t="s">
        <v>18</v>
      </c>
      <c r="F212" t="s">
        <v>19</v>
      </c>
      <c r="G212" t="s">
        <v>38</v>
      </c>
      <c r="H212" t="s">
        <v>21</v>
      </c>
      <c r="I212" t="s">
        <v>54</v>
      </c>
      <c r="J212" t="s">
        <v>148</v>
      </c>
      <c r="K212" t="s">
        <v>23</v>
      </c>
      <c r="L212">
        <v>26318</v>
      </c>
      <c r="M212">
        <v>376.82484640000001</v>
      </c>
      <c r="N212">
        <v>19.414066437447758</v>
      </c>
      <c r="O212">
        <v>2.7139079070805141</v>
      </c>
      <c r="P212" s="1" t="str">
        <f>HYPERLINK(".\sm_car_250805_2313\sm_car_250805_2313_211_Ca156TrN_MaIPA_DrSt_ode23t.png","figure")</f>
        <v>figure</v>
      </c>
      <c r="Q212" t="s">
        <v>15</v>
      </c>
    </row>
    <row r="213" spans="1:17" x14ac:dyDescent="0.25">
      <c r="A213">
        <v>212</v>
      </c>
      <c r="B213">
        <v>130</v>
      </c>
      <c r="C213" t="s">
        <v>16</v>
      </c>
      <c r="D213" t="s">
        <v>17</v>
      </c>
      <c r="E213" t="s">
        <v>18</v>
      </c>
      <c r="F213" t="s">
        <v>19</v>
      </c>
      <c r="G213" t="s">
        <v>38</v>
      </c>
      <c r="H213" t="s">
        <v>21</v>
      </c>
      <c r="I213" t="s">
        <v>54</v>
      </c>
      <c r="J213" t="s">
        <v>148</v>
      </c>
      <c r="K213" t="s">
        <v>23</v>
      </c>
      <c r="L213">
        <v>17929</v>
      </c>
      <c r="M213">
        <v>258.2151538</v>
      </c>
      <c r="N213">
        <v>16.355246646961099</v>
      </c>
      <c r="O213">
        <v>0.58259379823385327</v>
      </c>
      <c r="P213" s="1" t="str">
        <f>HYPERLINK(".\sm_car_250805_2313\sm_car_250805_2313_212_Ca130TrN_MaIPA_DrSt_ode23t.png","figure")</f>
        <v>figure</v>
      </c>
      <c r="Q213" t="s">
        <v>15</v>
      </c>
    </row>
    <row r="214" spans="1:17" x14ac:dyDescent="0.25">
      <c r="A214">
        <v>213</v>
      </c>
      <c r="B214">
        <v>171</v>
      </c>
      <c r="C214" t="s">
        <v>45</v>
      </c>
      <c r="D214" t="s">
        <v>17</v>
      </c>
      <c r="E214" t="s">
        <v>72</v>
      </c>
      <c r="F214" t="s">
        <v>19</v>
      </c>
      <c r="G214" t="s">
        <v>26</v>
      </c>
      <c r="H214" t="s">
        <v>21</v>
      </c>
      <c r="I214" t="s">
        <v>73</v>
      </c>
      <c r="J214" t="s">
        <v>148</v>
      </c>
      <c r="K214" t="s">
        <v>23</v>
      </c>
      <c r="L214">
        <v>1370</v>
      </c>
      <c r="M214">
        <v>22.4284578</v>
      </c>
      <c r="N214">
        <v>338.70299408615864</v>
      </c>
      <c r="O214">
        <v>0.69507929594247353</v>
      </c>
      <c r="P214" s="1" t="str">
        <f>HYPERLINK(".\sm_car_250805_2313\sm_car_250805_2313_213_Ca171TrN_MaRDP_DrSt_ode23t_1.png","figure")</f>
        <v>figure</v>
      </c>
      <c r="Q214" t="s">
        <v>15</v>
      </c>
    </row>
    <row r="215" spans="1:17" x14ac:dyDescent="0.25">
      <c r="A215">
        <v>214</v>
      </c>
      <c r="B215">
        <v>172</v>
      </c>
      <c r="C215" t="s">
        <v>46</v>
      </c>
      <c r="D215" t="s">
        <v>17</v>
      </c>
      <c r="E215" t="s">
        <v>72</v>
      </c>
      <c r="F215" t="s">
        <v>19</v>
      </c>
      <c r="G215" t="s">
        <v>26</v>
      </c>
      <c r="H215" t="s">
        <v>21</v>
      </c>
      <c r="I215" t="s">
        <v>73</v>
      </c>
      <c r="J215" t="s">
        <v>148</v>
      </c>
      <c r="K215" t="s">
        <v>23</v>
      </c>
      <c r="L215">
        <v>1239</v>
      </c>
      <c r="M215">
        <v>11.9233457</v>
      </c>
      <c r="N215">
        <v>137.31324907911886</v>
      </c>
      <c r="O215">
        <v>3.6867395266246723E-2</v>
      </c>
      <c r="P215" s="1" t="str">
        <f>HYPERLINK(".\sm_car_250805_2313\sm_car_250805_2313_214_Ca172TrN_MaRDP_DrSt_ode23t_1.png","figure")</f>
        <v>figure</v>
      </c>
      <c r="Q215" t="s">
        <v>15</v>
      </c>
    </row>
    <row r="216" spans="1:17" x14ac:dyDescent="0.25">
      <c r="A216">
        <v>215</v>
      </c>
      <c r="B216">
        <v>139</v>
      </c>
      <c r="C216" t="s">
        <v>45</v>
      </c>
      <c r="D216" t="s">
        <v>17</v>
      </c>
      <c r="E216" t="s">
        <v>18</v>
      </c>
      <c r="F216" t="s">
        <v>19</v>
      </c>
      <c r="G216" t="s">
        <v>26</v>
      </c>
      <c r="H216" t="s">
        <v>21</v>
      </c>
      <c r="I216" t="s">
        <v>74</v>
      </c>
      <c r="J216" t="s">
        <v>148</v>
      </c>
      <c r="K216" t="s">
        <v>23</v>
      </c>
      <c r="L216">
        <v>1437</v>
      </c>
      <c r="M216">
        <v>18.2200436</v>
      </c>
      <c r="N216">
        <v>364.59408165534882</v>
      </c>
      <c r="O216">
        <v>0.74703279937509426</v>
      </c>
      <c r="P216" s="1" t="str">
        <f>HYPERLINK(".\sm_car_250805_2313\sm_car_250805_2313_215_Ca139TrN_MaZPL_DrSt_ode23t_1.png","figure")</f>
        <v>figure</v>
      </c>
      <c r="Q216" t="s">
        <v>15</v>
      </c>
    </row>
    <row r="217" spans="1:17" x14ac:dyDescent="0.25">
      <c r="A217">
        <v>216</v>
      </c>
      <c r="B217">
        <v>165</v>
      </c>
      <c r="C217" t="s">
        <v>45</v>
      </c>
      <c r="D217" t="s">
        <v>35</v>
      </c>
      <c r="E217" t="s">
        <v>49</v>
      </c>
      <c r="F217" t="s">
        <v>19</v>
      </c>
      <c r="G217" t="s">
        <v>26</v>
      </c>
      <c r="H217" t="s">
        <v>21</v>
      </c>
      <c r="I217" t="s">
        <v>74</v>
      </c>
      <c r="J217" t="s">
        <v>148</v>
      </c>
      <c r="K217" t="s">
        <v>23</v>
      </c>
      <c r="L217">
        <v>2105</v>
      </c>
      <c r="M217">
        <v>10.163304699999999</v>
      </c>
      <c r="N217">
        <v>397.61592449430793</v>
      </c>
      <c r="O217">
        <v>0.34019291346256303</v>
      </c>
      <c r="P217" s="1" t="str">
        <f>HYPERLINK(".\sm_car_250805_2313\sm_car_250805_2313_216_Ca165TrN_MaZPL_DrSt_ode23t_1.png","figure")</f>
        <v>figure</v>
      </c>
      <c r="Q217" t="s">
        <v>15</v>
      </c>
    </row>
    <row r="218" spans="1:17" x14ac:dyDescent="0.25">
      <c r="A218">
        <v>217</v>
      </c>
      <c r="B218">
        <v>171</v>
      </c>
      <c r="C218" t="s">
        <v>45</v>
      </c>
      <c r="D218" t="s">
        <v>17</v>
      </c>
      <c r="E218" t="s">
        <v>72</v>
      </c>
      <c r="F218" t="s">
        <v>19</v>
      </c>
      <c r="G218" t="s">
        <v>26</v>
      </c>
      <c r="H218" t="s">
        <v>21</v>
      </c>
      <c r="I218" t="s">
        <v>74</v>
      </c>
      <c r="J218" t="s">
        <v>148</v>
      </c>
      <c r="K218" t="s">
        <v>23</v>
      </c>
      <c r="L218">
        <v>1477</v>
      </c>
      <c r="M218">
        <v>23.282096899999999</v>
      </c>
      <c r="N218">
        <v>364.26821920110206</v>
      </c>
      <c r="O218">
        <v>0.76658452668842181</v>
      </c>
      <c r="P218" s="1" t="str">
        <f>HYPERLINK(".\sm_car_250805_2313\sm_car_250805_2313_217_Ca171TrN_MaZPL_DrSt_ode23t_1.png","figure")</f>
        <v>figure</v>
      </c>
      <c r="Q218" t="s">
        <v>15</v>
      </c>
    </row>
    <row r="219" spans="1:17" x14ac:dyDescent="0.25">
      <c r="A219">
        <v>218</v>
      </c>
      <c r="B219">
        <v>165</v>
      </c>
      <c r="C219" t="s">
        <v>45</v>
      </c>
      <c r="D219" t="s">
        <v>35</v>
      </c>
      <c r="E219" t="s">
        <v>49</v>
      </c>
      <c r="F219" t="s">
        <v>19</v>
      </c>
      <c r="G219" t="s">
        <v>26</v>
      </c>
      <c r="H219" t="s">
        <v>21</v>
      </c>
      <c r="I219" t="s">
        <v>75</v>
      </c>
      <c r="J219" t="s">
        <v>148</v>
      </c>
      <c r="K219" t="s">
        <v>23</v>
      </c>
      <c r="L219">
        <v>511</v>
      </c>
      <c r="M219">
        <v>4.8063674000000001</v>
      </c>
      <c r="N219">
        <v>378.27881035343245</v>
      </c>
      <c r="O219">
        <v>0.32742335245817278</v>
      </c>
      <c r="P219" s="1" t="str">
        <f>HYPERLINK(".\sm_car_250805_2313\sm_car_250805_2313_218_Ca165TrN_MaCPL_DrSt_ode23t_1.png","figure")</f>
        <v>figure</v>
      </c>
      <c r="Q219" t="s">
        <v>15</v>
      </c>
    </row>
    <row r="220" spans="1:17" x14ac:dyDescent="0.25">
      <c r="A220">
        <v>219</v>
      </c>
      <c r="B220">
        <v>170</v>
      </c>
      <c r="C220" t="s">
        <v>45</v>
      </c>
      <c r="D220" t="s">
        <v>35</v>
      </c>
      <c r="E220" t="s">
        <v>49</v>
      </c>
      <c r="F220" t="s">
        <v>19</v>
      </c>
      <c r="G220" t="s">
        <v>20</v>
      </c>
      <c r="H220" t="s">
        <v>21</v>
      </c>
      <c r="I220" t="s">
        <v>75</v>
      </c>
      <c r="J220" t="s">
        <v>148</v>
      </c>
      <c r="K220" t="s">
        <v>23</v>
      </c>
      <c r="L220">
        <v>470</v>
      </c>
      <c r="M220">
        <v>3.3330177999999999</v>
      </c>
      <c r="N220">
        <v>381.4484771482264</v>
      </c>
      <c r="O220">
        <v>0.33443756398186958</v>
      </c>
      <c r="P220" s="1" t="str">
        <f>HYPERLINK(".\sm_car_250805_2313\sm_car_250805_2313_219_Ca170TrN_MaCPL_DrSt_ode23t_1.png","figure")</f>
        <v>figure</v>
      </c>
      <c r="Q220" t="s">
        <v>15</v>
      </c>
    </row>
    <row r="221" spans="1:17" x14ac:dyDescent="0.25">
      <c r="A221">
        <v>220</v>
      </c>
      <c r="B221">
        <v>171</v>
      </c>
      <c r="C221" t="s">
        <v>45</v>
      </c>
      <c r="D221" t="s">
        <v>17</v>
      </c>
      <c r="E221" t="s">
        <v>72</v>
      </c>
      <c r="F221" t="s">
        <v>19</v>
      </c>
      <c r="G221" t="s">
        <v>26</v>
      </c>
      <c r="H221" t="s">
        <v>21</v>
      </c>
      <c r="I221" t="s">
        <v>76</v>
      </c>
      <c r="J221" t="s">
        <v>148</v>
      </c>
      <c r="K221" t="s">
        <v>23</v>
      </c>
      <c r="L221">
        <v>2681</v>
      </c>
      <c r="M221">
        <v>42.031462699999999</v>
      </c>
      <c r="N221">
        <v>165.0900820463298</v>
      </c>
      <c r="O221">
        <v>1.0622799586212858E-3</v>
      </c>
      <c r="P221" s="1" t="str">
        <f>HYPERLINK(".\sm_car_250805_2313\sm_car_250805_2313_220_Ca171TrN_MaRDR_DrSt_ode23t_1.png","figure")</f>
        <v>figure</v>
      </c>
      <c r="Q221" t="s">
        <v>15</v>
      </c>
    </row>
    <row r="222" spans="1:17" x14ac:dyDescent="0.25">
      <c r="A222">
        <v>221</v>
      </c>
      <c r="B222">
        <v>172</v>
      </c>
      <c r="C222" t="s">
        <v>46</v>
      </c>
      <c r="D222" t="s">
        <v>17</v>
      </c>
      <c r="E222" t="s">
        <v>72</v>
      </c>
      <c r="F222" t="s">
        <v>19</v>
      </c>
      <c r="G222" t="s">
        <v>26</v>
      </c>
      <c r="H222" t="s">
        <v>21</v>
      </c>
      <c r="I222" t="s">
        <v>76</v>
      </c>
      <c r="J222" t="s">
        <v>148</v>
      </c>
      <c r="K222" t="s">
        <v>23</v>
      </c>
      <c r="L222">
        <v>3248</v>
      </c>
      <c r="M222">
        <v>27.6959634</v>
      </c>
      <c r="N222">
        <v>162.27353842752285</v>
      </c>
      <c r="O222">
        <v>3.7986584251407924E-4</v>
      </c>
      <c r="P222" s="1" t="str">
        <f>HYPERLINK(".\sm_car_250805_2313\sm_car_250805_2313_221_Ca172TrN_MaRDR_DrSt_ode23t_1.png","figure")</f>
        <v>figure</v>
      </c>
      <c r="Q222" t="s">
        <v>15</v>
      </c>
    </row>
    <row r="223" spans="1:17" x14ac:dyDescent="0.25">
      <c r="A223">
        <v>222</v>
      </c>
      <c r="B223">
        <v>139</v>
      </c>
      <c r="C223" t="s">
        <v>45</v>
      </c>
      <c r="D223" t="s">
        <v>17</v>
      </c>
      <c r="E223" t="s">
        <v>18</v>
      </c>
      <c r="F223" t="s">
        <v>19</v>
      </c>
      <c r="G223" t="s">
        <v>26</v>
      </c>
      <c r="H223" t="s">
        <v>21</v>
      </c>
      <c r="I223" t="s">
        <v>77</v>
      </c>
      <c r="J223" t="s">
        <v>148</v>
      </c>
      <c r="K223" t="s">
        <v>23</v>
      </c>
      <c r="L223">
        <v>2919</v>
      </c>
      <c r="M223">
        <v>32.524759799999998</v>
      </c>
      <c r="N223">
        <v>189.28596789935386</v>
      </c>
      <c r="O223">
        <v>6.6400820520909158E-4</v>
      </c>
      <c r="P223" s="1" t="str">
        <f>HYPERLINK(".\sm_car_250805_2313\sm_car_250805_2313_222_Ca139TrN_MaZRR_DrSt_ode23t_1.png","figure")</f>
        <v>figure</v>
      </c>
      <c r="Q223" t="s">
        <v>15</v>
      </c>
    </row>
    <row r="224" spans="1:17" x14ac:dyDescent="0.25">
      <c r="A224">
        <v>223</v>
      </c>
      <c r="B224">
        <v>165</v>
      </c>
      <c r="C224" t="s">
        <v>45</v>
      </c>
      <c r="D224" t="s">
        <v>35</v>
      </c>
      <c r="E224" t="s">
        <v>49</v>
      </c>
      <c r="F224" t="s">
        <v>19</v>
      </c>
      <c r="G224" t="s">
        <v>26</v>
      </c>
      <c r="H224" t="s">
        <v>21</v>
      </c>
      <c r="I224" t="s">
        <v>77</v>
      </c>
      <c r="J224" t="s">
        <v>148</v>
      </c>
      <c r="K224" t="s">
        <v>23</v>
      </c>
      <c r="L224">
        <v>3442</v>
      </c>
      <c r="M224">
        <v>19.4356315</v>
      </c>
      <c r="N224">
        <v>189.40960042905553</v>
      </c>
      <c r="O224">
        <v>5.3861300444030194E-5</v>
      </c>
      <c r="P224" s="1" t="str">
        <f>HYPERLINK(".\sm_car_250805_2313\sm_car_250805_2313_223_Ca165TrN_MaZRR_DrSt_ode23t_1.png","figure")</f>
        <v>figure</v>
      </c>
      <c r="Q224" t="s">
        <v>15</v>
      </c>
    </row>
    <row r="225" spans="1:17" x14ac:dyDescent="0.25">
      <c r="A225">
        <v>224</v>
      </c>
      <c r="B225">
        <v>171</v>
      </c>
      <c r="C225" t="s">
        <v>45</v>
      </c>
      <c r="D225" t="s">
        <v>17</v>
      </c>
      <c r="E225" t="s">
        <v>72</v>
      </c>
      <c r="F225" t="s">
        <v>19</v>
      </c>
      <c r="G225" t="s">
        <v>26</v>
      </c>
      <c r="H225" t="s">
        <v>21</v>
      </c>
      <c r="I225" t="s">
        <v>77</v>
      </c>
      <c r="J225" t="s">
        <v>148</v>
      </c>
      <c r="K225" t="s">
        <v>23</v>
      </c>
      <c r="L225">
        <v>2961</v>
      </c>
      <c r="M225">
        <v>46.060767900000002</v>
      </c>
      <c r="N225">
        <v>189.2819417891892</v>
      </c>
      <c r="O225">
        <v>7.0244132971239946E-4</v>
      </c>
      <c r="P225" s="1" t="str">
        <f>HYPERLINK(".\sm_car_250805_2313\sm_car_250805_2313_224_Ca171TrN_MaZRR_DrSt_ode23t_1.png","figure")</f>
        <v>figure</v>
      </c>
      <c r="Q225" t="s">
        <v>15</v>
      </c>
    </row>
    <row r="226" spans="1:17" x14ac:dyDescent="0.25">
      <c r="A226">
        <v>225</v>
      </c>
      <c r="B226">
        <v>170</v>
      </c>
      <c r="C226" t="s">
        <v>45</v>
      </c>
      <c r="D226" t="s">
        <v>35</v>
      </c>
      <c r="E226" t="s">
        <v>49</v>
      </c>
      <c r="F226" t="s">
        <v>19</v>
      </c>
      <c r="G226" t="s">
        <v>20</v>
      </c>
      <c r="H226" t="s">
        <v>21</v>
      </c>
      <c r="I226" t="s">
        <v>78</v>
      </c>
      <c r="J226" t="s">
        <v>148</v>
      </c>
      <c r="K226" t="s">
        <v>23</v>
      </c>
      <c r="L226">
        <v>6367</v>
      </c>
      <c r="M226">
        <v>21.555564</v>
      </c>
      <c r="N226">
        <v>-5.9995280659930668</v>
      </c>
      <c r="O226">
        <v>-6.2662973972513339E-3</v>
      </c>
      <c r="P226" s="1" t="str">
        <f>HYPERLINK(".\sm_car_250805_2313\sm_car_250805_2313_225_Ca170TrN_MaCMP_DrSt_ode23t_1.png","figure")</f>
        <v>figure</v>
      </c>
      <c r="Q226" t="s">
        <v>15</v>
      </c>
    </row>
    <row r="227" spans="1:17" x14ac:dyDescent="0.25">
      <c r="A227">
        <v>226</v>
      </c>
      <c r="B227">
        <v>170</v>
      </c>
      <c r="C227" t="s">
        <v>45</v>
      </c>
      <c r="D227" t="s">
        <v>35</v>
      </c>
      <c r="E227" t="s">
        <v>49</v>
      </c>
      <c r="F227" t="s">
        <v>19</v>
      </c>
      <c r="G227" t="s">
        <v>20</v>
      </c>
      <c r="H227" t="s">
        <v>21</v>
      </c>
      <c r="I227" t="s">
        <v>79</v>
      </c>
      <c r="J227" t="s">
        <v>148</v>
      </c>
      <c r="K227" t="s">
        <v>23</v>
      </c>
      <c r="L227">
        <v>1612</v>
      </c>
      <c r="M227">
        <v>11.491318</v>
      </c>
      <c r="N227">
        <v>-5.989509988124694</v>
      </c>
      <c r="O227">
        <v>-6.2050287012048542E-3</v>
      </c>
      <c r="P227" s="1" t="str">
        <f>HYPERLINK(".\sm_car_250805_2313\sm_car_250805_2313_226_Ca170TrN_MaCMF_DrSt_ode23t_1.png","figure")</f>
        <v>figure</v>
      </c>
      <c r="Q227" t="s">
        <v>15</v>
      </c>
    </row>
    <row r="228" spans="1:17" x14ac:dyDescent="0.25">
      <c r="A228">
        <v>227</v>
      </c>
      <c r="B228">
        <v>170</v>
      </c>
      <c r="C228" t="s">
        <v>45</v>
      </c>
      <c r="D228" t="s">
        <v>35</v>
      </c>
      <c r="E228" t="s">
        <v>49</v>
      </c>
      <c r="F228" t="s">
        <v>19</v>
      </c>
      <c r="G228" t="s">
        <v>20</v>
      </c>
      <c r="H228" t="s">
        <v>21</v>
      </c>
      <c r="I228" t="s">
        <v>80</v>
      </c>
      <c r="J228" t="s">
        <v>148</v>
      </c>
      <c r="K228" t="s">
        <v>23</v>
      </c>
      <c r="L228">
        <v>5374</v>
      </c>
      <c r="M228">
        <v>41.3713379</v>
      </c>
      <c r="N228">
        <v>-217.11863943819523</v>
      </c>
      <c r="O228">
        <v>5.7998877916713454</v>
      </c>
      <c r="P228" s="1" t="str">
        <f>HYPERLINK(".\sm_car_250805_2313\sm_car_250805_2313_227_Ca170TrN_MaMPO_DrSt_ode23t_1.png","figure")</f>
        <v>figure</v>
      </c>
      <c r="Q228" t="s">
        <v>15</v>
      </c>
    </row>
    <row r="229" spans="1:17" x14ac:dyDescent="0.25">
      <c r="A229">
        <v>228</v>
      </c>
      <c r="B229">
        <v>170</v>
      </c>
      <c r="C229" t="s">
        <v>45</v>
      </c>
      <c r="D229" t="s">
        <v>35</v>
      </c>
      <c r="E229" t="s">
        <v>49</v>
      </c>
      <c r="F229" t="s">
        <v>19</v>
      </c>
      <c r="G229" t="s">
        <v>20</v>
      </c>
      <c r="H229" t="s">
        <v>21</v>
      </c>
      <c r="I229" t="s">
        <v>81</v>
      </c>
      <c r="J229" t="s">
        <v>148</v>
      </c>
      <c r="K229" t="s">
        <v>23</v>
      </c>
      <c r="L229">
        <v>1178</v>
      </c>
      <c r="M229">
        <v>20.044724599999999</v>
      </c>
      <c r="N229">
        <v>-14.237902911236695</v>
      </c>
      <c r="O229">
        <v>-1.1887653683373856E-2</v>
      </c>
      <c r="P229" s="1" t="str">
        <f>HYPERLINK(".\sm_car_250805_2313\sm_car_250805_2313_228_Ca170TrN_MaMCI_DrSt_ode23t_1.png","figure")</f>
        <v>figure</v>
      </c>
      <c r="Q229" t="s">
        <v>15</v>
      </c>
    </row>
    <row r="230" spans="1:17" x14ac:dyDescent="0.25">
      <c r="A230">
        <v>229</v>
      </c>
      <c r="B230">
        <v>170</v>
      </c>
      <c r="C230" t="s">
        <v>45</v>
      </c>
      <c r="D230" t="s">
        <v>35</v>
      </c>
      <c r="E230" t="s">
        <v>49</v>
      </c>
      <c r="F230" t="s">
        <v>19</v>
      </c>
      <c r="G230" t="s">
        <v>20</v>
      </c>
      <c r="H230" t="s">
        <v>21</v>
      </c>
      <c r="I230" t="s">
        <v>110</v>
      </c>
      <c r="J230" t="s">
        <v>148</v>
      </c>
      <c r="K230" t="s">
        <v>23</v>
      </c>
      <c r="L230">
        <v>3761</v>
      </c>
      <c r="M230">
        <v>22.431028999999999</v>
      </c>
      <c r="N230">
        <v>-5.9992052024927416</v>
      </c>
      <c r="O230">
        <v>-4.701432655593819E-3</v>
      </c>
      <c r="P230" s="1" t="str">
        <f>HYPERLINK(".\sm_car_250805_2313\sm_car_250805_2313_229_Ca170TrN_MaCHO_DrSt_ode23t_1.png","figure")</f>
        <v>figure</v>
      </c>
      <c r="Q230" t="s">
        <v>15</v>
      </c>
    </row>
    <row r="231" spans="1:17" x14ac:dyDescent="0.25">
      <c r="A231">
        <v>230</v>
      </c>
      <c r="B231">
        <v>170</v>
      </c>
      <c r="C231" t="s">
        <v>45</v>
      </c>
      <c r="D231" t="s">
        <v>35</v>
      </c>
      <c r="E231" t="s">
        <v>49</v>
      </c>
      <c r="F231" t="s">
        <v>19</v>
      </c>
      <c r="G231" t="s">
        <v>20</v>
      </c>
      <c r="H231" t="s">
        <v>21</v>
      </c>
      <c r="I231" t="s">
        <v>111</v>
      </c>
      <c r="J231" t="s">
        <v>148</v>
      </c>
      <c r="K231" t="s">
        <v>23</v>
      </c>
      <c r="L231">
        <v>2634</v>
      </c>
      <c r="M231">
        <v>24.449034999999999</v>
      </c>
      <c r="N231">
        <v>-5.9942659436922545</v>
      </c>
      <c r="O231">
        <v>-4.7234596565955663E-3</v>
      </c>
      <c r="P231" s="1" t="str">
        <f>HYPERLINK(".\sm_car_250805_2313\sm_car_250805_2313_230_Ca170TrN_MaCHF_DrSt_ode23t_1.png","figure")</f>
        <v>figure</v>
      </c>
      <c r="Q231" t="s">
        <v>15</v>
      </c>
    </row>
    <row r="232" spans="1:17" x14ac:dyDescent="0.25">
      <c r="A232">
        <v>231</v>
      </c>
      <c r="B232">
        <v>170</v>
      </c>
      <c r="C232" t="s">
        <v>45</v>
      </c>
      <c r="D232" t="s">
        <v>35</v>
      </c>
      <c r="E232" t="s">
        <v>49</v>
      </c>
      <c r="F232" t="s">
        <v>19</v>
      </c>
      <c r="G232" t="s">
        <v>20</v>
      </c>
      <c r="H232" t="s">
        <v>21</v>
      </c>
      <c r="I232" t="s">
        <v>82</v>
      </c>
      <c r="J232" t="s">
        <v>148</v>
      </c>
      <c r="K232" t="s">
        <v>23</v>
      </c>
      <c r="L232">
        <v>9263</v>
      </c>
      <c r="M232">
        <v>38.589064299999997</v>
      </c>
      <c r="N232">
        <v>-768.71605344262082</v>
      </c>
      <c r="O232">
        <v>638.64316490375165</v>
      </c>
      <c r="P232" s="1" t="str">
        <f>HYPERLINK(".\sm_car_250805_2313\sm_car_250805_2313_231_Ca170TrN_MaCKY_DrSt_ode23t_1.png","figure")</f>
        <v>figure</v>
      </c>
      <c r="Q232" t="s">
        <v>15</v>
      </c>
    </row>
    <row r="233" spans="1:17" x14ac:dyDescent="0.25">
      <c r="A233">
        <v>232</v>
      </c>
      <c r="B233">
        <v>170</v>
      </c>
      <c r="C233" t="s">
        <v>45</v>
      </c>
      <c r="D233" t="s">
        <v>35</v>
      </c>
      <c r="E233" t="s">
        <v>49</v>
      </c>
      <c r="F233" t="s">
        <v>19</v>
      </c>
      <c r="G233" t="s">
        <v>20</v>
      </c>
      <c r="H233" t="s">
        <v>21</v>
      </c>
      <c r="I233" t="s">
        <v>83</v>
      </c>
      <c r="J233" t="s">
        <v>148</v>
      </c>
      <c r="K233" t="s">
        <v>23</v>
      </c>
      <c r="L233">
        <v>1691</v>
      </c>
      <c r="M233">
        <v>14.3516952</v>
      </c>
      <c r="N233">
        <v>-772.67588039936118</v>
      </c>
      <c r="O233">
        <v>640.74519629771578</v>
      </c>
      <c r="P233" s="1" t="str">
        <f>HYPERLINK(".\sm_car_250805_2313\sm_car_250805_2313_232_Ca170TrN_MaCKF_DrSt_ode23t_1.png","figure")</f>
        <v>figure</v>
      </c>
      <c r="Q233" t="s">
        <v>15</v>
      </c>
    </row>
    <row r="234" spans="1:17" x14ac:dyDescent="0.25">
      <c r="A234">
        <v>233</v>
      </c>
      <c r="B234">
        <v>170</v>
      </c>
      <c r="C234" t="s">
        <v>45</v>
      </c>
      <c r="D234" t="s">
        <v>35</v>
      </c>
      <c r="E234" t="s">
        <v>49</v>
      </c>
      <c r="F234" t="s">
        <v>19</v>
      </c>
      <c r="G234" t="s">
        <v>20</v>
      </c>
      <c r="H234" t="s">
        <v>21</v>
      </c>
      <c r="I234" t="s">
        <v>84</v>
      </c>
      <c r="J234" t="s">
        <v>148</v>
      </c>
      <c r="K234" t="s">
        <v>23</v>
      </c>
      <c r="L234">
        <v>2261</v>
      </c>
      <c r="M234">
        <v>29.571057100000001</v>
      </c>
      <c r="N234">
        <v>189.31350744491485</v>
      </c>
      <c r="O234">
        <v>308.88773346085298</v>
      </c>
      <c r="P234" s="1" t="str">
        <f>HYPERLINK(".\sm_car_250805_2313\sm_car_250805_2313_233_Ca170TrN_MaCNN_DrSt_ode23t_1.png","figure")</f>
        <v>figure</v>
      </c>
      <c r="Q234" t="s">
        <v>15</v>
      </c>
    </row>
    <row r="235" spans="1:17" x14ac:dyDescent="0.25">
      <c r="A235">
        <v>234</v>
      </c>
      <c r="B235">
        <v>170</v>
      </c>
      <c r="C235" t="s">
        <v>45</v>
      </c>
      <c r="D235" t="s">
        <v>35</v>
      </c>
      <c r="E235" t="s">
        <v>49</v>
      </c>
      <c r="F235" t="s">
        <v>19</v>
      </c>
      <c r="G235" t="s">
        <v>20</v>
      </c>
      <c r="H235" t="s">
        <v>21</v>
      </c>
      <c r="I235" t="s">
        <v>85</v>
      </c>
      <c r="J235" t="s">
        <v>148</v>
      </c>
      <c r="K235" t="s">
        <v>23</v>
      </c>
      <c r="L235">
        <v>3515</v>
      </c>
      <c r="M235">
        <v>150.8704956</v>
      </c>
      <c r="N235">
        <v>2981.6989943758012</v>
      </c>
      <c r="O235">
        <v>-3077.7680715037905</v>
      </c>
      <c r="P235" s="1" t="str">
        <f>HYPERLINK(".\sm_car_250805_2313\sm_car_250805_2313_234_Ca170TrN_MaCNF_DrSt_ode23t_1.png","figure")</f>
        <v>figure</v>
      </c>
      <c r="Q235" t="s">
        <v>15</v>
      </c>
    </row>
    <row r="236" spans="1:17" x14ac:dyDescent="0.25">
      <c r="A236">
        <v>235</v>
      </c>
      <c r="B236">
        <v>170</v>
      </c>
      <c r="C236" t="s">
        <v>45</v>
      </c>
      <c r="D236" t="s">
        <v>35</v>
      </c>
      <c r="E236" t="s">
        <v>49</v>
      </c>
      <c r="F236" t="s">
        <v>19</v>
      </c>
      <c r="G236" t="s">
        <v>20</v>
      </c>
      <c r="H236" t="s">
        <v>21</v>
      </c>
      <c r="I236" t="s">
        <v>86</v>
      </c>
      <c r="J236" t="s">
        <v>148</v>
      </c>
      <c r="K236" t="s">
        <v>23</v>
      </c>
      <c r="L236">
        <v>3007</v>
      </c>
      <c r="M236">
        <v>20.054814199999999</v>
      </c>
      <c r="N236">
        <v>497.86353858547824</v>
      </c>
      <c r="O236">
        <v>-175.7028196269822</v>
      </c>
      <c r="P236" s="1" t="str">
        <f>HYPERLINK(".\sm_car_250805_2313\sm_car_250805_2313_235_Ca170TrN_MaCSZ_DrSt_ode23t_1.png","figure")</f>
        <v>figure</v>
      </c>
      <c r="Q236" t="s">
        <v>15</v>
      </c>
    </row>
    <row r="237" spans="1:17" x14ac:dyDescent="0.25">
      <c r="A237">
        <v>236</v>
      </c>
      <c r="B237">
        <v>170</v>
      </c>
      <c r="C237" t="s">
        <v>45</v>
      </c>
      <c r="D237" t="s">
        <v>35</v>
      </c>
      <c r="E237" t="s">
        <v>49</v>
      </c>
      <c r="F237" t="s">
        <v>19</v>
      </c>
      <c r="G237" t="s">
        <v>20</v>
      </c>
      <c r="H237" t="s">
        <v>21</v>
      </c>
      <c r="I237" t="s">
        <v>87</v>
      </c>
      <c r="J237" t="s">
        <v>148</v>
      </c>
      <c r="K237" t="s">
        <v>23</v>
      </c>
      <c r="L237">
        <v>5157</v>
      </c>
      <c r="M237">
        <v>116.3574157</v>
      </c>
      <c r="N237">
        <v>-8.9884865886275076</v>
      </c>
      <c r="O237">
        <v>8.1786382755070445E-3</v>
      </c>
      <c r="P237" s="1" t="str">
        <f>HYPERLINK(".\sm_car_250805_2313\sm_car_250805_2313_236_Ca170TrN_MaCSF_DrSt_ode23t_1.png","figure")</f>
        <v>figure</v>
      </c>
      <c r="Q237" t="s">
        <v>15</v>
      </c>
    </row>
    <row r="238" spans="1:17" x14ac:dyDescent="0.25">
      <c r="A238">
        <v>237</v>
      </c>
      <c r="B238">
        <v>170</v>
      </c>
      <c r="C238" t="s">
        <v>45</v>
      </c>
      <c r="D238" t="s">
        <v>35</v>
      </c>
      <c r="E238" t="s">
        <v>49</v>
      </c>
      <c r="F238" t="s">
        <v>19</v>
      </c>
      <c r="G238" t="s">
        <v>20</v>
      </c>
      <c r="H238" t="s">
        <v>21</v>
      </c>
      <c r="I238" t="s">
        <v>88</v>
      </c>
      <c r="J238" t="s">
        <v>148</v>
      </c>
      <c r="K238" t="s">
        <v>23</v>
      </c>
      <c r="L238">
        <v>1711</v>
      </c>
      <c r="M238">
        <v>39.414814800000002</v>
      </c>
      <c r="N238">
        <v>247.79136277344821</v>
      </c>
      <c r="O238">
        <v>391.3792297899555</v>
      </c>
      <c r="P238" s="1" t="str">
        <f>HYPERLINK(".\sm_car_250805_2313\sm_car_250805_2313_237_Ca170TrN_MaCPU_DrSt_ode23t_1.png","figure")</f>
        <v>figure</v>
      </c>
      <c r="Q238" t="s">
        <v>15</v>
      </c>
    </row>
    <row r="239" spans="1:17" x14ac:dyDescent="0.25">
      <c r="A239">
        <v>238</v>
      </c>
      <c r="B239">
        <v>170</v>
      </c>
      <c r="C239" t="s">
        <v>45</v>
      </c>
      <c r="D239" t="s">
        <v>35</v>
      </c>
      <c r="E239" t="s">
        <v>49</v>
      </c>
      <c r="F239" t="s">
        <v>19</v>
      </c>
      <c r="G239" t="s">
        <v>20</v>
      </c>
      <c r="H239" t="s">
        <v>21</v>
      </c>
      <c r="I239" t="s">
        <v>89</v>
      </c>
      <c r="J239" t="s">
        <v>148</v>
      </c>
      <c r="K239" t="s">
        <v>23</v>
      </c>
      <c r="L239">
        <v>2497</v>
      </c>
      <c r="M239">
        <v>28.496122700000001</v>
      </c>
      <c r="N239">
        <v>179.59001575636853</v>
      </c>
      <c r="O239">
        <v>-180.2826597977346</v>
      </c>
      <c r="P239" s="1" t="str">
        <f>HYPERLINK(".\sm_car_250805_2313\sm_car_250805_2313_238_Ca170TrN_MaCPD_DrSt_ode23t_1.png","figure")</f>
        <v>figure</v>
      </c>
      <c r="Q239" t="s">
        <v>15</v>
      </c>
    </row>
    <row r="240" spans="1:17" x14ac:dyDescent="0.25">
      <c r="A240">
        <v>239</v>
      </c>
      <c r="B240">
        <v>202</v>
      </c>
      <c r="C240" t="s">
        <v>45</v>
      </c>
      <c r="D240" t="s">
        <v>35</v>
      </c>
      <c r="E240" t="s">
        <v>107</v>
      </c>
      <c r="F240" t="s">
        <v>19</v>
      </c>
      <c r="G240" t="s">
        <v>20</v>
      </c>
      <c r="H240" t="s">
        <v>21</v>
      </c>
      <c r="I240" t="s">
        <v>79</v>
      </c>
      <c r="J240" t="s">
        <v>148</v>
      </c>
      <c r="K240" t="s">
        <v>23</v>
      </c>
      <c r="L240">
        <v>1619</v>
      </c>
      <c r="M240">
        <v>4.4735325000000001</v>
      </c>
      <c r="N240">
        <v>-5.9970848196732902</v>
      </c>
      <c r="O240">
        <v>-6.254408824130391E-3</v>
      </c>
      <c r="P240" s="1" t="str">
        <f>HYPERLINK(".\sm_car_250805_2313\sm_car_250805_2313_239_Ca202TrN_MaCMF_DrSt_ode23t_1.png","figure")</f>
        <v>figure</v>
      </c>
      <c r="Q240" t="s">
        <v>15</v>
      </c>
    </row>
    <row r="241" spans="1:17" x14ac:dyDescent="0.25">
      <c r="A241">
        <v>240</v>
      </c>
      <c r="B241">
        <v>202</v>
      </c>
      <c r="C241" t="s">
        <v>45</v>
      </c>
      <c r="D241" t="s">
        <v>35</v>
      </c>
      <c r="E241" t="s">
        <v>107</v>
      </c>
      <c r="F241" t="s">
        <v>19</v>
      </c>
      <c r="G241" t="s">
        <v>20</v>
      </c>
      <c r="H241" t="s">
        <v>21</v>
      </c>
      <c r="I241" t="s">
        <v>80</v>
      </c>
      <c r="J241" t="s">
        <v>148</v>
      </c>
      <c r="K241" t="s">
        <v>23</v>
      </c>
      <c r="L241">
        <v>5308</v>
      </c>
      <c r="M241">
        <v>27.766483699999998</v>
      </c>
      <c r="N241">
        <v>-217.07858677623918</v>
      </c>
      <c r="O241">
        <v>5.7936452344121703</v>
      </c>
      <c r="P241" s="1" t="str">
        <f>HYPERLINK(".\sm_car_250805_2313\sm_car_250805_2313_240_Ca202TrN_MaMPO_DrSt_ode23t_1.png","figure")</f>
        <v>figure</v>
      </c>
      <c r="Q241" t="s">
        <v>15</v>
      </c>
    </row>
    <row r="242" spans="1:17" x14ac:dyDescent="0.25">
      <c r="A242">
        <v>241</v>
      </c>
      <c r="B242">
        <v>202</v>
      </c>
      <c r="C242" t="s">
        <v>45</v>
      </c>
      <c r="D242" t="s">
        <v>35</v>
      </c>
      <c r="E242" t="s">
        <v>107</v>
      </c>
      <c r="F242" t="s">
        <v>19</v>
      </c>
      <c r="G242" t="s">
        <v>20</v>
      </c>
      <c r="H242" t="s">
        <v>21</v>
      </c>
      <c r="I242" t="s">
        <v>81</v>
      </c>
      <c r="J242" t="s">
        <v>148</v>
      </c>
      <c r="K242" t="s">
        <v>23</v>
      </c>
      <c r="L242">
        <v>1224</v>
      </c>
      <c r="M242">
        <v>10.418345499999999</v>
      </c>
      <c r="N242">
        <v>-14.232332726511437</v>
      </c>
      <c r="O242">
        <v>-7.8269606003118497E-3</v>
      </c>
      <c r="P242" s="1" t="str">
        <f>HYPERLINK(".\sm_car_250805_2313\sm_car_250805_2313_241_Ca202TrN_MaMCI_DrSt_ode23t_1.png","figure")</f>
        <v>figure</v>
      </c>
      <c r="Q242" t="s">
        <v>15</v>
      </c>
    </row>
    <row r="243" spans="1:17" x14ac:dyDescent="0.25">
      <c r="A243">
        <v>242</v>
      </c>
      <c r="B243">
        <v>202</v>
      </c>
      <c r="C243" t="s">
        <v>45</v>
      </c>
      <c r="D243" t="s">
        <v>35</v>
      </c>
      <c r="E243" t="s">
        <v>107</v>
      </c>
      <c r="F243" t="s">
        <v>19</v>
      </c>
      <c r="G243" t="s">
        <v>20</v>
      </c>
      <c r="H243" t="s">
        <v>21</v>
      </c>
      <c r="I243" t="s">
        <v>83</v>
      </c>
      <c r="J243" t="s">
        <v>148</v>
      </c>
      <c r="K243" t="s">
        <v>23</v>
      </c>
      <c r="L243">
        <v>2902</v>
      </c>
      <c r="M243">
        <v>10.491385599999999</v>
      </c>
      <c r="N243">
        <v>-5.9975352006213631</v>
      </c>
      <c r="O243">
        <v>-2.6155912435893693E-2</v>
      </c>
      <c r="P243" s="1" t="str">
        <f>HYPERLINK(".\sm_car_250805_2313\sm_car_250805_2313_242_Ca202TrN_MaCKF_DrSt_ode23t_1.png","figure")</f>
        <v>figure</v>
      </c>
      <c r="Q243" t="s">
        <v>15</v>
      </c>
    </row>
    <row r="244" spans="1:17" x14ac:dyDescent="0.25">
      <c r="A244">
        <v>243</v>
      </c>
      <c r="B244">
        <v>202</v>
      </c>
      <c r="C244" t="s">
        <v>45</v>
      </c>
      <c r="D244" t="s">
        <v>35</v>
      </c>
      <c r="E244" t="s">
        <v>107</v>
      </c>
      <c r="F244" t="s">
        <v>19</v>
      </c>
      <c r="G244" t="s">
        <v>20</v>
      </c>
      <c r="H244" t="s">
        <v>21</v>
      </c>
      <c r="I244" t="s">
        <v>85</v>
      </c>
      <c r="J244" t="s">
        <v>148</v>
      </c>
      <c r="K244" t="s">
        <v>23</v>
      </c>
      <c r="L244">
        <v>8410</v>
      </c>
      <c r="M244">
        <v>221.39806329999999</v>
      </c>
      <c r="N244">
        <v>-8.999830518906796</v>
      </c>
      <c r="O244">
        <v>2.4139420060235204E-2</v>
      </c>
      <c r="P244" s="1" t="str">
        <f>HYPERLINK(".\sm_car_250805_2313\sm_car_250805_2313_243_Ca202TrN_MaCNF_DrSt_ode23t_1.png","figure")</f>
        <v>figure</v>
      </c>
      <c r="Q244" t="s">
        <v>15</v>
      </c>
    </row>
    <row r="245" spans="1:17" x14ac:dyDescent="0.25">
      <c r="A245">
        <v>244</v>
      </c>
      <c r="B245">
        <v>202</v>
      </c>
      <c r="C245" t="s">
        <v>45</v>
      </c>
      <c r="D245" t="s">
        <v>35</v>
      </c>
      <c r="E245" t="s">
        <v>107</v>
      </c>
      <c r="F245" t="s">
        <v>19</v>
      </c>
      <c r="G245" t="s">
        <v>20</v>
      </c>
      <c r="H245" t="s">
        <v>21</v>
      </c>
      <c r="I245" t="s">
        <v>87</v>
      </c>
      <c r="J245" t="s">
        <v>148</v>
      </c>
      <c r="K245" t="s">
        <v>23</v>
      </c>
      <c r="L245">
        <v>5170</v>
      </c>
      <c r="M245">
        <v>64.967898000000005</v>
      </c>
      <c r="N245">
        <v>-8.9810794628366537</v>
      </c>
      <c r="O245">
        <v>8.1406236556982054E-3</v>
      </c>
      <c r="P245" s="1" t="str">
        <f>HYPERLINK(".\sm_car_250805_2313\sm_car_250805_2313_244_Ca202TrN_MaCSF_DrSt_ode23t_1.png","figure")</f>
        <v>figure</v>
      </c>
      <c r="Q245" t="s">
        <v>15</v>
      </c>
    </row>
    <row r="246" spans="1:17" x14ac:dyDescent="0.25">
      <c r="A246">
        <v>245</v>
      </c>
      <c r="B246">
        <v>202</v>
      </c>
      <c r="C246" t="s">
        <v>45</v>
      </c>
      <c r="D246" t="s">
        <v>35</v>
      </c>
      <c r="E246" t="s">
        <v>107</v>
      </c>
      <c r="F246" t="s">
        <v>19</v>
      </c>
      <c r="G246" t="s">
        <v>20</v>
      </c>
      <c r="H246" t="s">
        <v>21</v>
      </c>
      <c r="I246" t="s">
        <v>78</v>
      </c>
      <c r="J246" t="s">
        <v>148</v>
      </c>
      <c r="K246" t="s">
        <v>23</v>
      </c>
      <c r="L246">
        <v>6856</v>
      </c>
      <c r="M246">
        <v>23.086998900000001</v>
      </c>
      <c r="N246">
        <v>-5.9984448776602655</v>
      </c>
      <c r="O246">
        <v>-6.1565516963316353E-3</v>
      </c>
      <c r="P246" s="1" t="str">
        <f>HYPERLINK(".\sm_car_250805_2313\sm_car_250805_2313_245_Ca202TrN_MaCMP_DrSt_ode23t_1.png","figure")</f>
        <v>figure</v>
      </c>
      <c r="Q246" t="s">
        <v>15</v>
      </c>
    </row>
    <row r="247" spans="1:17" x14ac:dyDescent="0.25">
      <c r="A247">
        <v>246</v>
      </c>
      <c r="B247">
        <v>202</v>
      </c>
      <c r="C247" t="s">
        <v>45</v>
      </c>
      <c r="D247" t="s">
        <v>35</v>
      </c>
      <c r="E247" t="s">
        <v>107</v>
      </c>
      <c r="F247" t="s">
        <v>19</v>
      </c>
      <c r="G247" t="s">
        <v>20</v>
      </c>
      <c r="H247" t="s">
        <v>21</v>
      </c>
      <c r="I247" t="s">
        <v>82</v>
      </c>
      <c r="J247" t="s">
        <v>148</v>
      </c>
      <c r="K247" t="s">
        <v>23</v>
      </c>
      <c r="L247">
        <v>20168</v>
      </c>
      <c r="M247">
        <v>76.333536800000005</v>
      </c>
      <c r="N247">
        <v>-5.9992500609755472</v>
      </c>
      <c r="O247">
        <v>-2.7898346811167908E-2</v>
      </c>
      <c r="P247" s="1" t="str">
        <f>HYPERLINK(".\sm_car_250805_2313\sm_car_250805_2313_246_Ca202TrN_MaCKY_DrSt_ode23t_1.png","figure")</f>
        <v>figure</v>
      </c>
      <c r="Q247" t="s">
        <v>15</v>
      </c>
    </row>
    <row r="248" spans="1:17" x14ac:dyDescent="0.25">
      <c r="A248">
        <v>247</v>
      </c>
      <c r="B248">
        <v>202</v>
      </c>
      <c r="C248" t="s">
        <v>45</v>
      </c>
      <c r="D248" t="s">
        <v>35</v>
      </c>
      <c r="E248" t="s">
        <v>107</v>
      </c>
      <c r="F248" t="s">
        <v>19</v>
      </c>
      <c r="G248" t="s">
        <v>20</v>
      </c>
      <c r="H248" t="s">
        <v>21</v>
      </c>
      <c r="I248" t="s">
        <v>75</v>
      </c>
      <c r="J248" t="s">
        <v>148</v>
      </c>
      <c r="K248" t="s">
        <v>23</v>
      </c>
      <c r="L248">
        <v>454</v>
      </c>
      <c r="M248">
        <v>2.4213330000000002</v>
      </c>
      <c r="N248">
        <v>381.04324619338598</v>
      </c>
      <c r="O248">
        <v>0.33348601137820216</v>
      </c>
      <c r="P248" s="1" t="str">
        <f>HYPERLINK(".\sm_car_250805_2313\sm_car_250805_2313_247_Ca202TrN_MaCPL_DrSt_ode23t_1.png","figure")</f>
        <v>figure</v>
      </c>
      <c r="Q248" t="s">
        <v>15</v>
      </c>
    </row>
    <row r="249" spans="1:17" x14ac:dyDescent="0.25">
      <c r="A249">
        <v>248</v>
      </c>
      <c r="B249">
        <v>140</v>
      </c>
      <c r="C249" t="s">
        <v>45</v>
      </c>
      <c r="D249" t="s">
        <v>17</v>
      </c>
      <c r="E249" t="s">
        <v>49</v>
      </c>
      <c r="F249" t="s">
        <v>19</v>
      </c>
      <c r="G249" t="s">
        <v>26</v>
      </c>
      <c r="H249" t="s">
        <v>21</v>
      </c>
      <c r="I249" t="s">
        <v>112</v>
      </c>
      <c r="J249" t="s">
        <v>148</v>
      </c>
      <c r="K249" t="s">
        <v>23</v>
      </c>
      <c r="L249">
        <v>2618</v>
      </c>
      <c r="M249">
        <v>37.501117200000003</v>
      </c>
      <c r="N249">
        <v>189.16682568319931</v>
      </c>
      <c r="O249">
        <v>6.8846364139554372E-4</v>
      </c>
      <c r="P249" s="1" t="str">
        <f>HYPERLINK(".\sm_car_250805_2313\sm_car_250805_2313_248_Ca140TrN_MaCRR_DrSt_ode23t_1.png","figure")</f>
        <v>figure</v>
      </c>
      <c r="Q249" t="s">
        <v>15</v>
      </c>
    </row>
    <row r="250" spans="1:17" x14ac:dyDescent="0.25">
      <c r="A250">
        <v>249</v>
      </c>
      <c r="B250">
        <v>189</v>
      </c>
      <c r="C250" t="s">
        <v>45</v>
      </c>
      <c r="D250" t="s">
        <v>17</v>
      </c>
      <c r="E250" t="s">
        <v>107</v>
      </c>
      <c r="F250" t="s">
        <v>19</v>
      </c>
      <c r="G250" t="s">
        <v>26</v>
      </c>
      <c r="H250" t="s">
        <v>21</v>
      </c>
      <c r="I250" t="s">
        <v>112</v>
      </c>
      <c r="J250" t="s">
        <v>148</v>
      </c>
      <c r="K250" t="s">
        <v>23</v>
      </c>
      <c r="L250">
        <v>3188</v>
      </c>
      <c r="M250">
        <v>36.304200700000003</v>
      </c>
      <c r="N250">
        <v>189.19490568916382</v>
      </c>
      <c r="O250">
        <v>6.815658748487725E-4</v>
      </c>
      <c r="P250" s="1" t="str">
        <f>HYPERLINK(".\sm_car_250805_2313\sm_car_250805_2313_249_Ca189TrN_MaCRR_DrSt_ode23t_1.png","figure")</f>
        <v>figure</v>
      </c>
      <c r="Q250" t="s">
        <v>15</v>
      </c>
    </row>
    <row r="251" spans="1:17" x14ac:dyDescent="0.25">
      <c r="A251">
        <v>250</v>
      </c>
      <c r="B251">
        <v>173</v>
      </c>
      <c r="C251" t="s">
        <v>45</v>
      </c>
      <c r="D251" t="s">
        <v>35</v>
      </c>
      <c r="E251" t="s">
        <v>49</v>
      </c>
      <c r="F251" t="s">
        <v>19</v>
      </c>
      <c r="G251" t="s">
        <v>90</v>
      </c>
      <c r="H251" t="s">
        <v>21</v>
      </c>
      <c r="I251" t="s">
        <v>91</v>
      </c>
      <c r="J251" t="s">
        <v>148</v>
      </c>
      <c r="K251" t="s">
        <v>92</v>
      </c>
      <c r="L251">
        <v>-1</v>
      </c>
      <c r="M251">
        <v>50.551933300000002</v>
      </c>
      <c r="N251">
        <v>0</v>
      </c>
      <c r="O251">
        <v>0</v>
      </c>
      <c r="P251" t="s">
        <v>154</v>
      </c>
      <c r="Q251" t="s">
        <v>155</v>
      </c>
    </row>
    <row r="252" spans="1:17" x14ac:dyDescent="0.25">
      <c r="A252">
        <v>251</v>
      </c>
      <c r="B252">
        <v>173</v>
      </c>
      <c r="C252" t="s">
        <v>45</v>
      </c>
      <c r="D252" t="s">
        <v>35</v>
      </c>
      <c r="E252" t="s">
        <v>49</v>
      </c>
      <c r="F252" t="s">
        <v>19</v>
      </c>
      <c r="G252" t="s">
        <v>90</v>
      </c>
      <c r="H252" t="s">
        <v>21</v>
      </c>
      <c r="I252" t="s">
        <v>93</v>
      </c>
      <c r="J252" t="s">
        <v>148</v>
      </c>
      <c r="K252" t="s">
        <v>92</v>
      </c>
      <c r="L252">
        <v>-1</v>
      </c>
      <c r="M252">
        <v>56.242333299999999</v>
      </c>
      <c r="N252">
        <v>0</v>
      </c>
      <c r="O252">
        <v>0</v>
      </c>
      <c r="P252" t="s">
        <v>154</v>
      </c>
      <c r="Q252" t="s">
        <v>155</v>
      </c>
    </row>
    <row r="253" spans="1:17" x14ac:dyDescent="0.25">
      <c r="A253">
        <v>252</v>
      </c>
      <c r="B253">
        <v>165</v>
      </c>
      <c r="C253" t="s">
        <v>45</v>
      </c>
      <c r="D253" t="s">
        <v>35</v>
      </c>
      <c r="E253" t="s">
        <v>49</v>
      </c>
      <c r="F253" t="s">
        <v>19</v>
      </c>
      <c r="G253" t="s">
        <v>26</v>
      </c>
      <c r="H253" t="s">
        <v>21</v>
      </c>
      <c r="I253" t="s">
        <v>91</v>
      </c>
      <c r="J253" t="s">
        <v>148</v>
      </c>
      <c r="K253" t="s">
        <v>23</v>
      </c>
      <c r="L253">
        <v>339</v>
      </c>
      <c r="M253">
        <v>3.3389852000000002</v>
      </c>
      <c r="N253">
        <v>53.509093609353464</v>
      </c>
      <c r="O253">
        <v>1.0037390575586575E-2</v>
      </c>
      <c r="P253" s="1" t="str">
        <f>HYPERLINK(".\sm_car_250805_2313\sm_car_250805_2313_252_Ca165TrN_MaDCA_DrSt_ode23t_1.png","figure")</f>
        <v>figure</v>
      </c>
      <c r="Q253" t="s">
        <v>15</v>
      </c>
    </row>
    <row r="254" spans="1:17" x14ac:dyDescent="0.25">
      <c r="A254">
        <v>253</v>
      </c>
      <c r="B254">
        <v>165</v>
      </c>
      <c r="C254" t="s">
        <v>45</v>
      </c>
      <c r="D254" t="s">
        <v>35</v>
      </c>
      <c r="E254" t="s">
        <v>49</v>
      </c>
      <c r="F254" t="s">
        <v>19</v>
      </c>
      <c r="G254" t="s">
        <v>26</v>
      </c>
      <c r="H254" t="s">
        <v>21</v>
      </c>
      <c r="I254" t="s">
        <v>93</v>
      </c>
      <c r="J254" t="s">
        <v>148</v>
      </c>
      <c r="K254" t="s">
        <v>23</v>
      </c>
      <c r="L254">
        <v>1202</v>
      </c>
      <c r="M254">
        <v>7.5683552000000001</v>
      </c>
      <c r="N254">
        <v>992.65396893371565</v>
      </c>
      <c r="O254">
        <v>0.81027263612033118</v>
      </c>
      <c r="P254" s="1" t="str">
        <f>HYPERLINK(".\sm_car_250805_2313\sm_car_250805_2313_253_Ca165TrN_MaDC1_DrSt_ode23t_1.png","figure")</f>
        <v>figure</v>
      </c>
      <c r="Q254" t="s">
        <v>15</v>
      </c>
    </row>
    <row r="255" spans="1:17" x14ac:dyDescent="0.25">
      <c r="A255">
        <v>254</v>
      </c>
      <c r="B255">
        <v>196</v>
      </c>
      <c r="C255" t="s">
        <v>45</v>
      </c>
      <c r="D255" t="s">
        <v>35</v>
      </c>
      <c r="E255" t="s">
        <v>107</v>
      </c>
      <c r="F255" t="s">
        <v>19</v>
      </c>
      <c r="G255" t="s">
        <v>90</v>
      </c>
      <c r="H255" t="s">
        <v>21</v>
      </c>
      <c r="I255" t="s">
        <v>93</v>
      </c>
      <c r="J255" t="s">
        <v>148</v>
      </c>
      <c r="K255" t="s">
        <v>92</v>
      </c>
      <c r="L255">
        <v>-1</v>
      </c>
      <c r="M255">
        <v>14.7286451</v>
      </c>
      <c r="N255">
        <v>0</v>
      </c>
      <c r="O255">
        <v>0</v>
      </c>
      <c r="P255" t="s">
        <v>154</v>
      </c>
      <c r="Q255" t="s">
        <v>155</v>
      </c>
    </row>
    <row r="256" spans="1:17" x14ac:dyDescent="0.25">
      <c r="A256">
        <v>255</v>
      </c>
      <c r="B256">
        <v>179</v>
      </c>
      <c r="C256" t="s">
        <v>45</v>
      </c>
      <c r="D256" t="s">
        <v>57</v>
      </c>
      <c r="E256" t="s">
        <v>18</v>
      </c>
      <c r="F256" t="s">
        <v>19</v>
      </c>
      <c r="G256" t="s">
        <v>26</v>
      </c>
      <c r="H256" t="s">
        <v>21</v>
      </c>
      <c r="I256" t="s">
        <v>22</v>
      </c>
      <c r="J256" t="s">
        <v>148</v>
      </c>
      <c r="K256" t="s">
        <v>23</v>
      </c>
      <c r="L256">
        <v>-1</v>
      </c>
      <c r="M256">
        <v>20.315278299999999</v>
      </c>
      <c r="N256">
        <v>0</v>
      </c>
      <c r="O256">
        <v>0</v>
      </c>
      <c r="P256" t="s">
        <v>154</v>
      </c>
      <c r="Q256" t="s">
        <v>155</v>
      </c>
    </row>
    <row r="257" spans="1:17" x14ac:dyDescent="0.25">
      <c r="A257">
        <v>256</v>
      </c>
      <c r="B257">
        <v>180</v>
      </c>
      <c r="C257" t="s">
        <v>45</v>
      </c>
      <c r="D257" t="s">
        <v>57</v>
      </c>
      <c r="E257" t="s">
        <v>49</v>
      </c>
      <c r="F257" t="s">
        <v>19</v>
      </c>
      <c r="G257" t="s">
        <v>26</v>
      </c>
      <c r="H257" t="s">
        <v>21</v>
      </c>
      <c r="I257" t="s">
        <v>22</v>
      </c>
      <c r="J257" t="s">
        <v>148</v>
      </c>
      <c r="K257" t="s">
        <v>23</v>
      </c>
      <c r="L257">
        <v>-1</v>
      </c>
      <c r="M257">
        <v>25.8632609</v>
      </c>
      <c r="N257">
        <v>0</v>
      </c>
      <c r="O257">
        <v>0</v>
      </c>
      <c r="P257" t="s">
        <v>154</v>
      </c>
      <c r="Q257" t="s">
        <v>155</v>
      </c>
    </row>
    <row r="258" spans="1:17" x14ac:dyDescent="0.25">
      <c r="A258">
        <v>257</v>
      </c>
      <c r="B258">
        <v>197</v>
      </c>
      <c r="C258" t="s">
        <v>45</v>
      </c>
      <c r="D258" t="s">
        <v>57</v>
      </c>
      <c r="E258" t="s">
        <v>107</v>
      </c>
      <c r="F258" t="s">
        <v>19</v>
      </c>
      <c r="G258" t="s">
        <v>26</v>
      </c>
      <c r="H258" t="s">
        <v>21</v>
      </c>
      <c r="I258" t="s">
        <v>22</v>
      </c>
      <c r="J258" t="s">
        <v>148</v>
      </c>
      <c r="K258" t="s">
        <v>23</v>
      </c>
      <c r="L258">
        <v>-1</v>
      </c>
      <c r="M258">
        <v>30.2380572</v>
      </c>
      <c r="N258">
        <v>0</v>
      </c>
      <c r="O258">
        <v>0</v>
      </c>
      <c r="P258" t="s">
        <v>154</v>
      </c>
      <c r="Q258" t="s">
        <v>155</v>
      </c>
    </row>
    <row r="259" spans="1:17" x14ac:dyDescent="0.25">
      <c r="A259">
        <v>258</v>
      </c>
      <c r="B259">
        <v>182</v>
      </c>
      <c r="C259" t="s">
        <v>45</v>
      </c>
      <c r="D259" t="s">
        <v>17</v>
      </c>
      <c r="E259" t="s">
        <v>49</v>
      </c>
      <c r="F259" t="s">
        <v>19</v>
      </c>
      <c r="G259" t="s">
        <v>26</v>
      </c>
      <c r="H259" t="s">
        <v>21</v>
      </c>
      <c r="I259" t="s">
        <v>64</v>
      </c>
      <c r="J259" t="s">
        <v>148</v>
      </c>
      <c r="K259" t="s">
        <v>23</v>
      </c>
      <c r="L259">
        <v>425</v>
      </c>
      <c r="M259">
        <v>12.167942500000001</v>
      </c>
      <c r="N259">
        <v>62.247790880992</v>
      </c>
      <c r="O259">
        <v>-24.541572966824855</v>
      </c>
      <c r="P259" s="1" t="str">
        <f>HYPERLINK(".\sm_car_250805_2313\sm_car_250805_2313_258_Ca182TrN_MaTUR_DrSt_ode23t_1.png","figure")</f>
        <v>figure</v>
      </c>
      <c r="Q259" t="s">
        <v>15</v>
      </c>
    </row>
    <row r="260" spans="1:17" x14ac:dyDescent="0.25">
      <c r="A260">
        <v>259</v>
      </c>
      <c r="B260">
        <v>203</v>
      </c>
      <c r="C260" t="s">
        <v>45</v>
      </c>
      <c r="D260" t="s">
        <v>17</v>
      </c>
      <c r="E260" t="s">
        <v>107</v>
      </c>
      <c r="F260" t="s">
        <v>19</v>
      </c>
      <c r="G260" t="s">
        <v>26</v>
      </c>
      <c r="H260" t="s">
        <v>21</v>
      </c>
      <c r="I260" t="s">
        <v>64</v>
      </c>
      <c r="J260" t="s">
        <v>148</v>
      </c>
      <c r="K260" t="s">
        <v>23</v>
      </c>
      <c r="L260">
        <v>368</v>
      </c>
      <c r="M260">
        <v>4.2624107000000002</v>
      </c>
      <c r="N260">
        <v>62.254814014817171</v>
      </c>
      <c r="O260">
        <v>-24.556623537306013</v>
      </c>
      <c r="P260" s="1" t="str">
        <f>HYPERLINK(".\sm_car_250805_2313\sm_car_250805_2313_259_Ca203TrN_MaTUR_DrSt_ode23t_1.png","figure")</f>
        <v>figure</v>
      </c>
      <c r="Q260" t="s">
        <v>15</v>
      </c>
    </row>
    <row r="261" spans="1:17" x14ac:dyDescent="0.25">
      <c r="A261">
        <v>260</v>
      </c>
      <c r="B261">
        <v>185</v>
      </c>
      <c r="C261" t="s">
        <v>45</v>
      </c>
      <c r="D261" t="s">
        <v>17</v>
      </c>
      <c r="E261" t="s">
        <v>18</v>
      </c>
      <c r="F261" t="s">
        <v>19</v>
      </c>
      <c r="G261" t="s">
        <v>26</v>
      </c>
      <c r="H261" t="s">
        <v>21</v>
      </c>
      <c r="I261" t="s">
        <v>64</v>
      </c>
      <c r="J261" t="s">
        <v>148</v>
      </c>
      <c r="K261" t="s">
        <v>23</v>
      </c>
      <c r="L261">
        <v>540</v>
      </c>
      <c r="M261">
        <v>21.146546499999999</v>
      </c>
      <c r="N261">
        <v>112.71587988926883</v>
      </c>
      <c r="O261">
        <v>-79.237765964593649</v>
      </c>
      <c r="P261" s="1" t="str">
        <f>HYPERLINK(".\sm_car_250805_2313\sm_car_250805_2313_260_Ca185TrN_MaTUR_DrSt_ode23t_1.png","figure")</f>
        <v>figure</v>
      </c>
      <c r="Q261" t="s">
        <v>15</v>
      </c>
    </row>
    <row r="262" spans="1:17" x14ac:dyDescent="0.25">
      <c r="A262">
        <v>261</v>
      </c>
      <c r="B262">
        <v>188</v>
      </c>
      <c r="C262" t="s">
        <v>45</v>
      </c>
      <c r="D262" t="s">
        <v>113</v>
      </c>
      <c r="E262" t="s">
        <v>49</v>
      </c>
      <c r="F262" t="s">
        <v>19</v>
      </c>
      <c r="G262" t="s">
        <v>26</v>
      </c>
      <c r="H262" t="s">
        <v>21</v>
      </c>
      <c r="I262" t="s">
        <v>64</v>
      </c>
      <c r="J262" t="s">
        <v>148</v>
      </c>
      <c r="K262" t="s">
        <v>23</v>
      </c>
      <c r="L262">
        <v>543</v>
      </c>
      <c r="M262">
        <v>6.7781288000000002</v>
      </c>
      <c r="N262">
        <v>140.61843832377588</v>
      </c>
      <c r="O262">
        <v>-71.737532027776084</v>
      </c>
      <c r="P262" s="1" t="str">
        <f>HYPERLINK(".\sm_car_250805_2313\sm_car_250805_2313_261_Ca188TrN_MaTUR_DrSt_ode23t_1.png","figure")</f>
        <v>figure</v>
      </c>
      <c r="Q262" t="s">
        <v>15</v>
      </c>
    </row>
    <row r="263" spans="1:17" x14ac:dyDescent="0.25">
      <c r="A263">
        <v>262</v>
      </c>
      <c r="B263" t="s">
        <v>94</v>
      </c>
      <c r="C263" t="s">
        <v>95</v>
      </c>
      <c r="D263" t="s">
        <v>35</v>
      </c>
      <c r="E263" t="s">
        <v>18</v>
      </c>
      <c r="F263" t="s">
        <v>19</v>
      </c>
      <c r="G263" t="s">
        <v>96</v>
      </c>
      <c r="H263" t="s">
        <v>21</v>
      </c>
      <c r="I263" t="s">
        <v>22</v>
      </c>
      <c r="J263" t="s">
        <v>148</v>
      </c>
      <c r="K263" t="s">
        <v>23</v>
      </c>
      <c r="L263">
        <v>441</v>
      </c>
      <c r="M263">
        <v>14.244265199999999</v>
      </c>
      <c r="N263">
        <v>79.220922629445354</v>
      </c>
      <c r="O263">
        <v>-0.33365900389598846</v>
      </c>
      <c r="P263" s="1" t="str">
        <f>HYPERLINK(".\sm_car_250805_2313\sm_car_Axle3_250805_2313_262_CaAxle3_000TrN_MaWOT_DrSt_ode23t_1.png","figure")</f>
        <v>figure</v>
      </c>
      <c r="Q263" t="s">
        <v>15</v>
      </c>
    </row>
    <row r="264" spans="1:17" x14ac:dyDescent="0.25">
      <c r="A264">
        <v>263</v>
      </c>
      <c r="B264" t="s">
        <v>99</v>
      </c>
      <c r="C264" t="s">
        <v>100</v>
      </c>
      <c r="D264" t="s">
        <v>35</v>
      </c>
      <c r="E264" t="s">
        <v>18</v>
      </c>
      <c r="F264" t="s">
        <v>19</v>
      </c>
      <c r="G264" t="s">
        <v>96</v>
      </c>
      <c r="H264" t="s">
        <v>21</v>
      </c>
      <c r="I264" t="s">
        <v>22</v>
      </c>
      <c r="J264" t="s">
        <v>148</v>
      </c>
      <c r="K264" t="s">
        <v>23</v>
      </c>
      <c r="L264">
        <v>548</v>
      </c>
      <c r="M264">
        <v>16.214135200000001</v>
      </c>
      <c r="N264">
        <v>61.776462913405382</v>
      </c>
      <c r="O264">
        <v>-7.8931686155575068E-2</v>
      </c>
      <c r="P264" s="1" t="str">
        <f>HYPERLINK(".\sm_car_250805_2313\sm_car_Axle3_250805_2313_263_CaAxle3_008TrN_MaWOT_DrSt_ode23t_1.png","figure")</f>
        <v>figure</v>
      </c>
      <c r="Q264" t="s">
        <v>15</v>
      </c>
    </row>
    <row r="265" spans="1:17" x14ac:dyDescent="0.25">
      <c r="A265">
        <v>264</v>
      </c>
      <c r="B265" t="s">
        <v>97</v>
      </c>
      <c r="C265" t="s">
        <v>95</v>
      </c>
      <c r="D265" t="s">
        <v>35</v>
      </c>
      <c r="E265" t="s">
        <v>49</v>
      </c>
      <c r="F265" t="s">
        <v>19</v>
      </c>
      <c r="G265" t="s">
        <v>98</v>
      </c>
      <c r="H265" t="s">
        <v>21</v>
      </c>
      <c r="I265" t="s">
        <v>22</v>
      </c>
      <c r="J265" t="s">
        <v>148</v>
      </c>
      <c r="K265" t="s">
        <v>23</v>
      </c>
      <c r="L265">
        <v>425</v>
      </c>
      <c r="M265">
        <v>12.3498973</v>
      </c>
      <c r="N265">
        <v>79.267785357633912</v>
      </c>
      <c r="O265">
        <v>-0.31325812773398548</v>
      </c>
      <c r="P265" s="1" t="str">
        <f>HYPERLINK(".\sm_car_250805_2313\sm_car_Axle3_250805_2313_264_CaAxle3_003TrN_MaWOT_DrSt_ode23t_1.png","figure")</f>
        <v>figure</v>
      </c>
      <c r="Q265" t="s">
        <v>15</v>
      </c>
    </row>
    <row r="266" spans="1:17" x14ac:dyDescent="0.25">
      <c r="A266">
        <v>265</v>
      </c>
      <c r="B266" t="s">
        <v>114</v>
      </c>
      <c r="C266" t="s">
        <v>95</v>
      </c>
      <c r="D266" t="s">
        <v>35</v>
      </c>
      <c r="E266" t="s">
        <v>107</v>
      </c>
      <c r="F266" t="s">
        <v>19</v>
      </c>
      <c r="G266" t="s">
        <v>98</v>
      </c>
      <c r="H266" t="s">
        <v>21</v>
      </c>
      <c r="I266" t="s">
        <v>22</v>
      </c>
      <c r="J266" t="s">
        <v>148</v>
      </c>
      <c r="K266" t="s">
        <v>23</v>
      </c>
      <c r="L266">
        <v>427</v>
      </c>
      <c r="M266">
        <v>1.9577614000000001</v>
      </c>
      <c r="N266">
        <v>80.145520056216895</v>
      </c>
      <c r="O266">
        <v>-0.31945069771391377</v>
      </c>
      <c r="P266" s="1" t="str">
        <f>HYPERLINK(".\sm_car_250805_2313\sm_car_Axle3_250805_2313_265_CaAxle3_017TrN_MaWOT_DrSt_ode23t_1.png","figure")</f>
        <v>figure</v>
      </c>
      <c r="Q266" t="s">
        <v>15</v>
      </c>
    </row>
    <row r="267" spans="1:17" x14ac:dyDescent="0.25">
      <c r="A267">
        <v>266</v>
      </c>
      <c r="B267" t="s">
        <v>101</v>
      </c>
      <c r="C267" t="s">
        <v>100</v>
      </c>
      <c r="D267" t="s">
        <v>35</v>
      </c>
      <c r="E267" t="s">
        <v>49</v>
      </c>
      <c r="F267" t="s">
        <v>19</v>
      </c>
      <c r="G267" t="s">
        <v>96</v>
      </c>
      <c r="H267" t="s">
        <v>102</v>
      </c>
      <c r="I267" t="s">
        <v>22</v>
      </c>
      <c r="J267" t="s">
        <v>148</v>
      </c>
      <c r="K267" t="s">
        <v>23</v>
      </c>
      <c r="L267">
        <v>401</v>
      </c>
      <c r="M267">
        <v>35.056688399999999</v>
      </c>
      <c r="N267">
        <v>44.262755466687722</v>
      </c>
      <c r="O267">
        <v>2.2764036997618801E-2</v>
      </c>
      <c r="P267" s="1" t="str">
        <f>HYPERLINK(".\sm_car_250805_2313\sm_car_Axle3_250805_2313_266_CaAxle3_010TrK_MaWOT_DrSt_ode23t_1.png","figure")</f>
        <v>figure</v>
      </c>
      <c r="Q267" t="s">
        <v>15</v>
      </c>
    </row>
    <row r="268" spans="1:17" x14ac:dyDescent="0.25">
      <c r="A268">
        <v>267</v>
      </c>
      <c r="B268" t="s">
        <v>101</v>
      </c>
      <c r="C268" t="s">
        <v>100</v>
      </c>
      <c r="D268" t="s">
        <v>35</v>
      </c>
      <c r="E268" t="s">
        <v>49</v>
      </c>
      <c r="F268" t="s">
        <v>19</v>
      </c>
      <c r="G268" t="s">
        <v>96</v>
      </c>
      <c r="H268" t="s">
        <v>102</v>
      </c>
      <c r="I268" t="s">
        <v>22</v>
      </c>
      <c r="J268" t="s">
        <v>148</v>
      </c>
      <c r="K268" t="s">
        <v>23</v>
      </c>
      <c r="L268">
        <v>407</v>
      </c>
      <c r="M268">
        <v>33.269271199999999</v>
      </c>
      <c r="N268">
        <v>44.312977852180282</v>
      </c>
      <c r="O268">
        <v>2.283299431025354E-2</v>
      </c>
      <c r="P268" s="1" t="str">
        <f>HYPERLINK(".\sm_car_250805_2313\sm_car_Axle3_250805_2313_267_CaAxle3_010TrK_MaWOT_DrSt_ode23t_1.png","figure")</f>
        <v>figure</v>
      </c>
      <c r="Q268" t="s">
        <v>15</v>
      </c>
    </row>
    <row r="269" spans="1:17" x14ac:dyDescent="0.25">
      <c r="A269">
        <v>268</v>
      </c>
      <c r="B269" t="s">
        <v>115</v>
      </c>
      <c r="C269" t="s">
        <v>100</v>
      </c>
      <c r="D269" t="s">
        <v>35</v>
      </c>
      <c r="E269" t="s">
        <v>107</v>
      </c>
      <c r="F269" t="s">
        <v>19</v>
      </c>
      <c r="G269" t="s">
        <v>96</v>
      </c>
      <c r="H269" t="s">
        <v>102</v>
      </c>
      <c r="I269" t="s">
        <v>22</v>
      </c>
      <c r="J269" t="s">
        <v>148</v>
      </c>
      <c r="K269" t="s">
        <v>23</v>
      </c>
      <c r="L269">
        <v>398</v>
      </c>
      <c r="M269">
        <v>2.8504782999999998</v>
      </c>
      <c r="N269">
        <v>48.183472874086732</v>
      </c>
      <c r="O269">
        <v>2.6474429689827099E-2</v>
      </c>
      <c r="P269" s="1" t="str">
        <f>HYPERLINK(".\sm_car_250805_2313\sm_car_Axle3_250805_2313_268_CaAxle3_019TrK_MaWOT_DrSt_ode23t_1.png","figure")</f>
        <v>figure</v>
      </c>
      <c r="Q269" t="s">
        <v>15</v>
      </c>
    </row>
    <row r="270" spans="1:17" x14ac:dyDescent="0.25">
      <c r="A270">
        <v>269</v>
      </c>
      <c r="B270" t="s">
        <v>115</v>
      </c>
      <c r="C270" t="s">
        <v>100</v>
      </c>
      <c r="D270" t="s">
        <v>35</v>
      </c>
      <c r="E270" t="s">
        <v>107</v>
      </c>
      <c r="F270" t="s">
        <v>19</v>
      </c>
      <c r="G270" t="s">
        <v>96</v>
      </c>
      <c r="H270" t="s">
        <v>102</v>
      </c>
      <c r="I270" t="s">
        <v>22</v>
      </c>
      <c r="J270" t="s">
        <v>148</v>
      </c>
      <c r="K270" t="s">
        <v>23</v>
      </c>
      <c r="L270">
        <v>401</v>
      </c>
      <c r="M270">
        <v>2.9292536999999998</v>
      </c>
      <c r="N270">
        <v>48.113124979521416</v>
      </c>
      <c r="O270">
        <v>2.6374452851892168E-2</v>
      </c>
      <c r="P270" s="1" t="str">
        <f>HYPERLINK(".\sm_car_250805_2313\sm_car_Axle3_250805_2313_269_CaAxle3_019TrK_MaWOT_DrSt_ode23t_1.png","figure")</f>
        <v>figure</v>
      </c>
      <c r="Q270" t="s">
        <v>15</v>
      </c>
    </row>
    <row r="271" spans="1:17" x14ac:dyDescent="0.25">
      <c r="A271">
        <v>270</v>
      </c>
      <c r="B271" t="s">
        <v>115</v>
      </c>
      <c r="C271" t="s">
        <v>100</v>
      </c>
      <c r="D271" t="s">
        <v>35</v>
      </c>
      <c r="E271" t="s">
        <v>107</v>
      </c>
      <c r="F271" t="s">
        <v>19</v>
      </c>
      <c r="G271" t="s">
        <v>96</v>
      </c>
      <c r="H271" t="s">
        <v>102</v>
      </c>
      <c r="I271" t="s">
        <v>53</v>
      </c>
      <c r="J271" t="s">
        <v>148</v>
      </c>
      <c r="K271" t="s">
        <v>23</v>
      </c>
      <c r="L271">
        <v>634</v>
      </c>
      <c r="M271">
        <v>4.0398182</v>
      </c>
      <c r="N271">
        <v>254.95413705154635</v>
      </c>
      <c r="O271">
        <v>-0.11525182633997932</v>
      </c>
      <c r="P271" s="1" t="str">
        <f>HYPERLINK(".\sm_car_250805_2313\sm_car_Axle3_250805_2313_270_CaAxle3_019TrK_MaDLC_DrSt_ode23t_1.png","figure")</f>
        <v>figure</v>
      </c>
      <c r="Q271" t="s">
        <v>15</v>
      </c>
    </row>
    <row r="272" spans="1:17" x14ac:dyDescent="0.25">
      <c r="A272">
        <v>271</v>
      </c>
      <c r="B272" t="s">
        <v>115</v>
      </c>
      <c r="C272" t="s">
        <v>100</v>
      </c>
      <c r="D272" t="s">
        <v>35</v>
      </c>
      <c r="E272" t="s">
        <v>107</v>
      </c>
      <c r="F272" t="s">
        <v>19</v>
      </c>
      <c r="G272" t="s">
        <v>96</v>
      </c>
      <c r="H272" t="s">
        <v>102</v>
      </c>
      <c r="I272" t="s">
        <v>53</v>
      </c>
      <c r="J272" t="s">
        <v>148</v>
      </c>
      <c r="K272" t="s">
        <v>23</v>
      </c>
      <c r="L272">
        <v>778</v>
      </c>
      <c r="M272">
        <v>4.5487665000000002</v>
      </c>
      <c r="N272">
        <v>253.51660303530662</v>
      </c>
      <c r="O272">
        <v>-0.11331842951551696</v>
      </c>
      <c r="P272" s="1" t="str">
        <f>HYPERLINK(".\sm_car_250805_2313\sm_car_Axle3_250805_2313_271_CaAxle3_019TrK_MaDLC_DrSt_ode23t_1.png","figure")</f>
        <v>figure</v>
      </c>
      <c r="Q272" t="s">
        <v>15</v>
      </c>
    </row>
    <row r="273" spans="1:17" x14ac:dyDescent="0.25">
      <c r="A273">
        <v>272</v>
      </c>
      <c r="B273" t="s">
        <v>115</v>
      </c>
      <c r="C273" t="s">
        <v>100</v>
      </c>
      <c r="D273" t="s">
        <v>35</v>
      </c>
      <c r="E273" t="s">
        <v>107</v>
      </c>
      <c r="F273" t="s">
        <v>19</v>
      </c>
      <c r="G273" t="s">
        <v>96</v>
      </c>
      <c r="H273" t="s">
        <v>102</v>
      </c>
      <c r="I273" t="s">
        <v>53</v>
      </c>
      <c r="J273" t="s">
        <v>148</v>
      </c>
      <c r="K273" t="s">
        <v>23</v>
      </c>
      <c r="L273">
        <v>642</v>
      </c>
      <c r="M273">
        <v>4.4761005999999997</v>
      </c>
      <c r="N273">
        <v>253.51749983526196</v>
      </c>
      <c r="O273">
        <v>-0.10967631415391743</v>
      </c>
      <c r="P273" s="1" t="str">
        <f>HYPERLINK(".\sm_car_250805_2313\sm_car_Axle3_250805_2313_272_CaAxle3_019TrK_MaDLC_DrSt_ode23t_1.png","figure")</f>
        <v>figure</v>
      </c>
      <c r="Q273" t="s">
        <v>15</v>
      </c>
    </row>
    <row r="274" spans="1:17" x14ac:dyDescent="0.25">
      <c r="A274">
        <v>273</v>
      </c>
      <c r="B274" t="s">
        <v>115</v>
      </c>
      <c r="C274" t="s">
        <v>100</v>
      </c>
      <c r="D274" t="s">
        <v>35</v>
      </c>
      <c r="E274" t="s">
        <v>107</v>
      </c>
      <c r="F274" t="s">
        <v>19</v>
      </c>
      <c r="G274" t="s">
        <v>96</v>
      </c>
      <c r="H274" t="s">
        <v>102</v>
      </c>
      <c r="I274" t="s">
        <v>53</v>
      </c>
      <c r="J274" t="s">
        <v>148</v>
      </c>
      <c r="K274" t="s">
        <v>23</v>
      </c>
      <c r="L274">
        <v>835</v>
      </c>
      <c r="M274">
        <v>4.6751443000000004</v>
      </c>
      <c r="N274">
        <v>254.06073022600583</v>
      </c>
      <c r="O274">
        <v>-0.10730948280110075</v>
      </c>
      <c r="P274" s="1" t="str">
        <f>HYPERLINK(".\sm_car_250805_2313\sm_car_Axle3_250805_2313_273_CaAxle3_019TrK_MaDLC_DrSt_ode23t_1.png","figure")</f>
        <v>figure</v>
      </c>
      <c r="Q274" t="s">
        <v>15</v>
      </c>
    </row>
    <row r="275" spans="1:17" x14ac:dyDescent="0.25">
      <c r="A275">
        <v>274</v>
      </c>
      <c r="B275" t="s">
        <v>138</v>
      </c>
      <c r="C275" t="s">
        <v>139</v>
      </c>
      <c r="D275" t="s">
        <v>35</v>
      </c>
      <c r="E275" t="s">
        <v>49</v>
      </c>
      <c r="F275" t="s">
        <v>19</v>
      </c>
      <c r="G275" t="s">
        <v>96</v>
      </c>
      <c r="H275" t="s">
        <v>102</v>
      </c>
      <c r="I275" t="s">
        <v>22</v>
      </c>
      <c r="J275" t="s">
        <v>148</v>
      </c>
      <c r="K275" t="s">
        <v>23</v>
      </c>
      <c r="L275">
        <v>379</v>
      </c>
      <c r="M275">
        <v>2.8104526999999999</v>
      </c>
      <c r="N275">
        <v>136.8352287842863</v>
      </c>
      <c r="O275">
        <v>0.19638072606220591</v>
      </c>
      <c r="P275" s="1" t="str">
        <f>HYPERLINK(".\sm_car_250805_2313\sm_car_Axle3_250805_2313_274_CaAxle3_023TrK_MaWOT_DrSt_ode23t_1.png","figure")</f>
        <v>figure</v>
      </c>
      <c r="Q275" t="s">
        <v>15</v>
      </c>
    </row>
  </sheetData>
  <autoFilter ref="A1:Q275" xr:uid="{037126B1-D1EC-4723-A9C0-5EAB7756A50C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4B9D6-B028-42EC-B7D7-099D3167312C}">
  <dimension ref="A1:S275"/>
  <sheetViews>
    <sheetView workbookViewId="0">
      <pane ySplit="1" topLeftCell="A2" activePane="bottomLeft" state="frozen"/>
      <selection pane="bottomLeft" activeCell="M30" sqref="M2:M30"/>
    </sheetView>
  </sheetViews>
  <sheetFormatPr defaultRowHeight="15" x14ac:dyDescent="0.25"/>
  <cols>
    <col min="1" max="1" width="6.7109375" bestFit="1" customWidth="1"/>
    <col min="2" max="2" width="10" bestFit="1" customWidth="1"/>
    <col min="3" max="3" width="14" bestFit="1" customWidth="1"/>
    <col min="4" max="4" width="12.7109375" bestFit="1" customWidth="1"/>
    <col min="5" max="5" width="11.85546875" bestFit="1" customWidth="1"/>
    <col min="6" max="6" width="11.42578125" bestFit="1" customWidth="1"/>
    <col min="7" max="7" width="16.85546875" bestFit="1" customWidth="1"/>
    <col min="8" max="8" width="8.5703125" bestFit="1" customWidth="1"/>
    <col min="9" max="9" width="27.140625" bestFit="1" customWidth="1"/>
    <col min="10" max="10" width="12.42578125" bestFit="1" customWidth="1"/>
    <col min="11" max="11" width="7.140625" bestFit="1" customWidth="1"/>
    <col min="12" max="12" width="9.5703125" bestFit="1" customWidth="1"/>
    <col min="13" max="13" width="12" bestFit="1" customWidth="1"/>
    <col min="14" max="15" width="12.7109375" bestFit="1" customWidth="1"/>
    <col min="16" max="16" width="8.85546875" bestFit="1" customWidth="1"/>
    <col min="17" max="17" width="7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S1" s="2" t="s">
        <v>166</v>
      </c>
    </row>
    <row r="2" spans="1:19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148</v>
      </c>
      <c r="K2" t="s">
        <v>23</v>
      </c>
      <c r="L2">
        <v>416</v>
      </c>
      <c r="M2">
        <v>6.3685061000000003</v>
      </c>
      <c r="N2">
        <v>230.11045501013601</v>
      </c>
      <c r="O2">
        <v>-6.4069828188937777E-3</v>
      </c>
      <c r="P2" s="1" t="str">
        <f>HYPERLINK(".\sm_car_250817_2235\sm_car_250817_2235_001_Ca000TrN_MaWOT_DrSt_ode23t.png","figure")</f>
        <v>figure</v>
      </c>
      <c r="Q2" t="s">
        <v>15</v>
      </c>
      <c r="S2" s="2" t="s">
        <v>116</v>
      </c>
    </row>
    <row r="3" spans="1:19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24</v>
      </c>
      <c r="J3" t="s">
        <v>148</v>
      </c>
      <c r="K3" t="s">
        <v>23</v>
      </c>
      <c r="L3">
        <v>536</v>
      </c>
      <c r="M3">
        <v>7.4004288000000003</v>
      </c>
      <c r="N3">
        <v>70.870636032636526</v>
      </c>
      <c r="O3">
        <v>-0.53444607256030063</v>
      </c>
      <c r="P3" s="1" t="str">
        <f>HYPERLINK(".\sm_car_250817_2235\sm_car_250817_2235_002_Ca000TrN_MaLSS_DrSt_ode23t.png","figure")</f>
        <v>figure</v>
      </c>
      <c r="Q3" t="s">
        <v>15</v>
      </c>
      <c r="S3" s="2" t="s">
        <v>117</v>
      </c>
    </row>
    <row r="4" spans="1:19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21</v>
      </c>
      <c r="I4" t="s">
        <v>22</v>
      </c>
      <c r="J4" t="s">
        <v>148</v>
      </c>
      <c r="K4" t="s">
        <v>23</v>
      </c>
      <c r="L4">
        <v>403</v>
      </c>
      <c r="M4">
        <v>7.2964389000000001</v>
      </c>
      <c r="N4">
        <v>229.2023361390462</v>
      </c>
      <c r="O4">
        <v>-1.6726552398236498E-2</v>
      </c>
      <c r="P4" s="1" t="str">
        <f>HYPERLINK(".\sm_car_250817_2235\sm_car_250817_2235_003_Ca001TrN_MaWOT_DrSt_ode23t.png","figure")</f>
        <v>figure</v>
      </c>
      <c r="Q4" t="s">
        <v>15</v>
      </c>
      <c r="S4" s="2" t="s">
        <v>164</v>
      </c>
    </row>
    <row r="5" spans="1:19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25</v>
      </c>
      <c r="H5" t="s">
        <v>21</v>
      </c>
      <c r="I5" t="s">
        <v>24</v>
      </c>
      <c r="J5" t="s">
        <v>148</v>
      </c>
      <c r="K5" t="s">
        <v>23</v>
      </c>
      <c r="L5">
        <v>505</v>
      </c>
      <c r="M5">
        <v>8.2683336000000001</v>
      </c>
      <c r="N5">
        <v>70.602052477448424</v>
      </c>
      <c r="O5">
        <v>-0.52933590327780344</v>
      </c>
      <c r="P5" s="1" t="str">
        <f>HYPERLINK(".\sm_car_250817_2235\sm_car_250817_2235_004_Ca001TrN_MaLSS_DrSt_ode23t.png","figure")</f>
        <v>figure</v>
      </c>
      <c r="Q5" t="s">
        <v>15</v>
      </c>
      <c r="S5" t="s">
        <v>167</v>
      </c>
    </row>
    <row r="6" spans="1:19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26</v>
      </c>
      <c r="H6" t="s">
        <v>21</v>
      </c>
      <c r="I6" t="s">
        <v>22</v>
      </c>
      <c r="J6" t="s">
        <v>148</v>
      </c>
      <c r="K6" t="s">
        <v>23</v>
      </c>
      <c r="L6">
        <v>445</v>
      </c>
      <c r="M6">
        <v>10.8443314</v>
      </c>
      <c r="N6">
        <v>229.0866383998173</v>
      </c>
      <c r="O6">
        <v>5.1526329482420197E-2</v>
      </c>
      <c r="P6" s="1" t="str">
        <f>HYPERLINK(".\sm_car_250817_2235\sm_car_250817_2235_005_Ca002TrN_MaWOT_DrSt_ode23t.png","figure")</f>
        <v>figure</v>
      </c>
      <c r="Q6" t="s">
        <v>15</v>
      </c>
    </row>
    <row r="7" spans="1:19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26</v>
      </c>
      <c r="H7" t="s">
        <v>21</v>
      </c>
      <c r="I7" t="s">
        <v>24</v>
      </c>
      <c r="J7" t="s">
        <v>148</v>
      </c>
      <c r="K7" t="s">
        <v>23</v>
      </c>
      <c r="L7">
        <v>525</v>
      </c>
      <c r="M7">
        <v>10.6004003</v>
      </c>
      <c r="N7">
        <v>70.583819784267888</v>
      </c>
      <c r="O7">
        <v>-0.52380321889398884</v>
      </c>
      <c r="P7" s="1" t="str">
        <f>HYPERLINK(".\sm_car_250817_2235\sm_car_250817_2235_006_Ca002TrN_MaLSS_DrSt_ode23t.png","figure")</f>
        <v>figure</v>
      </c>
      <c r="Q7" t="s">
        <v>15</v>
      </c>
    </row>
    <row r="8" spans="1:19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27</v>
      </c>
      <c r="H8" t="s">
        <v>21</v>
      </c>
      <c r="I8" t="s">
        <v>22</v>
      </c>
      <c r="J8" t="s">
        <v>148</v>
      </c>
      <c r="K8" t="s">
        <v>23</v>
      </c>
      <c r="L8">
        <v>491</v>
      </c>
      <c r="M8">
        <v>11.4152383</v>
      </c>
      <c r="N8">
        <v>228.72105103235577</v>
      </c>
      <c r="O8">
        <v>4.6243067098881298E-2</v>
      </c>
      <c r="P8" s="1" t="str">
        <f>HYPERLINK(".\sm_car_250817_2235\sm_car_250817_2235_007_Ca003TrN_MaWOT_DrSt_ode23t.png","figure")</f>
        <v>figure</v>
      </c>
      <c r="Q8" t="s">
        <v>15</v>
      </c>
    </row>
    <row r="9" spans="1:19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27</v>
      </c>
      <c r="H9" t="s">
        <v>21</v>
      </c>
      <c r="I9" t="s">
        <v>24</v>
      </c>
      <c r="J9" t="s">
        <v>148</v>
      </c>
      <c r="K9" t="s">
        <v>23</v>
      </c>
      <c r="L9">
        <v>564</v>
      </c>
      <c r="M9">
        <v>11.515091099999999</v>
      </c>
      <c r="N9">
        <v>70.464926773359352</v>
      </c>
      <c r="O9">
        <v>-0.52145678403243723</v>
      </c>
      <c r="P9" s="1" t="str">
        <f>HYPERLINK(".\sm_car_250817_2235\sm_car_250817_2235_008_Ca003TrN_MaLSS_DrSt_ode23t.png","figure")</f>
        <v>figure</v>
      </c>
      <c r="Q9" t="s">
        <v>15</v>
      </c>
    </row>
    <row r="10" spans="1:19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20</v>
      </c>
      <c r="H10" t="s">
        <v>21</v>
      </c>
      <c r="I10" t="s">
        <v>22</v>
      </c>
      <c r="J10" t="s">
        <v>148</v>
      </c>
      <c r="K10" t="s">
        <v>23</v>
      </c>
      <c r="L10">
        <v>1102</v>
      </c>
      <c r="M10">
        <v>10.650460300000001</v>
      </c>
      <c r="N10">
        <v>230.06991908943164</v>
      </c>
      <c r="O10">
        <v>-1.1791141717215226E-2</v>
      </c>
      <c r="P10" s="1" t="str">
        <f>HYPERLINK(".\sm_car_250817_2235\sm_car_250817_2235_009_Ca004TrN_MaWOT_DrSt_ode23t.png","figure")</f>
        <v>figure</v>
      </c>
      <c r="Q10" t="s">
        <v>15</v>
      </c>
    </row>
    <row r="11" spans="1:19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20</v>
      </c>
      <c r="H11" t="s">
        <v>21</v>
      </c>
      <c r="I11" t="s">
        <v>24</v>
      </c>
      <c r="J11" t="s">
        <v>148</v>
      </c>
      <c r="K11" t="s">
        <v>23</v>
      </c>
      <c r="L11">
        <v>1231</v>
      </c>
      <c r="M11">
        <v>12.362694599999999</v>
      </c>
      <c r="N11">
        <v>70.885260269211827</v>
      </c>
      <c r="O11">
        <v>-0.53750320931050044</v>
      </c>
      <c r="P11" s="1" t="str">
        <f>HYPERLINK(".\sm_car_250817_2235\sm_car_250817_2235_010_Ca004TrN_MaLSS_DrSt_ode23t.png","figure")</f>
        <v>figure</v>
      </c>
      <c r="Q11" t="s">
        <v>15</v>
      </c>
    </row>
    <row r="12" spans="1:19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25</v>
      </c>
      <c r="H12" t="s">
        <v>21</v>
      </c>
      <c r="I12" t="s">
        <v>22</v>
      </c>
      <c r="J12" t="s">
        <v>148</v>
      </c>
      <c r="K12" t="s">
        <v>23</v>
      </c>
      <c r="L12">
        <v>1088</v>
      </c>
      <c r="M12">
        <v>11.9837536</v>
      </c>
      <c r="N12">
        <v>228.74756262871091</v>
      </c>
      <c r="O12">
        <v>-1.2898904690793623E-2</v>
      </c>
      <c r="P12" s="1" t="str">
        <f>HYPERLINK(".\sm_car_250817_2235\sm_car_250817_2235_011_Ca005TrN_MaWOT_DrSt_ode23t.png","figure")</f>
        <v>figure</v>
      </c>
      <c r="Q12" t="s">
        <v>15</v>
      </c>
    </row>
    <row r="13" spans="1:19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25</v>
      </c>
      <c r="H13" t="s">
        <v>21</v>
      </c>
      <c r="I13" t="s">
        <v>24</v>
      </c>
      <c r="J13" t="s">
        <v>148</v>
      </c>
      <c r="K13" t="s">
        <v>23</v>
      </c>
      <c r="L13">
        <v>1214</v>
      </c>
      <c r="M13">
        <v>13.877557100000001</v>
      </c>
      <c r="N13">
        <v>70.596546137576425</v>
      </c>
      <c r="O13">
        <v>-0.5314056639892103</v>
      </c>
      <c r="P13" s="1" t="str">
        <f>HYPERLINK(".\sm_car_250817_2235\sm_car_250817_2235_012_Ca005TrN_MaLSS_DrSt_ode23t.png","figure")</f>
        <v>figure</v>
      </c>
      <c r="Q13" t="s">
        <v>15</v>
      </c>
    </row>
    <row r="14" spans="1:19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26</v>
      </c>
      <c r="H14" t="s">
        <v>21</v>
      </c>
      <c r="I14" t="s">
        <v>22</v>
      </c>
      <c r="J14" t="s">
        <v>148</v>
      </c>
      <c r="K14" t="s">
        <v>23</v>
      </c>
      <c r="L14">
        <v>1203</v>
      </c>
      <c r="M14">
        <v>14.2741504</v>
      </c>
      <c r="N14">
        <v>229.08643023739307</v>
      </c>
      <c r="O14">
        <v>4.9941903404437882E-2</v>
      </c>
      <c r="P14" s="1" t="str">
        <f>HYPERLINK(".\sm_car_250817_2235\sm_car_250817_2235_013_Ca006TrN_MaWOT_DrSt_ode23t.png","figure")</f>
        <v>figure</v>
      </c>
      <c r="Q14" t="s">
        <v>15</v>
      </c>
    </row>
    <row r="15" spans="1:19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26</v>
      </c>
      <c r="H15" t="s">
        <v>21</v>
      </c>
      <c r="I15" t="s">
        <v>24</v>
      </c>
      <c r="J15" t="s">
        <v>148</v>
      </c>
      <c r="K15" t="s">
        <v>23</v>
      </c>
      <c r="L15">
        <v>1289</v>
      </c>
      <c r="M15">
        <v>14.563830599999999</v>
      </c>
      <c r="N15">
        <v>70.592696520049572</v>
      </c>
      <c r="O15">
        <v>-0.52775392413808575</v>
      </c>
      <c r="P15" s="1" t="str">
        <f>HYPERLINK(".\sm_car_250817_2235\sm_car_250817_2235_014_Ca006TrN_MaLSS_DrSt_ode23t.png","figure")</f>
        <v>figure</v>
      </c>
      <c r="Q15" t="s">
        <v>15</v>
      </c>
    </row>
    <row r="16" spans="1:19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27</v>
      </c>
      <c r="H16" t="s">
        <v>21</v>
      </c>
      <c r="I16" t="s">
        <v>22</v>
      </c>
      <c r="J16" t="s">
        <v>148</v>
      </c>
      <c r="K16" t="s">
        <v>23</v>
      </c>
      <c r="L16">
        <v>1245</v>
      </c>
      <c r="M16">
        <v>17.6809741</v>
      </c>
      <c r="N16">
        <v>228.71731316869082</v>
      </c>
      <c r="O16">
        <v>4.5334266657786428E-2</v>
      </c>
      <c r="P16" s="1" t="str">
        <f>HYPERLINK(".\sm_car_250817_2235\sm_car_250817_2235_015_Ca007TrN_MaWOT_DrSt_ode23t.png","figure")</f>
        <v>figure</v>
      </c>
      <c r="Q16" t="s">
        <v>15</v>
      </c>
    </row>
    <row r="17" spans="1:17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27</v>
      </c>
      <c r="H17" t="s">
        <v>21</v>
      </c>
      <c r="I17" t="s">
        <v>24</v>
      </c>
      <c r="J17" t="s">
        <v>148</v>
      </c>
      <c r="K17" t="s">
        <v>23</v>
      </c>
      <c r="L17">
        <v>1274</v>
      </c>
      <c r="M17">
        <v>15.981257299999999</v>
      </c>
      <c r="N17">
        <v>70.468541952519175</v>
      </c>
      <c r="O17">
        <v>-0.5236261654814478</v>
      </c>
      <c r="P17" s="1" t="str">
        <f>HYPERLINK(".\sm_car_250817_2235\sm_car_250817_2235_016_Ca007TrN_MaLSS_DrSt_ode23t.png","figure")</f>
        <v>figure</v>
      </c>
      <c r="Q17" t="s">
        <v>15</v>
      </c>
    </row>
    <row r="18" spans="1:17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148</v>
      </c>
      <c r="K18" t="s">
        <v>23</v>
      </c>
      <c r="L18">
        <v>407</v>
      </c>
      <c r="M18">
        <v>5.7313073000000001</v>
      </c>
      <c r="N18">
        <v>230.72588787159594</v>
      </c>
      <c r="O18">
        <v>-7.4083687681159943E-2</v>
      </c>
      <c r="P18" s="1" t="str">
        <f>HYPERLINK(".\sm_car_250817_2235\sm_car_250817_2235_017_Ca016TrN_MaWOT_DrSt_ode23t.png","figure")</f>
        <v>figure</v>
      </c>
      <c r="Q18" t="s">
        <v>15</v>
      </c>
    </row>
    <row r="19" spans="1:17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20</v>
      </c>
      <c r="H19" t="s">
        <v>21</v>
      </c>
      <c r="I19" t="s">
        <v>24</v>
      </c>
      <c r="J19" t="s">
        <v>148</v>
      </c>
      <c r="K19" t="s">
        <v>23</v>
      </c>
      <c r="L19">
        <v>497</v>
      </c>
      <c r="M19">
        <v>5.6327311</v>
      </c>
      <c r="N19">
        <v>71.1446454734604</v>
      </c>
      <c r="O19">
        <v>-2.1754912716215807E-2</v>
      </c>
      <c r="P19" s="1" t="str">
        <f>HYPERLINK(".\sm_car_250817_2235\sm_car_250817_2235_018_Ca016TrN_MaLSS_DrSt_ode23t.png","figure")</f>
        <v>figure</v>
      </c>
      <c r="Q19" t="s">
        <v>15</v>
      </c>
    </row>
    <row r="20" spans="1:17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148</v>
      </c>
      <c r="K20" t="s">
        <v>23</v>
      </c>
      <c r="L20">
        <v>406</v>
      </c>
      <c r="M20">
        <v>7.6665660999999998</v>
      </c>
      <c r="N20">
        <v>230.03027069408438</v>
      </c>
      <c r="O20">
        <v>4.547350097684563E-3</v>
      </c>
      <c r="P20" s="1" t="str">
        <f>HYPERLINK(".\sm_car_250817_2235\sm_car_250817_2235_019_Ca032TrN_MaWOT_DrSt_ode23t.png","figure")</f>
        <v>figure</v>
      </c>
      <c r="Q20" t="s">
        <v>15</v>
      </c>
    </row>
    <row r="21" spans="1:17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20</v>
      </c>
      <c r="H21" t="s">
        <v>21</v>
      </c>
      <c r="I21" t="s">
        <v>24</v>
      </c>
      <c r="J21" t="s">
        <v>148</v>
      </c>
      <c r="K21" t="s">
        <v>23</v>
      </c>
      <c r="L21">
        <v>528</v>
      </c>
      <c r="M21">
        <v>8.1008694000000006</v>
      </c>
      <c r="N21">
        <v>70.885847502650094</v>
      </c>
      <c r="O21">
        <v>-0.51602338166764228</v>
      </c>
      <c r="P21" s="1" t="str">
        <f>HYPERLINK(".\sm_car_250817_2235\sm_car_250817_2235_020_Ca032TrN_MaLSS_DrSt_ode23t.png","figure")</f>
        <v>figure</v>
      </c>
      <c r="Q21" t="s">
        <v>15</v>
      </c>
    </row>
    <row r="22" spans="1:17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148</v>
      </c>
      <c r="K22" t="s">
        <v>23</v>
      </c>
      <c r="L22">
        <v>413</v>
      </c>
      <c r="M22">
        <v>7.7062837999999996</v>
      </c>
      <c r="N22">
        <v>229.79925175338818</v>
      </c>
      <c r="O22">
        <v>-2.1690564370559363E-2</v>
      </c>
      <c r="P22" s="1" t="str">
        <f>HYPERLINK(".\sm_car_250817_2235\sm_car_250817_2235_021_Ca048TrN_MaWOT_DrSt_ode23t.png","figure")</f>
        <v>figure</v>
      </c>
      <c r="Q22" t="s">
        <v>15</v>
      </c>
    </row>
    <row r="23" spans="1:17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20</v>
      </c>
      <c r="H23" t="s">
        <v>21</v>
      </c>
      <c r="I23" t="s">
        <v>24</v>
      </c>
      <c r="J23" t="s">
        <v>148</v>
      </c>
      <c r="K23" t="s">
        <v>23</v>
      </c>
      <c r="L23">
        <v>523</v>
      </c>
      <c r="M23">
        <v>8.2661697000000007</v>
      </c>
      <c r="N23">
        <v>70.863163512362746</v>
      </c>
      <c r="O23">
        <v>-0.52228485212698739</v>
      </c>
      <c r="P23" s="1" t="str">
        <f>HYPERLINK(".\sm_car_250817_2235\sm_car_250817_2235_022_Ca048TrN_MaLSS_DrSt_ode23t.png","figure")</f>
        <v>figure</v>
      </c>
      <c r="Q23" t="s">
        <v>15</v>
      </c>
    </row>
    <row r="24" spans="1:17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 t="s">
        <v>148</v>
      </c>
      <c r="K24" t="s">
        <v>23</v>
      </c>
      <c r="L24">
        <v>393</v>
      </c>
      <c r="M24">
        <v>8.3258866000000005</v>
      </c>
      <c r="N24">
        <v>229.8026064627112</v>
      </c>
      <c r="O24">
        <v>6.0962953253249031E-3</v>
      </c>
      <c r="P24" s="1" t="str">
        <f>HYPERLINK(".\sm_car_250817_2235\sm_car_250817_2235_023_Ca064TrN_MaWOT_DrSt_ode23t.png","figure")</f>
        <v>figure</v>
      </c>
      <c r="Q24" t="s">
        <v>15</v>
      </c>
    </row>
    <row r="25" spans="1:17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20</v>
      </c>
      <c r="H25" t="s">
        <v>21</v>
      </c>
      <c r="I25" t="s">
        <v>24</v>
      </c>
      <c r="J25" t="s">
        <v>148</v>
      </c>
      <c r="K25" t="s">
        <v>23</v>
      </c>
      <c r="L25">
        <v>516</v>
      </c>
      <c r="M25">
        <v>8.8133277000000003</v>
      </c>
      <c r="N25">
        <v>70.9020837285737</v>
      </c>
      <c r="O25">
        <v>-0.50910970915887299</v>
      </c>
      <c r="P25" s="1" t="str">
        <f>HYPERLINK(".\sm_car_250817_2235\sm_car_250817_2235_024_Ca064TrN_MaLSS_DrSt_ode23t.png","figure")</f>
        <v>figure</v>
      </c>
      <c r="Q25" t="s">
        <v>15</v>
      </c>
    </row>
    <row r="26" spans="1:17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148</v>
      </c>
      <c r="K26" t="s">
        <v>23</v>
      </c>
      <c r="L26">
        <v>409</v>
      </c>
      <c r="M26">
        <v>9.1553761999999992</v>
      </c>
      <c r="N26">
        <v>229.82358304714037</v>
      </c>
      <c r="O26">
        <v>-2.4472098816911116E-2</v>
      </c>
      <c r="P26" s="1" t="str">
        <f>HYPERLINK(".\sm_car_250817_2235\sm_car_250817_2235_025_Ca080TrN_MaWOT_DrSt_ode23t.png","figure")</f>
        <v>figure</v>
      </c>
      <c r="Q26" t="s">
        <v>15</v>
      </c>
    </row>
    <row r="27" spans="1:17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20</v>
      </c>
      <c r="H27" t="s">
        <v>21</v>
      </c>
      <c r="I27" t="s">
        <v>24</v>
      </c>
      <c r="J27" t="s">
        <v>148</v>
      </c>
      <c r="K27" t="s">
        <v>23</v>
      </c>
      <c r="L27">
        <v>533</v>
      </c>
      <c r="M27">
        <v>8.6844353999999999</v>
      </c>
      <c r="N27">
        <v>70.869728983456937</v>
      </c>
      <c r="O27">
        <v>-0.52043555953802989</v>
      </c>
      <c r="P27" s="1" t="str">
        <f>HYPERLINK(".\sm_car_250817_2235\sm_car_250817_2235_026_Ca080TrN_MaLSS_DrSt_ode23t.png","figure")</f>
        <v>figure</v>
      </c>
      <c r="Q27" t="s">
        <v>15</v>
      </c>
    </row>
    <row r="28" spans="1:17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148</v>
      </c>
      <c r="K28" t="s">
        <v>23</v>
      </c>
      <c r="L28">
        <v>399</v>
      </c>
      <c r="M28">
        <v>6.2073387999999996</v>
      </c>
      <c r="N28">
        <v>231.5613580141526</v>
      </c>
      <c r="O28">
        <v>1.8423419510803583E-2</v>
      </c>
      <c r="P28" s="1" t="str">
        <f>HYPERLINK(".\sm_car_250817_2235\sm_car_250817_2235_027_Ca096TrN_MaWOT_DrSt_ode23t.png","figure")</f>
        <v>figure</v>
      </c>
      <c r="Q28" t="s">
        <v>15</v>
      </c>
    </row>
    <row r="29" spans="1:17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20</v>
      </c>
      <c r="H29" t="s">
        <v>21</v>
      </c>
      <c r="I29" t="s">
        <v>24</v>
      </c>
      <c r="J29" t="s">
        <v>148</v>
      </c>
      <c r="K29" t="s">
        <v>23</v>
      </c>
      <c r="L29">
        <v>518</v>
      </c>
      <c r="M29">
        <v>6.9729253</v>
      </c>
      <c r="N29">
        <v>71.376614032968362</v>
      </c>
      <c r="O29">
        <v>-0.52122989114972951</v>
      </c>
      <c r="P29" s="1" t="str">
        <f>HYPERLINK(".\sm_car_250817_2235\sm_car_250817_2235_028_Ca096TrN_MaLSS_DrSt_ode23t.png","figure")</f>
        <v>figure</v>
      </c>
      <c r="Q29" t="s">
        <v>15</v>
      </c>
    </row>
    <row r="30" spans="1:17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 t="s">
        <v>148</v>
      </c>
      <c r="K30" t="s">
        <v>23</v>
      </c>
      <c r="L30">
        <v>371</v>
      </c>
      <c r="M30">
        <v>2.9018811000000002</v>
      </c>
      <c r="N30">
        <v>242.6385086934819</v>
      </c>
      <c r="O30">
        <v>0.23540517481115167</v>
      </c>
      <c r="P30" s="1" t="str">
        <f>HYPERLINK(".\sm_car_250817_2235\sm_car_250817_2235_029_Ca112TrN_MaWOT_DrSt_ode23t.png","figure")</f>
        <v>figure</v>
      </c>
      <c r="Q30" t="s">
        <v>15</v>
      </c>
    </row>
    <row r="31" spans="1:17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20</v>
      </c>
      <c r="H31" t="s">
        <v>21</v>
      </c>
      <c r="I31" t="s">
        <v>24</v>
      </c>
      <c r="J31" t="s">
        <v>148</v>
      </c>
      <c r="K31" t="s">
        <v>23</v>
      </c>
      <c r="L31">
        <v>484</v>
      </c>
      <c r="M31">
        <v>3.0612409999999999</v>
      </c>
      <c r="N31">
        <v>74.671083334168515</v>
      </c>
      <c r="O31">
        <v>-0.3369934257717313</v>
      </c>
      <c r="P31" s="1" t="str">
        <f>HYPERLINK(".\sm_car_250817_2235\sm_car_250817_2235_030_Ca112TrN_MaLSS_DrSt_ode23t.png","figure")</f>
        <v>figure</v>
      </c>
      <c r="Q31" t="s">
        <v>15</v>
      </c>
    </row>
    <row r="32" spans="1:17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25</v>
      </c>
      <c r="H32" t="s">
        <v>21</v>
      </c>
      <c r="I32" t="s">
        <v>22</v>
      </c>
      <c r="J32" t="s">
        <v>148</v>
      </c>
      <c r="K32" t="s">
        <v>23</v>
      </c>
      <c r="L32">
        <v>376</v>
      </c>
      <c r="M32">
        <v>3.0957468000000001</v>
      </c>
      <c r="N32">
        <v>241.62953780953444</v>
      </c>
      <c r="O32">
        <v>0.23230223293694249</v>
      </c>
      <c r="P32" s="1" t="str">
        <f>HYPERLINK(".\sm_car_250817_2235\sm_car_250817_2235_031_Ca113TrN_MaWOT_DrSt_ode23t.png","figure")</f>
        <v>figure</v>
      </c>
      <c r="Q32" t="s">
        <v>15</v>
      </c>
    </row>
    <row r="33" spans="1:17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25</v>
      </c>
      <c r="H33" t="s">
        <v>21</v>
      </c>
      <c r="I33" t="s">
        <v>24</v>
      </c>
      <c r="J33" t="s">
        <v>148</v>
      </c>
      <c r="K33" t="s">
        <v>23</v>
      </c>
      <c r="L33">
        <v>484</v>
      </c>
      <c r="M33">
        <v>3.3634976999999999</v>
      </c>
      <c r="N33">
        <v>74.340098687509567</v>
      </c>
      <c r="O33">
        <v>-0.33372692734011278</v>
      </c>
      <c r="P33" s="1" t="str">
        <f>HYPERLINK(".\sm_car_250817_2235\sm_car_250817_2235_032_Ca113TrN_MaLSS_DrSt_ode23t.png","figure")</f>
        <v>figure</v>
      </c>
      <c r="Q33" t="s">
        <v>15</v>
      </c>
    </row>
    <row r="34" spans="1:17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26</v>
      </c>
      <c r="H34" t="s">
        <v>21</v>
      </c>
      <c r="I34" t="s">
        <v>22</v>
      </c>
      <c r="J34" t="s">
        <v>148</v>
      </c>
      <c r="K34" t="s">
        <v>23</v>
      </c>
      <c r="L34">
        <v>372</v>
      </c>
      <c r="M34">
        <v>3.3634778000000001</v>
      </c>
      <c r="N34">
        <v>241.70449738947406</v>
      </c>
      <c r="O34">
        <v>0.23128168946887298</v>
      </c>
      <c r="P34" s="1" t="str">
        <f>HYPERLINK(".\sm_car_250817_2235\sm_car_250817_2235_033_Ca114TrN_MaWOT_DrSt_ode23t.png","figure")</f>
        <v>figure</v>
      </c>
      <c r="Q34" t="s">
        <v>15</v>
      </c>
    </row>
    <row r="35" spans="1:17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26</v>
      </c>
      <c r="H35" t="s">
        <v>21</v>
      </c>
      <c r="I35" t="s">
        <v>24</v>
      </c>
      <c r="J35" t="s">
        <v>148</v>
      </c>
      <c r="K35" t="s">
        <v>23</v>
      </c>
      <c r="L35">
        <v>486</v>
      </c>
      <c r="M35">
        <v>3.7979183000000001</v>
      </c>
      <c r="N35">
        <v>74.361345656173739</v>
      </c>
      <c r="O35">
        <v>-0.33462528282329457</v>
      </c>
      <c r="P35" s="1" t="str">
        <f>HYPERLINK(".\sm_car_250817_2235\sm_car_250817_2235_034_Ca114TrN_MaLSS_DrSt_ode23t.png","figure")</f>
        <v>figure</v>
      </c>
      <c r="Q35" t="s">
        <v>15</v>
      </c>
    </row>
    <row r="36" spans="1:17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27</v>
      </c>
      <c r="H36" t="s">
        <v>21</v>
      </c>
      <c r="I36" t="s">
        <v>22</v>
      </c>
      <c r="J36" t="s">
        <v>148</v>
      </c>
      <c r="K36" t="s">
        <v>23</v>
      </c>
      <c r="L36">
        <v>399</v>
      </c>
      <c r="M36">
        <v>3.5094604</v>
      </c>
      <c r="N36">
        <v>241.09827564855482</v>
      </c>
      <c r="O36">
        <v>0.20814756310660232</v>
      </c>
      <c r="P36" s="1" t="str">
        <f>HYPERLINK(".\sm_car_250817_2235\sm_car_250817_2235_035_Ca115TrN_MaWOT_DrSt_ode23t.png","figure")</f>
        <v>figure</v>
      </c>
      <c r="Q36" t="s">
        <v>15</v>
      </c>
    </row>
    <row r="37" spans="1:17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27</v>
      </c>
      <c r="H37" t="s">
        <v>21</v>
      </c>
      <c r="I37" t="s">
        <v>24</v>
      </c>
      <c r="J37" t="s">
        <v>148</v>
      </c>
      <c r="K37" t="s">
        <v>23</v>
      </c>
      <c r="L37">
        <v>508</v>
      </c>
      <c r="M37">
        <v>3.6708364000000002</v>
      </c>
      <c r="N37">
        <v>74.196675134173418</v>
      </c>
      <c r="O37">
        <v>-0.33201652149680444</v>
      </c>
      <c r="P37" s="1" t="str">
        <f>HYPERLINK(".\sm_car_250817_2235\sm_car_250817_2235_036_Ca115TrN_MaLSS_DrSt_ode23t.png","figure")</f>
        <v>figure</v>
      </c>
      <c r="Q37" t="s">
        <v>15</v>
      </c>
    </row>
    <row r="38" spans="1:17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20</v>
      </c>
      <c r="H38" t="s">
        <v>21</v>
      </c>
      <c r="I38" t="s">
        <v>22</v>
      </c>
      <c r="J38" t="s">
        <v>148</v>
      </c>
      <c r="K38" t="s">
        <v>23</v>
      </c>
      <c r="L38">
        <v>917</v>
      </c>
      <c r="M38">
        <v>4.8335119999999998</v>
      </c>
      <c r="N38">
        <v>242.55284377109695</v>
      </c>
      <c r="O38">
        <v>0.23659137482604095</v>
      </c>
      <c r="P38" s="1" t="str">
        <f>HYPERLINK(".\sm_car_250817_2235\sm_car_250817_2235_037_Ca116TrN_MaWOT_DrSt_ode23t.png","figure")</f>
        <v>figure</v>
      </c>
      <c r="Q38" t="s">
        <v>15</v>
      </c>
    </row>
    <row r="39" spans="1:17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20</v>
      </c>
      <c r="H39" t="s">
        <v>21</v>
      </c>
      <c r="I39" t="s">
        <v>24</v>
      </c>
      <c r="J39" t="s">
        <v>148</v>
      </c>
      <c r="K39" t="s">
        <v>23</v>
      </c>
      <c r="L39">
        <v>1057</v>
      </c>
      <c r="M39">
        <v>5.5087427</v>
      </c>
      <c r="N39">
        <v>74.662659723869751</v>
      </c>
      <c r="O39">
        <v>-0.3401055901651473</v>
      </c>
      <c r="P39" s="1" t="str">
        <f>HYPERLINK(".\sm_car_250817_2235\sm_car_250817_2235_038_Ca116TrN_MaLSS_DrSt_ode23t.png","figure")</f>
        <v>figure</v>
      </c>
      <c r="Q39" t="s">
        <v>15</v>
      </c>
    </row>
    <row r="40" spans="1:17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25</v>
      </c>
      <c r="H40" t="s">
        <v>21</v>
      </c>
      <c r="I40" t="s">
        <v>22</v>
      </c>
      <c r="J40" t="s">
        <v>148</v>
      </c>
      <c r="K40" t="s">
        <v>23</v>
      </c>
      <c r="L40">
        <v>963</v>
      </c>
      <c r="M40">
        <v>5.3020911000000002</v>
      </c>
      <c r="N40">
        <v>241.50229099389202</v>
      </c>
      <c r="O40">
        <v>0.23261616238238711</v>
      </c>
      <c r="P40" s="1" t="str">
        <f>HYPERLINK(".\sm_car_250817_2235\sm_car_250817_2235_039_Ca117TrN_MaWOT_DrSt_ode23t.png","figure")</f>
        <v>figure</v>
      </c>
      <c r="Q40" t="s">
        <v>15</v>
      </c>
    </row>
    <row r="41" spans="1:17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25</v>
      </c>
      <c r="H41" t="s">
        <v>21</v>
      </c>
      <c r="I41" t="s">
        <v>24</v>
      </c>
      <c r="J41" t="s">
        <v>148</v>
      </c>
      <c r="K41" t="s">
        <v>23</v>
      </c>
      <c r="L41">
        <v>1063</v>
      </c>
      <c r="M41">
        <v>5.9233492999999999</v>
      </c>
      <c r="N41">
        <v>74.339005108528042</v>
      </c>
      <c r="O41">
        <v>-0.33658754453363837</v>
      </c>
      <c r="P41" s="1" t="str">
        <f>HYPERLINK(".\sm_car_250817_2235\sm_car_250817_2235_040_Ca117TrN_MaLSS_DrSt_ode23t.png","figure")</f>
        <v>figure</v>
      </c>
      <c r="Q41" t="s">
        <v>15</v>
      </c>
    </row>
    <row r="42" spans="1:17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26</v>
      </c>
      <c r="H42" t="s">
        <v>21</v>
      </c>
      <c r="I42" t="s">
        <v>22</v>
      </c>
      <c r="J42" t="s">
        <v>148</v>
      </c>
      <c r="K42" t="s">
        <v>23</v>
      </c>
      <c r="L42">
        <v>952</v>
      </c>
      <c r="M42">
        <v>5.4546324000000004</v>
      </c>
      <c r="N42">
        <v>241.36532401579007</v>
      </c>
      <c r="O42">
        <v>0.23298292468366089</v>
      </c>
      <c r="P42" s="1" t="str">
        <f>HYPERLINK(".\sm_car_250817_2235\sm_car_250817_2235_041_Ca118TrN_MaWOT_DrSt_ode23t.png","figure")</f>
        <v>figure</v>
      </c>
      <c r="Q42" t="s">
        <v>15</v>
      </c>
    </row>
    <row r="43" spans="1:17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26</v>
      </c>
      <c r="H43" t="s">
        <v>21</v>
      </c>
      <c r="I43" t="s">
        <v>24</v>
      </c>
      <c r="J43" t="s">
        <v>148</v>
      </c>
      <c r="K43" t="s">
        <v>23</v>
      </c>
      <c r="L43">
        <v>1069</v>
      </c>
      <c r="M43">
        <v>6.4610725999999996</v>
      </c>
      <c r="N43">
        <v>74.336586889550276</v>
      </c>
      <c r="O43">
        <v>-0.33434453915553519</v>
      </c>
      <c r="P43" s="1" t="str">
        <f>HYPERLINK(".\sm_car_250817_2235\sm_car_250817_2235_042_Ca118TrN_MaLSS_DrSt_ode23t.png","figure")</f>
        <v>figure</v>
      </c>
      <c r="Q43" t="s">
        <v>15</v>
      </c>
    </row>
    <row r="44" spans="1:17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27</v>
      </c>
      <c r="H44" t="s">
        <v>21</v>
      </c>
      <c r="I44" t="s">
        <v>22</v>
      </c>
      <c r="J44" t="s">
        <v>148</v>
      </c>
      <c r="K44" t="s">
        <v>23</v>
      </c>
      <c r="L44">
        <v>994</v>
      </c>
      <c r="M44">
        <v>5.9335687000000004</v>
      </c>
      <c r="N44">
        <v>241.1068233618283</v>
      </c>
      <c r="O44">
        <v>0.23358159870149733</v>
      </c>
      <c r="P44" s="1" t="str">
        <f>HYPERLINK(".\sm_car_250817_2235\sm_car_250817_2235_043_Ca119TrN_MaWOT_DrSt_ode23t.png","figure")</f>
        <v>figure</v>
      </c>
      <c r="Q44" t="s">
        <v>15</v>
      </c>
    </row>
    <row r="45" spans="1:17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27</v>
      </c>
      <c r="H45" t="s">
        <v>21</v>
      </c>
      <c r="I45" t="s">
        <v>24</v>
      </c>
      <c r="J45" t="s">
        <v>148</v>
      </c>
      <c r="K45" t="s">
        <v>23</v>
      </c>
      <c r="L45">
        <v>1106</v>
      </c>
      <c r="M45">
        <v>6.5142724999999997</v>
      </c>
      <c r="N45">
        <v>74.193918413612963</v>
      </c>
      <c r="O45">
        <v>-0.33192196573177418</v>
      </c>
      <c r="P45" s="1" t="str">
        <f>HYPERLINK(".\sm_car_250817_2235\sm_car_250817_2235_044_Ca119TrN_MaLSS_DrSt_ode23t.png","figure")</f>
        <v>figure</v>
      </c>
      <c r="Q45" t="s">
        <v>15</v>
      </c>
    </row>
    <row r="46" spans="1:17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148</v>
      </c>
      <c r="K46" t="s">
        <v>23</v>
      </c>
      <c r="L46">
        <v>326</v>
      </c>
      <c r="M46">
        <v>6.0899242999999998</v>
      </c>
      <c r="N46">
        <v>98.945575850525998</v>
      </c>
      <c r="O46">
        <v>-1.8582083737113907E-2</v>
      </c>
      <c r="P46" s="1" t="str">
        <f>HYPERLINK(".\sm_car_250817_2235\sm_car_250817_2235_045_Ca128TrN_MaWOT_DrSt_ode23t.png","figure")</f>
        <v>figure</v>
      </c>
      <c r="Q46" t="s">
        <v>15</v>
      </c>
    </row>
    <row r="47" spans="1:17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148</v>
      </c>
      <c r="K47" t="s">
        <v>23</v>
      </c>
      <c r="L47">
        <v>456</v>
      </c>
      <c r="M47">
        <v>7.1456080000000002</v>
      </c>
      <c r="N47">
        <v>36.723347994776852</v>
      </c>
      <c r="O47">
        <v>-0.12840575905936971</v>
      </c>
      <c r="P47" s="1" t="str">
        <f>HYPERLINK(".\sm_car_250817_2235\sm_car_250817_2235_046_Ca128TrN_MaLSS_DrSt_ode23t.png","figure")</f>
        <v>figure</v>
      </c>
      <c r="Q47" t="s">
        <v>15</v>
      </c>
    </row>
    <row r="48" spans="1:17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148</v>
      </c>
      <c r="K48" t="s">
        <v>23</v>
      </c>
      <c r="L48">
        <v>350</v>
      </c>
      <c r="M48">
        <v>6.2844731999999999</v>
      </c>
      <c r="N48">
        <v>228.42775819434971</v>
      </c>
      <c r="O48">
        <v>9.2416240354007001E-2</v>
      </c>
      <c r="P48" s="1" t="str">
        <f>HYPERLINK(".\sm_car_250817_2235\sm_car_250817_2235_047_Ca129TrN_MaWOT_DrSt_ode23t.png","figure")</f>
        <v>figure</v>
      </c>
      <c r="Q48" t="s">
        <v>15</v>
      </c>
    </row>
    <row r="49" spans="1:17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148</v>
      </c>
      <c r="K49" t="s">
        <v>23</v>
      </c>
      <c r="L49">
        <v>487</v>
      </c>
      <c r="M49">
        <v>8.1482474000000007</v>
      </c>
      <c r="N49">
        <v>70.378218276678098</v>
      </c>
      <c r="O49">
        <v>-0.52312000445932549</v>
      </c>
      <c r="P49" s="1" t="str">
        <f>HYPERLINK(".\sm_car_250817_2235\sm_car_250817_2235_048_Ca129TrN_MaLSS_DrSt_ode23t.png","figure")</f>
        <v>figure</v>
      </c>
      <c r="Q49" t="s">
        <v>15</v>
      </c>
    </row>
    <row r="50" spans="1:17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148</v>
      </c>
      <c r="K50" t="s">
        <v>23</v>
      </c>
      <c r="L50">
        <v>804</v>
      </c>
      <c r="M50">
        <v>21.9601565</v>
      </c>
      <c r="N50">
        <v>215.61687038766246</v>
      </c>
      <c r="O50">
        <v>-1.5784471575431833</v>
      </c>
      <c r="P50" s="1" t="str">
        <f>HYPERLINK(".\sm_car_250817_2235\sm_car_250817_2235_049_Ca130TrN_MaWOT_DrSt_ode23t.png","figure")</f>
        <v>figure</v>
      </c>
      <c r="Q50" t="s">
        <v>15</v>
      </c>
    </row>
    <row r="51" spans="1:17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148</v>
      </c>
      <c r="K51" t="s">
        <v>23</v>
      </c>
      <c r="L51">
        <v>778</v>
      </c>
      <c r="M51">
        <v>20.237324900000001</v>
      </c>
      <c r="N51">
        <v>68.383086165648933</v>
      </c>
      <c r="O51">
        <v>-0.54061422187657349</v>
      </c>
      <c r="P51" s="1" t="str">
        <f>HYPERLINK(".\sm_car_250817_2235\sm_car_250817_2235_050_Ca130TrN_MaLSS_DrSt_ode23t.png","figure")</f>
        <v>figure</v>
      </c>
      <c r="Q51" t="s">
        <v>15</v>
      </c>
    </row>
    <row r="52" spans="1:17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148</v>
      </c>
      <c r="K52" t="s">
        <v>23</v>
      </c>
      <c r="L52">
        <v>343</v>
      </c>
      <c r="M52">
        <v>4.5550984999999997</v>
      </c>
      <c r="N52">
        <v>229.16135903416696</v>
      </c>
      <c r="O52">
        <v>-4.5875075565293182E-2</v>
      </c>
      <c r="P52" s="1" t="str">
        <f>HYPERLINK(".\sm_car_250817_2235\sm_car_250817_2235_051_Ca131TrN_MaWOT_DrSt_ode23t.png","figure")</f>
        <v>figure</v>
      </c>
      <c r="Q52" t="s">
        <v>15</v>
      </c>
    </row>
    <row r="53" spans="1:17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148</v>
      </c>
      <c r="K53" t="s">
        <v>23</v>
      </c>
      <c r="L53">
        <v>491</v>
      </c>
      <c r="M53">
        <v>5.4736535000000002</v>
      </c>
      <c r="N53">
        <v>70.603093904910537</v>
      </c>
      <c r="O53">
        <v>-0.5316473280265227</v>
      </c>
      <c r="P53" s="1" t="str">
        <f>HYPERLINK(".\sm_car_250817_2235\sm_car_250817_2235_052_Ca131TrN_MaLSS_DrSt_ode23t.png","figure")</f>
        <v>figure</v>
      </c>
      <c r="Q53" t="s">
        <v>15</v>
      </c>
    </row>
    <row r="54" spans="1:17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148</v>
      </c>
      <c r="K54" t="s">
        <v>23</v>
      </c>
      <c r="L54">
        <v>347</v>
      </c>
      <c r="M54">
        <v>4.6419264</v>
      </c>
      <c r="N54">
        <v>229.12707859939488</v>
      </c>
      <c r="O54">
        <v>-1.3473405779730963E-2</v>
      </c>
      <c r="P54" s="1" t="str">
        <f>HYPERLINK(".\sm_car_250817_2235\sm_car_250817_2235_053_Ca132TrN_MaWOT_DrSt_ode23t.png","figure")</f>
        <v>figure</v>
      </c>
      <c r="Q54" t="s">
        <v>15</v>
      </c>
    </row>
    <row r="55" spans="1:17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148</v>
      </c>
      <c r="K55" t="s">
        <v>23</v>
      </c>
      <c r="L55">
        <v>493</v>
      </c>
      <c r="M55">
        <v>5.4232031999999997</v>
      </c>
      <c r="N55">
        <v>70.589378565263019</v>
      </c>
      <c r="O55">
        <v>-0.52930678649246732</v>
      </c>
      <c r="P55" s="1" t="str">
        <f>HYPERLINK(".\sm_car_250817_2235\sm_car_250817_2235_054_Ca132TrN_MaLSS_DrSt_ode23t.png","figure")</f>
        <v>figure</v>
      </c>
      <c r="Q55" t="s">
        <v>15</v>
      </c>
    </row>
    <row r="56" spans="1:17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148</v>
      </c>
      <c r="K56" t="s">
        <v>23</v>
      </c>
      <c r="L56">
        <v>352</v>
      </c>
      <c r="M56">
        <v>4.3784527999999998</v>
      </c>
      <c r="N56">
        <v>228.79602948166371</v>
      </c>
      <c r="O56">
        <v>-1.6033138834852516E-2</v>
      </c>
      <c r="P56" s="1" t="str">
        <f>HYPERLINK(".\sm_car_250817_2235\sm_car_250817_2235_055_Ca133TrN_MaWOT_DrSt_ode23t.png","figure")</f>
        <v>figure</v>
      </c>
      <c r="Q56" t="s">
        <v>15</v>
      </c>
    </row>
    <row r="57" spans="1:17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148</v>
      </c>
      <c r="K57" t="s">
        <v>23</v>
      </c>
      <c r="L57">
        <v>490</v>
      </c>
      <c r="M57">
        <v>5.4449531000000002</v>
      </c>
      <c r="N57">
        <v>70.601697490596038</v>
      </c>
      <c r="O57">
        <v>-0.52833308380087529</v>
      </c>
      <c r="P57" s="1" t="str">
        <f>HYPERLINK(".\sm_car_250817_2235\sm_car_250817_2235_056_Ca133TrN_MaLSS_DrSt_ode23t.png","figure")</f>
        <v>figure</v>
      </c>
      <c r="Q57" t="s">
        <v>15</v>
      </c>
    </row>
    <row r="58" spans="1:17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148</v>
      </c>
      <c r="K58" t="s">
        <v>23</v>
      </c>
      <c r="L58">
        <v>350</v>
      </c>
      <c r="M58">
        <v>4.4762278999999996</v>
      </c>
      <c r="N58">
        <v>229.10740941531168</v>
      </c>
      <c r="O58">
        <v>-1.5640445639431306E-2</v>
      </c>
      <c r="P58" s="1" t="str">
        <f>HYPERLINK(".\sm_car_250817_2235\sm_car_250817_2235_057_Ca134TrN_MaWOT_DrSt_ode23t.png","figure")</f>
        <v>figure</v>
      </c>
      <c r="Q58" t="s">
        <v>15</v>
      </c>
    </row>
    <row r="59" spans="1:17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148</v>
      </c>
      <c r="K59" t="s">
        <v>23</v>
      </c>
      <c r="L59">
        <v>496</v>
      </c>
      <c r="M59">
        <v>5.2607654999999998</v>
      </c>
      <c r="N59">
        <v>70.606287265199228</v>
      </c>
      <c r="O59">
        <v>-0.52672902889359396</v>
      </c>
      <c r="P59" s="1" t="str">
        <f>HYPERLINK(".\sm_car_250817_2235\sm_car_250817_2235_058_Ca134TrN_MaLSS_DrSt_ode23t.png","figure")</f>
        <v>figure</v>
      </c>
      <c r="Q59" t="s">
        <v>15</v>
      </c>
    </row>
    <row r="60" spans="1:17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148</v>
      </c>
      <c r="K60" t="s">
        <v>23</v>
      </c>
      <c r="L60">
        <v>349</v>
      </c>
      <c r="M60">
        <v>4.5767508000000001</v>
      </c>
      <c r="N60">
        <v>229.18263641186894</v>
      </c>
      <c r="O60">
        <v>-1.6721094591841297E-2</v>
      </c>
      <c r="P60" s="1" t="str">
        <f>HYPERLINK(".\sm_car_250817_2235\sm_car_250817_2235_059_Ca135TrN_MaWOT_DrSt_ode23t.png","figure")</f>
        <v>figure</v>
      </c>
      <c r="Q60" t="s">
        <v>15</v>
      </c>
    </row>
    <row r="61" spans="1:17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148</v>
      </c>
      <c r="K61" t="s">
        <v>23</v>
      </c>
      <c r="L61">
        <v>490</v>
      </c>
      <c r="M61">
        <v>5.3240068000000003</v>
      </c>
      <c r="N61">
        <v>70.600503340984346</v>
      </c>
      <c r="O61">
        <v>-0.52240602088876664</v>
      </c>
      <c r="P61" s="1" t="str">
        <f>HYPERLINK(".\sm_car_250817_2235\sm_car_250817_2235_060_Ca135TrN_MaLSS_DrSt_ode23t.png","figure")</f>
        <v>figure</v>
      </c>
      <c r="Q61" t="s">
        <v>15</v>
      </c>
    </row>
    <row r="62" spans="1:17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148</v>
      </c>
      <c r="K62" t="s">
        <v>23</v>
      </c>
      <c r="L62">
        <v>384</v>
      </c>
      <c r="M62">
        <v>5.5366533999999996</v>
      </c>
      <c r="N62">
        <v>229.10457283769887</v>
      </c>
      <c r="O62">
        <v>4.6599941067758922E-2</v>
      </c>
      <c r="P62" s="1" t="str">
        <f>HYPERLINK(".\sm_car_250817_2235\sm_car_250817_2235_061_Ca136TrN_MaWOT_DrSt_ode23t.png","figure")</f>
        <v>figure</v>
      </c>
      <c r="Q62" t="s">
        <v>15</v>
      </c>
    </row>
    <row r="63" spans="1:17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148</v>
      </c>
      <c r="K63" t="s">
        <v>23</v>
      </c>
      <c r="L63">
        <v>508</v>
      </c>
      <c r="M63">
        <v>6.8064523000000001</v>
      </c>
      <c r="N63">
        <v>70.603737753890996</v>
      </c>
      <c r="O63">
        <v>-0.52095348749870163</v>
      </c>
      <c r="P63" s="1" t="str">
        <f>HYPERLINK(".\sm_car_250817_2235\sm_car_250817_2235_062_Ca136TrN_MaLSS_DrSt_ode23t.png","figure")</f>
        <v>figure</v>
      </c>
      <c r="Q63" t="s">
        <v>15</v>
      </c>
    </row>
    <row r="64" spans="1:17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148</v>
      </c>
      <c r="K64" t="s">
        <v>23</v>
      </c>
      <c r="L64">
        <v>330</v>
      </c>
      <c r="M64">
        <v>3.9530549000000001</v>
      </c>
      <c r="N64">
        <v>229.94949984565895</v>
      </c>
      <c r="O64">
        <v>0.13753040320227727</v>
      </c>
      <c r="P64" s="1" t="str">
        <f>HYPERLINK(".\sm_car_250817_2235\sm_car_250817_2235_063_Ca137TrN_MaWOT_DrSt_ode23t.png","figure")</f>
        <v>figure</v>
      </c>
      <c r="Q64" t="s">
        <v>15</v>
      </c>
    </row>
    <row r="65" spans="1:17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148</v>
      </c>
      <c r="K65" t="s">
        <v>23</v>
      </c>
      <c r="L65">
        <v>476</v>
      </c>
      <c r="M65">
        <v>4.4619682000000003</v>
      </c>
      <c r="N65">
        <v>70.872021640054001</v>
      </c>
      <c r="O65">
        <v>-0.50679515378360318</v>
      </c>
      <c r="P65" s="1" t="str">
        <f>HYPERLINK(".\sm_car_250817_2235\sm_car_250817_2235_064_Ca137TrN_MaLSS_DrSt_ode23t.png","figure")</f>
        <v>figure</v>
      </c>
      <c r="Q65" t="s">
        <v>15</v>
      </c>
    </row>
    <row r="66" spans="1:17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148</v>
      </c>
      <c r="K66" t="s">
        <v>23</v>
      </c>
      <c r="L66">
        <v>332</v>
      </c>
      <c r="M66">
        <v>6.0465092</v>
      </c>
      <c r="N66">
        <v>230.03479467965266</v>
      </c>
      <c r="O66">
        <v>0.15099959514325031</v>
      </c>
      <c r="P66" s="1" t="str">
        <f>HYPERLINK(".\sm_car_250817_2235\sm_car_250817_2235_065_Ca138TrN_MaWOT_DrSt_ode23t.png","figure")</f>
        <v>figure</v>
      </c>
      <c r="Q66" t="s">
        <v>15</v>
      </c>
    </row>
    <row r="67" spans="1:17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148</v>
      </c>
      <c r="K67" t="s">
        <v>23</v>
      </c>
      <c r="L67">
        <v>488</v>
      </c>
      <c r="M67">
        <v>6.2078132999999998</v>
      </c>
      <c r="N67">
        <v>70.76561859425523</v>
      </c>
      <c r="O67">
        <v>-0.81715887743635596</v>
      </c>
      <c r="P67" s="1" t="str">
        <f>HYPERLINK(".\sm_car_250817_2235\sm_car_250817_2235_066_Ca138TrN_MaLSS_DrSt_ode23t.png","figure")</f>
        <v>figure</v>
      </c>
      <c r="Q67" t="s">
        <v>15</v>
      </c>
    </row>
    <row r="68" spans="1:17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148</v>
      </c>
      <c r="K68" t="s">
        <v>23</v>
      </c>
      <c r="L68">
        <v>697</v>
      </c>
      <c r="M68">
        <v>26.592646899999998</v>
      </c>
      <c r="N68">
        <v>402.16846509458514</v>
      </c>
      <c r="O68">
        <v>1.7914363648125</v>
      </c>
      <c r="P68" s="1" t="str">
        <f>HYPERLINK(".\sm_car_250817_2235\sm_car_250817_2235_067_Ca139TrN_MaWOT_DrSt_ode23t.png","figure")</f>
        <v>figure</v>
      </c>
      <c r="Q68" t="s">
        <v>15</v>
      </c>
    </row>
    <row r="69" spans="1:17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148</v>
      </c>
      <c r="K69" t="s">
        <v>23</v>
      </c>
      <c r="L69">
        <v>636</v>
      </c>
      <c r="M69">
        <v>15.0746804</v>
      </c>
      <c r="N69">
        <v>153.03719815713896</v>
      </c>
      <c r="O69">
        <v>-0.5546139989824439</v>
      </c>
      <c r="P69" s="1" t="str">
        <f>HYPERLINK(".\sm_car_250817_2235\sm_car_250817_2235_068_Ca139TrN_MaLSS_DrSt_ode23t.png","figure")</f>
        <v>figure</v>
      </c>
      <c r="Q69" t="s">
        <v>15</v>
      </c>
    </row>
    <row r="70" spans="1:17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148</v>
      </c>
      <c r="K70" t="s">
        <v>23</v>
      </c>
      <c r="L70">
        <v>1971</v>
      </c>
      <c r="M70">
        <v>35.8405627</v>
      </c>
      <c r="N70">
        <v>402.29734398477689</v>
      </c>
      <c r="O70">
        <v>1.6993496766955956</v>
      </c>
      <c r="P70" s="1" t="str">
        <f>HYPERLINK(".\sm_car_250817_2235\sm_car_250817_2235_069_Ca141TrN_MaWOT_DrSt_ode23t.png","figure")</f>
        <v>figure</v>
      </c>
      <c r="Q70" t="s">
        <v>15</v>
      </c>
    </row>
    <row r="71" spans="1:17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148</v>
      </c>
      <c r="K71" t="s">
        <v>23</v>
      </c>
      <c r="L71">
        <v>1862</v>
      </c>
      <c r="M71">
        <v>30.855785300000001</v>
      </c>
      <c r="N71">
        <v>153.1235603222178</v>
      </c>
      <c r="O71">
        <v>-0.5651392514346617</v>
      </c>
      <c r="P71" s="1" t="str">
        <f>HYPERLINK(".\sm_car_250817_2235\sm_car_250817_2235_070_Ca141TrN_MaLSS_DrSt_ode23t.png","figure")</f>
        <v>figure</v>
      </c>
      <c r="Q71" t="s">
        <v>15</v>
      </c>
    </row>
    <row r="72" spans="1:17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148</v>
      </c>
      <c r="K72" t="s">
        <v>23</v>
      </c>
      <c r="L72">
        <v>360</v>
      </c>
      <c r="M72">
        <v>14.6710501</v>
      </c>
      <c r="N72">
        <v>62.428055937650697</v>
      </c>
      <c r="O72">
        <v>1.9139612135929084E-2</v>
      </c>
      <c r="P72" s="1" t="str">
        <f>HYPERLINK(".\sm_car_250817_2235\sm_car_250817_2235_071_Ca143TrN_MaWOT_DrSt_ode23t.png","figure")</f>
        <v>figure</v>
      </c>
      <c r="Q72" t="s">
        <v>15</v>
      </c>
    </row>
    <row r="73" spans="1:17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148</v>
      </c>
      <c r="K73" t="s">
        <v>23</v>
      </c>
      <c r="L73">
        <v>454</v>
      </c>
      <c r="M73">
        <v>16.365473300000001</v>
      </c>
      <c r="N73">
        <v>24.931286332644017</v>
      </c>
      <c r="O73">
        <v>-5.2269820199117328E-2</v>
      </c>
      <c r="P73" s="1" t="str">
        <f>HYPERLINK(".\sm_car_250817_2235\sm_car_250817_2235_072_Ca143TrN_MaLSS_DrSt_ode23t.png","figure")</f>
        <v>figure</v>
      </c>
      <c r="Q73" t="s">
        <v>15</v>
      </c>
    </row>
    <row r="74" spans="1:17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148</v>
      </c>
      <c r="K74" t="s">
        <v>23</v>
      </c>
      <c r="L74">
        <v>337</v>
      </c>
      <c r="M74">
        <v>9.7126249999999992</v>
      </c>
      <c r="N74">
        <v>77.001430096645151</v>
      </c>
      <c r="O74">
        <v>0.2445658895358426</v>
      </c>
      <c r="P74" s="1" t="str">
        <f>HYPERLINK(".\sm_car_250817_2235\sm_car_250817_2235_073_Ca144TrN_MaWOT_DrSt_ode23t.png","figure")</f>
        <v>figure</v>
      </c>
      <c r="Q74" t="s">
        <v>15</v>
      </c>
    </row>
    <row r="75" spans="1:17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148</v>
      </c>
      <c r="K75" t="s">
        <v>23</v>
      </c>
      <c r="L75">
        <v>456</v>
      </c>
      <c r="M75">
        <v>11.6549491</v>
      </c>
      <c r="N75">
        <v>35.47306124844166</v>
      </c>
      <c r="O75">
        <v>-3.1905516681268578E-2</v>
      </c>
      <c r="P75" s="1" t="str">
        <f>HYPERLINK(".\sm_car_250817_2235\sm_car_250817_2235_074_Ca144TrN_MaLSS_DrSt_ode23t.png","figure")</f>
        <v>figure</v>
      </c>
      <c r="Q75" t="s">
        <v>15</v>
      </c>
    </row>
    <row r="76" spans="1:17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148</v>
      </c>
      <c r="K76" t="s">
        <v>23</v>
      </c>
      <c r="L76">
        <v>2487</v>
      </c>
      <c r="M76">
        <v>26.269926300000002</v>
      </c>
      <c r="N76">
        <v>396.46764305819937</v>
      </c>
      <c r="O76">
        <v>-15.424862910307112</v>
      </c>
      <c r="P76" s="1" t="str">
        <f>HYPERLINK(".\sm_car_250817_2235\sm_car_250817_2235_075_Ca147TrN_MaWOT_DrSt_ode23t.png","figure")</f>
        <v>figure</v>
      </c>
      <c r="Q76" t="s">
        <v>15</v>
      </c>
    </row>
    <row r="77" spans="1:17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148</v>
      </c>
      <c r="K77" t="s">
        <v>23</v>
      </c>
      <c r="L77">
        <v>1340</v>
      </c>
      <c r="M77">
        <v>17.360213300000002</v>
      </c>
      <c r="N77">
        <v>150.50023067080963</v>
      </c>
      <c r="O77">
        <v>-2.2390957297690961</v>
      </c>
      <c r="P77" s="1" t="str">
        <f>HYPERLINK(".\sm_car_250817_2235\sm_car_250817_2235_076_Ca147TrN_MaLSS_DrSt_ode23t.png","figure")</f>
        <v>figure</v>
      </c>
      <c r="Q77" t="s">
        <v>15</v>
      </c>
    </row>
    <row r="78" spans="1:17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148</v>
      </c>
      <c r="K78" t="s">
        <v>23</v>
      </c>
      <c r="L78">
        <v>306</v>
      </c>
      <c r="M78">
        <v>7.6938551000000004</v>
      </c>
      <c r="N78">
        <v>229.6730166283497</v>
      </c>
      <c r="O78">
        <v>5.1408575898884848E-3</v>
      </c>
      <c r="P78" s="1" t="str">
        <f>HYPERLINK(".\sm_car_250817_2235\sm_car_250817_2235_077_Ca215TrN_MaWOT_DrSt_ode23t.png","figure")</f>
        <v>figure</v>
      </c>
      <c r="Q78" t="s">
        <v>15</v>
      </c>
    </row>
    <row r="79" spans="1:17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148</v>
      </c>
      <c r="K79" t="s">
        <v>23</v>
      </c>
      <c r="L79">
        <v>494</v>
      </c>
      <c r="M79">
        <v>8.2809401999999999</v>
      </c>
      <c r="N79">
        <v>81.274670644985392</v>
      </c>
      <c r="O79">
        <v>-0.22217667069138153</v>
      </c>
      <c r="P79" s="1" t="str">
        <f>HYPERLINK(".\sm_car_250817_2235\sm_car_250817_2235_078_Ca215TrN_MaLSS_DrSt_ode23t.png","figure")</f>
        <v>figure</v>
      </c>
      <c r="Q79" t="s">
        <v>15</v>
      </c>
    </row>
    <row r="80" spans="1:17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26</v>
      </c>
      <c r="H80" t="s">
        <v>21</v>
      </c>
      <c r="I80" t="s">
        <v>22</v>
      </c>
      <c r="J80" t="s">
        <v>148</v>
      </c>
      <c r="K80" t="s">
        <v>23</v>
      </c>
      <c r="L80">
        <v>353</v>
      </c>
      <c r="M80">
        <v>4.6519190999999998</v>
      </c>
      <c r="N80">
        <v>229.75359255679493</v>
      </c>
      <c r="O80">
        <v>0.1705263574159066</v>
      </c>
      <c r="P80" s="1" t="str">
        <f>HYPERLINK(".\sm_car_250817_2235\sm_car_250817_2235_079_Ca218TrN_MaWOT_DrSt_ode23t.png","figure")</f>
        <v>figure</v>
      </c>
      <c r="Q80" t="s">
        <v>15</v>
      </c>
    </row>
    <row r="81" spans="1:17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26</v>
      </c>
      <c r="H81" t="s">
        <v>21</v>
      </c>
      <c r="I81" t="s">
        <v>24</v>
      </c>
      <c r="J81" t="s">
        <v>148</v>
      </c>
      <c r="K81" t="s">
        <v>23</v>
      </c>
      <c r="L81">
        <v>492</v>
      </c>
      <c r="M81">
        <v>5.6897494000000002</v>
      </c>
      <c r="N81">
        <v>70.783105058092758</v>
      </c>
      <c r="O81">
        <v>-0.53199768779459744</v>
      </c>
      <c r="P81" s="1" t="str">
        <f>HYPERLINK(".\sm_car_250817_2235\sm_car_250817_2235_080_Ca218TrN_MaLSS_DrSt_ode23t.png","figure")</f>
        <v>figure</v>
      </c>
      <c r="Q81" t="s">
        <v>15</v>
      </c>
    </row>
    <row r="82" spans="1:17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26</v>
      </c>
      <c r="H82" t="s">
        <v>21</v>
      </c>
      <c r="I82" t="s">
        <v>22</v>
      </c>
      <c r="J82" t="s">
        <v>148</v>
      </c>
      <c r="K82" t="s">
        <v>23</v>
      </c>
      <c r="L82">
        <v>379</v>
      </c>
      <c r="M82">
        <v>6.6353616999999998</v>
      </c>
      <c r="N82">
        <v>228.87933303850758</v>
      </c>
      <c r="O82">
        <v>0.17330288774146971</v>
      </c>
      <c r="P82" s="1" t="str">
        <f>HYPERLINK(".\sm_car_250817_2235\sm_car_250817_2235_081_Ca219TrN_MaWOT_DrSt_ode23t.png","figure")</f>
        <v>figure</v>
      </c>
      <c r="Q82" t="s">
        <v>15</v>
      </c>
    </row>
    <row r="83" spans="1:17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26</v>
      </c>
      <c r="H83" t="s">
        <v>21</v>
      </c>
      <c r="I83" t="s">
        <v>24</v>
      </c>
      <c r="J83" t="s">
        <v>148</v>
      </c>
      <c r="K83" t="s">
        <v>23</v>
      </c>
      <c r="L83">
        <v>522</v>
      </c>
      <c r="M83">
        <v>8.0311084000000008</v>
      </c>
      <c r="N83">
        <v>70.603504706511671</v>
      </c>
      <c r="O83">
        <v>-0.55478518598653126</v>
      </c>
      <c r="P83" s="1" t="str">
        <f>HYPERLINK(".\sm_car_250817_2235\sm_car_250817_2235_082_Ca219TrN_MaLSS_DrSt_ode23t.png","figure")</f>
        <v>figure</v>
      </c>
      <c r="Q83" t="s">
        <v>15</v>
      </c>
    </row>
    <row r="84" spans="1:17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26</v>
      </c>
      <c r="H84" t="s">
        <v>21</v>
      </c>
      <c r="I84" t="s">
        <v>22</v>
      </c>
      <c r="J84" t="s">
        <v>148</v>
      </c>
      <c r="K84" t="s">
        <v>23</v>
      </c>
      <c r="L84">
        <v>943</v>
      </c>
      <c r="M84">
        <v>30.762324599999999</v>
      </c>
      <c r="N84">
        <v>223.20430490928044</v>
      </c>
      <c r="O84">
        <v>-1.2215644418465585</v>
      </c>
      <c r="P84" s="1" t="str">
        <f>HYPERLINK(".\sm_car_250817_2235\sm_car_250817_2235_083_Ca220TrN_MaWOT_DrSt_ode23t.png","figure")</f>
        <v>figure</v>
      </c>
      <c r="Q84" t="s">
        <v>15</v>
      </c>
    </row>
    <row r="85" spans="1:17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26</v>
      </c>
      <c r="H85" t="s">
        <v>21</v>
      </c>
      <c r="I85" t="s">
        <v>24</v>
      </c>
      <c r="J85" t="s">
        <v>148</v>
      </c>
      <c r="K85" t="s">
        <v>23</v>
      </c>
      <c r="L85">
        <v>1098</v>
      </c>
      <c r="M85">
        <v>37.840428699999997</v>
      </c>
      <c r="N85">
        <v>69.288030261336516</v>
      </c>
      <c r="O85">
        <v>-1.4994025136601543</v>
      </c>
      <c r="P85" s="1" t="str">
        <f>HYPERLINK(".\sm_car_250817_2235\sm_car_250817_2235_084_Ca220TrN_MaLSS_DrSt_ode23t.png","figure")</f>
        <v>figure</v>
      </c>
      <c r="Q85" t="s">
        <v>15</v>
      </c>
    </row>
    <row r="86" spans="1:17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148</v>
      </c>
      <c r="K86" t="s">
        <v>23</v>
      </c>
      <c r="L86">
        <v>469</v>
      </c>
      <c r="M86">
        <v>7.1451362999999999</v>
      </c>
      <c r="N86">
        <v>293.17220671551888</v>
      </c>
      <c r="O86">
        <v>-1.2763815587243067E-4</v>
      </c>
      <c r="P86" s="1" t="str">
        <f>HYPERLINK(".\sm_car_250817_2235\sm_car_250817_2235_085_Ca223TrN_MaWOT_DrSt_ode23t.png","figure")</f>
        <v>figure</v>
      </c>
      <c r="Q86" t="s">
        <v>15</v>
      </c>
    </row>
    <row r="87" spans="1:17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148</v>
      </c>
      <c r="K87" t="s">
        <v>23</v>
      </c>
      <c r="L87">
        <v>639</v>
      </c>
      <c r="M87">
        <v>7.2407795999999998</v>
      </c>
      <c r="N87">
        <v>103.52997767622529</v>
      </c>
      <c r="O87">
        <v>-0.14974153065546775</v>
      </c>
      <c r="P87" s="1" t="str">
        <f>HYPERLINK(".\sm_car_250817_2235\sm_car_250817_2235_086_Ca223TrN_MaLSS_DrSt_ode23t.png","figure")</f>
        <v>figure</v>
      </c>
      <c r="Q87" t="s">
        <v>15</v>
      </c>
    </row>
    <row r="88" spans="1:17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148</v>
      </c>
      <c r="K88" t="s">
        <v>23</v>
      </c>
      <c r="L88">
        <v>749</v>
      </c>
      <c r="M88">
        <v>22.400997199999999</v>
      </c>
      <c r="N88">
        <v>405.56748896711861</v>
      </c>
      <c r="O88">
        <v>-12.06518641595915</v>
      </c>
      <c r="P88" s="1" t="str">
        <f>HYPERLINK(".\sm_car_250817_2235\sm_car_250817_2235_087_Ca227TrN_MaWOT_DrSt_ode23t.png","figure")</f>
        <v>figure</v>
      </c>
      <c r="Q88" t="s">
        <v>15</v>
      </c>
    </row>
    <row r="89" spans="1:17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148</v>
      </c>
      <c r="K89" t="s">
        <v>23</v>
      </c>
      <c r="L89">
        <v>732</v>
      </c>
      <c r="M89">
        <v>14.68946</v>
      </c>
      <c r="N89">
        <v>154.56516972129859</v>
      </c>
      <c r="O89">
        <v>-2.8371044295040502</v>
      </c>
      <c r="P89" s="1" t="str">
        <f>HYPERLINK(".\sm_car_250817_2235\sm_car_250817_2235_088_Ca227TrN_MaLSS_DrSt_ode23t.png","figure")</f>
        <v>figure</v>
      </c>
      <c r="Q89" t="s">
        <v>15</v>
      </c>
    </row>
    <row r="90" spans="1:17" x14ac:dyDescent="0.25">
      <c r="A90">
        <v>89</v>
      </c>
      <c r="B90">
        <v>8</v>
      </c>
      <c r="C90" t="s">
        <v>16</v>
      </c>
      <c r="D90" t="s">
        <v>17</v>
      </c>
      <c r="E90" t="s">
        <v>49</v>
      </c>
      <c r="F90" t="s">
        <v>19</v>
      </c>
      <c r="G90" t="s">
        <v>20</v>
      </c>
      <c r="H90" t="s">
        <v>21</v>
      </c>
      <c r="I90" t="s">
        <v>22</v>
      </c>
      <c r="J90" t="s">
        <v>148</v>
      </c>
      <c r="K90" t="s">
        <v>23</v>
      </c>
      <c r="L90">
        <v>382</v>
      </c>
      <c r="M90">
        <v>10.468352100000001</v>
      </c>
      <c r="N90">
        <v>230.05376168818401</v>
      </c>
      <c r="O90">
        <v>-7.4708615412977779E-3</v>
      </c>
      <c r="P90" s="1" t="str">
        <f>HYPERLINK(".\sm_car_250817_2235\sm_car_250817_2235_089_Ca008TrN_MaWOT_DrSt_ode23t_1.png","figure")</f>
        <v>figure</v>
      </c>
      <c r="Q90" t="s">
        <v>15</v>
      </c>
    </row>
    <row r="91" spans="1:17" x14ac:dyDescent="0.25">
      <c r="A91">
        <v>90</v>
      </c>
      <c r="B91">
        <v>8</v>
      </c>
      <c r="C91" t="s">
        <v>16</v>
      </c>
      <c r="D91" t="s">
        <v>17</v>
      </c>
      <c r="E91" t="s">
        <v>49</v>
      </c>
      <c r="F91" t="s">
        <v>19</v>
      </c>
      <c r="G91" t="s">
        <v>20</v>
      </c>
      <c r="H91" t="s">
        <v>21</v>
      </c>
      <c r="I91" t="s">
        <v>24</v>
      </c>
      <c r="J91" t="s">
        <v>148</v>
      </c>
      <c r="K91" t="s">
        <v>23</v>
      </c>
      <c r="L91">
        <v>545</v>
      </c>
      <c r="M91">
        <v>12.8393388</v>
      </c>
      <c r="N91">
        <v>70.878576677039646</v>
      </c>
      <c r="O91">
        <v>-0.5292598321127977</v>
      </c>
      <c r="P91" s="1" t="str">
        <f>HYPERLINK(".\sm_car_250817_2235\sm_car_250817_2235_090_Ca008TrN_MaLSS_DrSt_ode23t_1.png","figure")</f>
        <v>figure</v>
      </c>
      <c r="Q91" t="s">
        <v>15</v>
      </c>
    </row>
    <row r="92" spans="1:17" x14ac:dyDescent="0.25">
      <c r="A92">
        <v>91</v>
      </c>
      <c r="B92">
        <v>13</v>
      </c>
      <c r="C92" t="s">
        <v>16</v>
      </c>
      <c r="D92" t="s">
        <v>17</v>
      </c>
      <c r="E92" t="s">
        <v>49</v>
      </c>
      <c r="F92" t="s">
        <v>28</v>
      </c>
      <c r="G92" t="s">
        <v>25</v>
      </c>
      <c r="H92" t="s">
        <v>21</v>
      </c>
      <c r="I92" t="s">
        <v>22</v>
      </c>
      <c r="J92" t="s">
        <v>148</v>
      </c>
      <c r="K92" t="s">
        <v>23</v>
      </c>
      <c r="L92">
        <v>853</v>
      </c>
      <c r="M92">
        <v>13.005759400000001</v>
      </c>
      <c r="N92">
        <v>229.06609401774449</v>
      </c>
      <c r="O92">
        <v>-1.6350066110263919E-2</v>
      </c>
      <c r="P92" s="1" t="str">
        <f>HYPERLINK(".\sm_car_250817_2235\sm_car_250817_2235_091_Ca013TrN_MaWOT_DrSt_ode23t_1.png","figure")</f>
        <v>figure</v>
      </c>
      <c r="Q92" t="s">
        <v>15</v>
      </c>
    </row>
    <row r="93" spans="1:17" x14ac:dyDescent="0.25">
      <c r="A93">
        <v>92</v>
      </c>
      <c r="B93">
        <v>13</v>
      </c>
      <c r="C93" t="s">
        <v>16</v>
      </c>
      <c r="D93" t="s">
        <v>17</v>
      </c>
      <c r="E93" t="s">
        <v>49</v>
      </c>
      <c r="F93" t="s">
        <v>28</v>
      </c>
      <c r="G93" t="s">
        <v>25</v>
      </c>
      <c r="H93" t="s">
        <v>21</v>
      </c>
      <c r="I93" t="s">
        <v>24</v>
      </c>
      <c r="J93" t="s">
        <v>148</v>
      </c>
      <c r="K93" t="s">
        <v>23</v>
      </c>
      <c r="L93">
        <v>1004</v>
      </c>
      <c r="M93">
        <v>16.1467809</v>
      </c>
      <c r="N93">
        <v>70.589623057470106</v>
      </c>
      <c r="O93">
        <v>-0.5317364002346916</v>
      </c>
      <c r="P93" s="1" t="str">
        <f>HYPERLINK(".\sm_car_250817_2235\sm_car_250817_2235_092_Ca013TrN_MaLSS_DrSt_ode23t_1.png","figure")</f>
        <v>figure</v>
      </c>
      <c r="Q93" t="s">
        <v>15</v>
      </c>
    </row>
    <row r="94" spans="1:17" x14ac:dyDescent="0.25">
      <c r="A94">
        <v>93</v>
      </c>
      <c r="B94">
        <v>120</v>
      </c>
      <c r="C94" t="s">
        <v>16</v>
      </c>
      <c r="D94" t="s">
        <v>35</v>
      </c>
      <c r="E94" t="s">
        <v>49</v>
      </c>
      <c r="F94" t="s">
        <v>19</v>
      </c>
      <c r="G94" t="s">
        <v>20</v>
      </c>
      <c r="H94" t="s">
        <v>21</v>
      </c>
      <c r="I94" t="s">
        <v>22</v>
      </c>
      <c r="J94" t="s">
        <v>148</v>
      </c>
      <c r="K94" t="s">
        <v>23</v>
      </c>
      <c r="L94">
        <v>416</v>
      </c>
      <c r="M94">
        <v>4.0565534999999997</v>
      </c>
      <c r="N94">
        <v>242.69170005986123</v>
      </c>
      <c r="O94">
        <v>0.23529589119818642</v>
      </c>
      <c r="P94" s="1" t="str">
        <f>HYPERLINK(".\sm_car_250817_2235\sm_car_250817_2235_093_Ca120TrN_MaWOT_DrSt_ode23t_1.png","figure")</f>
        <v>figure</v>
      </c>
      <c r="Q94" t="s">
        <v>15</v>
      </c>
    </row>
    <row r="95" spans="1:17" x14ac:dyDescent="0.25">
      <c r="A95">
        <v>94</v>
      </c>
      <c r="B95">
        <v>120</v>
      </c>
      <c r="C95" t="s">
        <v>16</v>
      </c>
      <c r="D95" t="s">
        <v>35</v>
      </c>
      <c r="E95" t="s">
        <v>49</v>
      </c>
      <c r="F95" t="s">
        <v>19</v>
      </c>
      <c r="G95" t="s">
        <v>20</v>
      </c>
      <c r="H95" t="s">
        <v>21</v>
      </c>
      <c r="I95" t="s">
        <v>24</v>
      </c>
      <c r="J95" t="s">
        <v>148</v>
      </c>
      <c r="K95" t="s">
        <v>23</v>
      </c>
      <c r="L95">
        <v>534</v>
      </c>
      <c r="M95">
        <v>4.4375876999999999</v>
      </c>
      <c r="N95">
        <v>74.671860856374394</v>
      </c>
      <c r="O95">
        <v>-0.33802521122689189</v>
      </c>
      <c r="P95" s="1" t="str">
        <f>HYPERLINK(".\sm_car_250817_2235\sm_car_250817_2235_094_Ca120TrN_MaLSS_DrSt_ode23t_1.png","figure")</f>
        <v>figure</v>
      </c>
      <c r="Q95" t="s">
        <v>15</v>
      </c>
    </row>
    <row r="96" spans="1:17" x14ac:dyDescent="0.25">
      <c r="A96">
        <v>95</v>
      </c>
      <c r="B96">
        <v>126</v>
      </c>
      <c r="C96" t="s">
        <v>16</v>
      </c>
      <c r="D96" t="s">
        <v>35</v>
      </c>
      <c r="E96" t="s">
        <v>49</v>
      </c>
      <c r="F96" t="s">
        <v>28</v>
      </c>
      <c r="G96" t="s">
        <v>26</v>
      </c>
      <c r="H96" t="s">
        <v>21</v>
      </c>
      <c r="I96" t="s">
        <v>22</v>
      </c>
      <c r="J96" t="s">
        <v>148</v>
      </c>
      <c r="K96" t="s">
        <v>23</v>
      </c>
      <c r="L96">
        <v>1021</v>
      </c>
      <c r="M96">
        <v>5.8051433000000001</v>
      </c>
      <c r="N96">
        <v>241.41642724986067</v>
      </c>
      <c r="O96">
        <v>0.23235374620598437</v>
      </c>
      <c r="P96" s="1" t="str">
        <f>HYPERLINK(".\sm_car_250817_2235\sm_car_250817_2235_095_Ca126TrN_MaWOT_DrSt_ode23t_1.png","figure")</f>
        <v>figure</v>
      </c>
      <c r="Q96" t="s">
        <v>15</v>
      </c>
    </row>
    <row r="97" spans="1:17" x14ac:dyDescent="0.25">
      <c r="A97">
        <v>96</v>
      </c>
      <c r="B97">
        <v>126</v>
      </c>
      <c r="C97" t="s">
        <v>16</v>
      </c>
      <c r="D97" t="s">
        <v>35</v>
      </c>
      <c r="E97" t="s">
        <v>49</v>
      </c>
      <c r="F97" t="s">
        <v>28</v>
      </c>
      <c r="G97" t="s">
        <v>26</v>
      </c>
      <c r="H97" t="s">
        <v>21</v>
      </c>
      <c r="I97" t="s">
        <v>24</v>
      </c>
      <c r="J97" t="s">
        <v>148</v>
      </c>
      <c r="K97" t="s">
        <v>23</v>
      </c>
      <c r="L97">
        <v>1146</v>
      </c>
      <c r="M97">
        <v>6.5068361000000001</v>
      </c>
      <c r="N97">
        <v>74.340172688289186</v>
      </c>
      <c r="O97">
        <v>-0.3354664429166006</v>
      </c>
      <c r="P97" s="1" t="str">
        <f>HYPERLINK(".\sm_car_250817_2235\sm_car_250817_2235_096_Ca126TrN_MaLSS_DrSt_ode23t_1.png","figure")</f>
        <v>figure</v>
      </c>
      <c r="Q97" t="s">
        <v>15</v>
      </c>
    </row>
    <row r="98" spans="1:17" x14ac:dyDescent="0.25">
      <c r="A98">
        <v>97</v>
      </c>
      <c r="B98">
        <v>127</v>
      </c>
      <c r="C98" t="s">
        <v>16</v>
      </c>
      <c r="D98" t="s">
        <v>35</v>
      </c>
      <c r="E98" t="s">
        <v>49</v>
      </c>
      <c r="F98" t="s">
        <v>28</v>
      </c>
      <c r="G98" t="s">
        <v>27</v>
      </c>
      <c r="H98" t="s">
        <v>21</v>
      </c>
      <c r="I98" t="s">
        <v>22</v>
      </c>
      <c r="J98" t="s">
        <v>148</v>
      </c>
      <c r="K98" t="s">
        <v>23</v>
      </c>
      <c r="L98">
        <v>1053</v>
      </c>
      <c r="M98">
        <v>6.2303138999999996</v>
      </c>
      <c r="N98">
        <v>241.05536954644745</v>
      </c>
      <c r="O98">
        <v>0.23100331212525366</v>
      </c>
      <c r="P98" s="1" t="str">
        <f>HYPERLINK(".\sm_car_250817_2235\sm_car_250817_2235_097_Ca127TrN_MaWOT_DrSt_ode23t_1.png","figure")</f>
        <v>figure</v>
      </c>
      <c r="Q98" t="s">
        <v>15</v>
      </c>
    </row>
    <row r="99" spans="1:17" x14ac:dyDescent="0.25">
      <c r="A99">
        <v>98</v>
      </c>
      <c r="B99">
        <v>127</v>
      </c>
      <c r="C99" t="s">
        <v>16</v>
      </c>
      <c r="D99" t="s">
        <v>35</v>
      </c>
      <c r="E99" t="s">
        <v>49</v>
      </c>
      <c r="F99" t="s">
        <v>28</v>
      </c>
      <c r="G99" t="s">
        <v>27</v>
      </c>
      <c r="H99" t="s">
        <v>21</v>
      </c>
      <c r="I99" t="s">
        <v>24</v>
      </c>
      <c r="J99" t="s">
        <v>148</v>
      </c>
      <c r="K99" t="s">
        <v>23</v>
      </c>
      <c r="L99">
        <v>1175</v>
      </c>
      <c r="M99">
        <v>7.1765783000000001</v>
      </c>
      <c r="N99">
        <v>74.195637812943474</v>
      </c>
      <c r="O99">
        <v>-0.33253745102725341</v>
      </c>
      <c r="P99" s="1" t="str">
        <f>HYPERLINK(".\sm_car_250817_2235\sm_car_250817_2235_098_Ca127TrN_MaLSS_DrSt_ode23t_1.png","figure")</f>
        <v>figure</v>
      </c>
      <c r="Q99" t="s">
        <v>15</v>
      </c>
    </row>
    <row r="100" spans="1:17" x14ac:dyDescent="0.25">
      <c r="A100">
        <v>99</v>
      </c>
      <c r="B100">
        <v>145</v>
      </c>
      <c r="C100" t="s">
        <v>46</v>
      </c>
      <c r="D100" t="s">
        <v>17</v>
      </c>
      <c r="E100" t="s">
        <v>50</v>
      </c>
      <c r="F100" t="s">
        <v>19</v>
      </c>
      <c r="G100" t="s">
        <v>26</v>
      </c>
      <c r="H100" t="s">
        <v>21</v>
      </c>
      <c r="I100" t="s">
        <v>22</v>
      </c>
      <c r="J100" t="s">
        <v>148</v>
      </c>
      <c r="K100" t="s">
        <v>23</v>
      </c>
      <c r="L100">
        <v>352</v>
      </c>
      <c r="M100">
        <v>14.0738412</v>
      </c>
      <c r="N100">
        <v>62.39895439545981</v>
      </c>
      <c r="O100">
        <v>1.9024297056399325E-2</v>
      </c>
      <c r="P100" s="1" t="str">
        <f>HYPERLINK(".\sm_car_250817_2235\sm_car_250817_2235_099_Ca145TrN_MaWOT_DrSt_ode23t_1.png","figure")</f>
        <v>figure</v>
      </c>
      <c r="Q100" t="s">
        <v>15</v>
      </c>
    </row>
    <row r="101" spans="1:17" x14ac:dyDescent="0.25">
      <c r="A101">
        <v>100</v>
      </c>
      <c r="B101">
        <v>145</v>
      </c>
      <c r="C101" t="s">
        <v>46</v>
      </c>
      <c r="D101" t="s">
        <v>17</v>
      </c>
      <c r="E101" t="s">
        <v>50</v>
      </c>
      <c r="F101" t="s">
        <v>19</v>
      </c>
      <c r="G101" t="s">
        <v>26</v>
      </c>
      <c r="H101" t="s">
        <v>21</v>
      </c>
      <c r="I101" t="s">
        <v>24</v>
      </c>
      <c r="J101" t="s">
        <v>148</v>
      </c>
      <c r="K101" t="s">
        <v>23</v>
      </c>
      <c r="L101">
        <v>446</v>
      </c>
      <c r="M101">
        <v>17.513208200000001</v>
      </c>
      <c r="N101">
        <v>24.926034666867814</v>
      </c>
      <c r="O101">
        <v>-4.910005416593187E-2</v>
      </c>
      <c r="P101" s="1" t="str">
        <f>HYPERLINK(".\sm_car_250817_2235\sm_car_250817_2235_100_Ca145TrN_MaLSS_DrSt_ode23t_1.png","figure")</f>
        <v>figure</v>
      </c>
      <c r="Q101" t="s">
        <v>15</v>
      </c>
    </row>
    <row r="102" spans="1:17" x14ac:dyDescent="0.25">
      <c r="A102">
        <v>101</v>
      </c>
      <c r="B102">
        <v>184</v>
      </c>
      <c r="C102" t="s">
        <v>105</v>
      </c>
      <c r="D102" t="s">
        <v>120</v>
      </c>
      <c r="E102" t="s">
        <v>49</v>
      </c>
      <c r="F102" t="s">
        <v>19</v>
      </c>
      <c r="G102" t="s">
        <v>20</v>
      </c>
      <c r="H102" t="s">
        <v>21</v>
      </c>
      <c r="I102" t="s">
        <v>22</v>
      </c>
      <c r="J102" t="s">
        <v>148</v>
      </c>
      <c r="K102" t="s">
        <v>23</v>
      </c>
      <c r="L102">
        <v>303</v>
      </c>
      <c r="M102">
        <v>17.544512099999999</v>
      </c>
      <c r="N102">
        <v>294.63379630214121</v>
      </c>
      <c r="O102">
        <v>1.8059886843932189E-4</v>
      </c>
      <c r="P102" s="1" t="str">
        <f>HYPERLINK(".\sm_car_250817_2235\sm_car_250817_2235_101_Ca184TrN_MaWOT_DrSt_ode23t_1.png","figure")</f>
        <v>figure</v>
      </c>
      <c r="Q102" t="s">
        <v>15</v>
      </c>
    </row>
    <row r="103" spans="1:17" x14ac:dyDescent="0.25">
      <c r="A103">
        <v>102</v>
      </c>
      <c r="B103">
        <v>184</v>
      </c>
      <c r="C103" t="s">
        <v>105</v>
      </c>
      <c r="D103" t="s">
        <v>120</v>
      </c>
      <c r="E103" t="s">
        <v>49</v>
      </c>
      <c r="F103" t="s">
        <v>19</v>
      </c>
      <c r="G103" t="s">
        <v>20</v>
      </c>
      <c r="H103" t="s">
        <v>21</v>
      </c>
      <c r="I103" t="s">
        <v>24</v>
      </c>
      <c r="J103" t="s">
        <v>148</v>
      </c>
      <c r="K103" t="s">
        <v>23</v>
      </c>
      <c r="L103">
        <v>477</v>
      </c>
      <c r="M103">
        <v>12.3541329</v>
      </c>
      <c r="N103">
        <v>103.55245800054142</v>
      </c>
      <c r="O103">
        <v>-0.21314779231165731</v>
      </c>
      <c r="P103" s="1" t="str">
        <f>HYPERLINK(".\sm_car_250817_2235\sm_car_250817_2235_102_Ca184TrN_MaLSS_DrSt_ode23t_1.png","figure")</f>
        <v>figure</v>
      </c>
      <c r="Q103" t="s">
        <v>15</v>
      </c>
    </row>
    <row r="104" spans="1:17" x14ac:dyDescent="0.25">
      <c r="A104">
        <v>103</v>
      </c>
      <c r="B104">
        <v>217</v>
      </c>
      <c r="C104" t="s">
        <v>45</v>
      </c>
      <c r="D104" t="s">
        <v>17</v>
      </c>
      <c r="E104" t="s">
        <v>107</v>
      </c>
      <c r="F104" t="s">
        <v>119</v>
      </c>
      <c r="G104" t="s">
        <v>26</v>
      </c>
      <c r="H104" t="s">
        <v>21</v>
      </c>
      <c r="I104" t="s">
        <v>22</v>
      </c>
      <c r="J104" t="s">
        <v>148</v>
      </c>
      <c r="K104" t="s">
        <v>23</v>
      </c>
      <c r="L104">
        <v>733</v>
      </c>
      <c r="M104">
        <v>32.985009699999999</v>
      </c>
      <c r="N104">
        <v>276.37912911038921</v>
      </c>
      <c r="O104">
        <v>0.74691483654217783</v>
      </c>
      <c r="P104" s="1" t="str">
        <f>HYPERLINK(".\sm_car_250817_2235\sm_car_250817_2235_103_Ca217TrN_MaWOT_DrSt_ode23t_1.png","figure")</f>
        <v>figure</v>
      </c>
      <c r="Q104" t="s">
        <v>15</v>
      </c>
    </row>
    <row r="105" spans="1:17" x14ac:dyDescent="0.25">
      <c r="A105">
        <v>104</v>
      </c>
      <c r="B105">
        <v>217</v>
      </c>
      <c r="C105" t="s">
        <v>45</v>
      </c>
      <c r="D105" t="s">
        <v>17</v>
      </c>
      <c r="E105" t="s">
        <v>107</v>
      </c>
      <c r="F105" t="s">
        <v>119</v>
      </c>
      <c r="G105" t="s">
        <v>26</v>
      </c>
      <c r="H105" t="s">
        <v>21</v>
      </c>
      <c r="I105" t="s">
        <v>24</v>
      </c>
      <c r="J105" t="s">
        <v>148</v>
      </c>
      <c r="K105" t="s">
        <v>23</v>
      </c>
      <c r="L105">
        <v>845</v>
      </c>
      <c r="M105">
        <v>35.690937699999999</v>
      </c>
      <c r="N105">
        <v>109.18610629294641</v>
      </c>
      <c r="O105">
        <v>-0.34156151463218348</v>
      </c>
      <c r="P105" s="1" t="str">
        <f>HYPERLINK(".\sm_car_250817_2235\sm_car_250817_2235_104_Ca217TrN_MaLSS_DrSt_ode23t_1.png","figure")</f>
        <v>figure</v>
      </c>
      <c r="Q105" t="s">
        <v>15</v>
      </c>
    </row>
    <row r="106" spans="1:17" x14ac:dyDescent="0.25">
      <c r="A106">
        <v>105</v>
      </c>
      <c r="B106">
        <v>12</v>
      </c>
      <c r="C106" t="s">
        <v>16</v>
      </c>
      <c r="D106" t="s">
        <v>17</v>
      </c>
      <c r="E106" t="s">
        <v>49</v>
      </c>
      <c r="F106" t="s">
        <v>28</v>
      </c>
      <c r="G106" t="s">
        <v>20</v>
      </c>
      <c r="H106" t="s">
        <v>21</v>
      </c>
      <c r="I106" t="s">
        <v>53</v>
      </c>
      <c r="J106" t="s">
        <v>148</v>
      </c>
      <c r="K106" t="s">
        <v>23</v>
      </c>
      <c r="L106">
        <v>861</v>
      </c>
      <c r="M106">
        <v>10.9720277</v>
      </c>
      <c r="N106">
        <v>255.26210606250055</v>
      </c>
      <c r="O106">
        <v>4.06542418477982E-2</v>
      </c>
      <c r="P106" s="1" t="str">
        <f>HYPERLINK(".\sm_car_250817_2235\sm_car_250817_2235_105_Ca012TrN_MaDLC_DrSt_ode23t_1.png","figure")</f>
        <v>figure</v>
      </c>
      <c r="Q106" t="s">
        <v>15</v>
      </c>
    </row>
    <row r="107" spans="1:17" x14ac:dyDescent="0.25">
      <c r="A107">
        <v>106</v>
      </c>
      <c r="B107">
        <v>12</v>
      </c>
      <c r="C107" t="s">
        <v>16</v>
      </c>
      <c r="D107" t="s">
        <v>17</v>
      </c>
      <c r="E107" t="s">
        <v>49</v>
      </c>
      <c r="F107" t="s">
        <v>28</v>
      </c>
      <c r="G107" t="s">
        <v>20</v>
      </c>
      <c r="H107" t="s">
        <v>21</v>
      </c>
      <c r="I107" t="s">
        <v>54</v>
      </c>
      <c r="J107" t="s">
        <v>148</v>
      </c>
      <c r="K107" t="s">
        <v>23</v>
      </c>
      <c r="L107">
        <v>902</v>
      </c>
      <c r="M107">
        <v>14.906285499999999</v>
      </c>
      <c r="N107">
        <v>74.40465403117858</v>
      </c>
      <c r="O107">
        <v>0.70185950080412518</v>
      </c>
      <c r="P107" s="1" t="str">
        <f>HYPERLINK(".\sm_car_250817_2235\sm_car_250817_2235_106_Ca012TrN_MaIPA_DrSt_ode23t_1.png","figure")</f>
        <v>figure</v>
      </c>
      <c r="Q107" t="s">
        <v>15</v>
      </c>
    </row>
    <row r="108" spans="1:17" x14ac:dyDescent="0.25">
      <c r="A108">
        <v>107</v>
      </c>
      <c r="B108">
        <v>142</v>
      </c>
      <c r="C108" t="s">
        <v>45</v>
      </c>
      <c r="D108" t="s">
        <v>17</v>
      </c>
      <c r="E108" t="s">
        <v>49</v>
      </c>
      <c r="F108" t="s">
        <v>28</v>
      </c>
      <c r="G108" t="s">
        <v>26</v>
      </c>
      <c r="H108" t="s">
        <v>21</v>
      </c>
      <c r="I108" t="s">
        <v>53</v>
      </c>
      <c r="J108" t="s">
        <v>148</v>
      </c>
      <c r="K108" t="s">
        <v>23</v>
      </c>
      <c r="L108">
        <v>970</v>
      </c>
      <c r="M108">
        <v>14.6255468</v>
      </c>
      <c r="N108">
        <v>253.42128570248548</v>
      </c>
      <c r="O108">
        <v>-8.1408582644826311E-3</v>
      </c>
      <c r="P108" s="1" t="str">
        <f>HYPERLINK(".\sm_car_250817_2235\sm_car_250817_2235_107_Ca142TrN_MaDLC_DrSt_ode23t_1.png","figure")</f>
        <v>figure</v>
      </c>
      <c r="Q108" t="s">
        <v>15</v>
      </c>
    </row>
    <row r="109" spans="1:17" x14ac:dyDescent="0.25">
      <c r="A109">
        <v>108</v>
      </c>
      <c r="B109">
        <v>142</v>
      </c>
      <c r="C109" t="s">
        <v>45</v>
      </c>
      <c r="D109" t="s">
        <v>17</v>
      </c>
      <c r="E109" t="s">
        <v>49</v>
      </c>
      <c r="F109" t="s">
        <v>28</v>
      </c>
      <c r="G109" t="s">
        <v>26</v>
      </c>
      <c r="H109" t="s">
        <v>21</v>
      </c>
      <c r="I109" t="s">
        <v>54</v>
      </c>
      <c r="J109" t="s">
        <v>148</v>
      </c>
      <c r="K109" t="s">
        <v>23</v>
      </c>
      <c r="L109">
        <v>1388</v>
      </c>
      <c r="M109">
        <v>35.183325199999999</v>
      </c>
      <c r="N109">
        <v>82.616479280157549</v>
      </c>
      <c r="O109">
        <v>0.64050167492685028</v>
      </c>
      <c r="P109" s="1" t="str">
        <f>HYPERLINK(".\sm_car_250817_2235\sm_car_250817_2235_108_Ca142TrN_MaIPA_DrSt_ode23t_1.png","figure")</f>
        <v>figure</v>
      </c>
      <c r="Q109" t="s">
        <v>15</v>
      </c>
    </row>
    <row r="110" spans="1:17" x14ac:dyDescent="0.25">
      <c r="A110">
        <v>109</v>
      </c>
      <c r="B110">
        <v>145</v>
      </c>
      <c r="C110" t="s">
        <v>46</v>
      </c>
      <c r="D110" t="s">
        <v>17</v>
      </c>
      <c r="E110" t="s">
        <v>50</v>
      </c>
      <c r="F110" t="s">
        <v>19</v>
      </c>
      <c r="G110" t="s">
        <v>26</v>
      </c>
      <c r="H110" t="s">
        <v>21</v>
      </c>
      <c r="I110" t="s">
        <v>53</v>
      </c>
      <c r="J110" t="s">
        <v>148</v>
      </c>
      <c r="K110" t="s">
        <v>23</v>
      </c>
      <c r="L110">
        <v>464</v>
      </c>
      <c r="M110">
        <v>17.001958599999998</v>
      </c>
      <c r="N110">
        <v>255.28779016135792</v>
      </c>
      <c r="O110">
        <v>6.8415375574617521E-2</v>
      </c>
      <c r="P110" s="1" t="str">
        <f>HYPERLINK(".\sm_car_250817_2235\sm_car_250817_2235_109_Ca145TrN_MaDLC_DrSt_ode23t_1.png","figure")</f>
        <v>figure</v>
      </c>
      <c r="Q110" t="s">
        <v>15</v>
      </c>
    </row>
    <row r="111" spans="1:17" x14ac:dyDescent="0.25">
      <c r="A111">
        <v>110</v>
      </c>
      <c r="B111">
        <v>145</v>
      </c>
      <c r="C111" t="s">
        <v>46</v>
      </c>
      <c r="D111" t="s">
        <v>17</v>
      </c>
      <c r="E111" t="s">
        <v>50</v>
      </c>
      <c r="F111" t="s">
        <v>19</v>
      </c>
      <c r="G111" t="s">
        <v>26</v>
      </c>
      <c r="H111" t="s">
        <v>21</v>
      </c>
      <c r="I111" t="s">
        <v>54</v>
      </c>
      <c r="J111" t="s">
        <v>148</v>
      </c>
      <c r="K111" t="s">
        <v>23</v>
      </c>
      <c r="L111">
        <v>324</v>
      </c>
      <c r="M111">
        <v>12.2219599</v>
      </c>
      <c r="N111">
        <v>27.998537058085546</v>
      </c>
      <c r="O111">
        <v>1.570866703714317E-2</v>
      </c>
      <c r="P111" s="1" t="str">
        <f>HYPERLINK(".\sm_car_250817_2235\sm_car_250817_2235_110_Ca145TrN_MaIPA_DrSt_ode23t_1.png","figure")</f>
        <v>figure</v>
      </c>
      <c r="Q111" t="s">
        <v>15</v>
      </c>
    </row>
    <row r="112" spans="1:17" x14ac:dyDescent="0.25">
      <c r="A112">
        <v>111</v>
      </c>
      <c r="B112">
        <v>184</v>
      </c>
      <c r="C112" t="s">
        <v>105</v>
      </c>
      <c r="D112" t="s">
        <v>120</v>
      </c>
      <c r="E112" t="s">
        <v>49</v>
      </c>
      <c r="F112" t="s">
        <v>19</v>
      </c>
      <c r="G112" t="s">
        <v>20</v>
      </c>
      <c r="H112" t="s">
        <v>21</v>
      </c>
      <c r="I112" t="s">
        <v>53</v>
      </c>
      <c r="J112" t="s">
        <v>148</v>
      </c>
      <c r="K112" t="s">
        <v>23</v>
      </c>
      <c r="L112">
        <v>383</v>
      </c>
      <c r="M112">
        <v>10.9623363</v>
      </c>
      <c r="N112">
        <v>257.35722780816474</v>
      </c>
      <c r="O112">
        <v>7.7606557530609521E-3</v>
      </c>
      <c r="P112" s="1" t="str">
        <f>HYPERLINK(".\sm_car_250817_2235\sm_car_250817_2235_111_Ca184TrN_MaDLC_DrSt_ode23t_1.png","figure")</f>
        <v>figure</v>
      </c>
      <c r="Q112" t="s">
        <v>15</v>
      </c>
    </row>
    <row r="113" spans="1:17" x14ac:dyDescent="0.25">
      <c r="A113">
        <v>112</v>
      </c>
      <c r="B113">
        <v>184</v>
      </c>
      <c r="C113" t="s">
        <v>105</v>
      </c>
      <c r="D113" t="s">
        <v>120</v>
      </c>
      <c r="E113" t="s">
        <v>49</v>
      </c>
      <c r="F113" t="s">
        <v>19</v>
      </c>
      <c r="G113" t="s">
        <v>20</v>
      </c>
      <c r="H113" t="s">
        <v>21</v>
      </c>
      <c r="I113" t="s">
        <v>54</v>
      </c>
      <c r="J113" t="s">
        <v>148</v>
      </c>
      <c r="K113" t="s">
        <v>23</v>
      </c>
      <c r="L113">
        <v>323</v>
      </c>
      <c r="M113">
        <v>12.629231499999999</v>
      </c>
      <c r="N113">
        <v>55.268292264342122</v>
      </c>
      <c r="O113">
        <v>5.6701607031800164E-3</v>
      </c>
      <c r="P113" s="1" t="str">
        <f>HYPERLINK(".\sm_car_250817_2235\sm_car_250817_2235_112_Ca184TrN_MaIPA_DrSt_ode23t_1.png","figure")</f>
        <v>figure</v>
      </c>
      <c r="Q113" t="s">
        <v>15</v>
      </c>
    </row>
    <row r="114" spans="1:17" x14ac:dyDescent="0.25">
      <c r="A114">
        <v>113</v>
      </c>
      <c r="B114">
        <v>204</v>
      </c>
      <c r="C114" t="s">
        <v>105</v>
      </c>
      <c r="D114" t="s">
        <v>106</v>
      </c>
      <c r="E114" t="s">
        <v>18</v>
      </c>
      <c r="F114" t="s">
        <v>19</v>
      </c>
      <c r="G114" t="s">
        <v>20</v>
      </c>
      <c r="H114" t="s">
        <v>21</v>
      </c>
      <c r="I114" t="s">
        <v>53</v>
      </c>
      <c r="J114" t="s">
        <v>148</v>
      </c>
      <c r="K114" t="s">
        <v>23</v>
      </c>
      <c r="L114">
        <v>1846</v>
      </c>
      <c r="M114">
        <v>25.574309599999999</v>
      </c>
      <c r="N114">
        <v>254.66277026108662</v>
      </c>
      <c r="O114">
        <v>1.8069888375600307E-2</v>
      </c>
      <c r="P114" s="1" t="str">
        <f>HYPERLINK(".\sm_car_250817_2235\sm_car_250817_2235_113_Ca204TrN_MaDLC_DrSt_ode23t_1.png","figure")</f>
        <v>figure</v>
      </c>
      <c r="Q114" t="s">
        <v>15</v>
      </c>
    </row>
    <row r="115" spans="1:17" x14ac:dyDescent="0.25">
      <c r="A115">
        <v>114</v>
      </c>
      <c r="B115">
        <v>204</v>
      </c>
      <c r="C115" t="s">
        <v>105</v>
      </c>
      <c r="D115" t="s">
        <v>106</v>
      </c>
      <c r="E115" t="s">
        <v>18</v>
      </c>
      <c r="F115" t="s">
        <v>19</v>
      </c>
      <c r="G115" t="s">
        <v>20</v>
      </c>
      <c r="H115" t="s">
        <v>21</v>
      </c>
      <c r="I115" t="s">
        <v>54</v>
      </c>
      <c r="J115" t="s">
        <v>148</v>
      </c>
      <c r="K115" t="s">
        <v>23</v>
      </c>
      <c r="L115">
        <v>663</v>
      </c>
      <c r="M115">
        <v>11.243366999999999</v>
      </c>
      <c r="N115">
        <v>26.034582908336471</v>
      </c>
      <c r="O115">
        <v>9.6641497332310318E-3</v>
      </c>
      <c r="P115" s="1" t="str">
        <f>HYPERLINK(".\sm_car_250817_2235\sm_car_250817_2235_114_Ca204TrN_MaIPA_DrSt_ode23t_1.png","figure")</f>
        <v>figure</v>
      </c>
      <c r="Q115" t="s">
        <v>15</v>
      </c>
    </row>
    <row r="116" spans="1:17" x14ac:dyDescent="0.25">
      <c r="A116">
        <v>115</v>
      </c>
      <c r="B116">
        <v>12</v>
      </c>
      <c r="C116" t="s">
        <v>16</v>
      </c>
      <c r="D116" t="s">
        <v>17</v>
      </c>
      <c r="E116" t="s">
        <v>49</v>
      </c>
      <c r="F116" t="s">
        <v>28</v>
      </c>
      <c r="G116" t="s">
        <v>20</v>
      </c>
      <c r="H116" t="s">
        <v>21</v>
      </c>
      <c r="I116" t="s">
        <v>55</v>
      </c>
      <c r="J116" t="s">
        <v>148</v>
      </c>
      <c r="K116" t="s">
        <v>23</v>
      </c>
      <c r="L116">
        <v>2585</v>
      </c>
      <c r="M116">
        <v>24.5918499</v>
      </c>
      <c r="N116">
        <v>-2.0629093586502431E-2</v>
      </c>
      <c r="O116">
        <v>-0.64593465569900743</v>
      </c>
      <c r="P116" s="1" t="str">
        <f>HYPERLINK(".\sm_car_250817_2235\sm_car_250817_2235_115_Ca012TrN_MaMPK_DrSt_ode23t_1.png","figure")</f>
        <v>figure</v>
      </c>
      <c r="Q116" t="s">
        <v>15</v>
      </c>
    </row>
    <row r="117" spans="1:17" x14ac:dyDescent="0.25">
      <c r="A117">
        <v>116</v>
      </c>
      <c r="B117">
        <v>12</v>
      </c>
      <c r="C117" t="s">
        <v>16</v>
      </c>
      <c r="D117" t="s">
        <v>17</v>
      </c>
      <c r="E117" t="s">
        <v>49</v>
      </c>
      <c r="F117" t="s">
        <v>28</v>
      </c>
      <c r="G117" t="s">
        <v>20</v>
      </c>
      <c r="H117" t="s">
        <v>21</v>
      </c>
      <c r="I117" t="s">
        <v>55</v>
      </c>
      <c r="J117" t="s">
        <v>149</v>
      </c>
      <c r="K117" t="s">
        <v>23</v>
      </c>
      <c r="L117">
        <v>2382</v>
      </c>
      <c r="M117">
        <v>23.218781</v>
      </c>
      <c r="N117">
        <v>-8.757132298674461E-3</v>
      </c>
      <c r="O117">
        <v>-3.7756162313556704E-2</v>
      </c>
      <c r="P117" s="1" t="str">
        <f>HYPERLINK(".\sm_car_250817_2235\sm_car_250817_2235_116_Ca012TrN_MaMPK_DrSt_ode23t_1.png","figure")</f>
        <v>figure</v>
      </c>
      <c r="Q117" t="s">
        <v>15</v>
      </c>
    </row>
    <row r="118" spans="1:17" x14ac:dyDescent="0.25">
      <c r="A118">
        <v>117</v>
      </c>
      <c r="B118">
        <v>12</v>
      </c>
      <c r="C118" t="s">
        <v>16</v>
      </c>
      <c r="D118" t="s">
        <v>17</v>
      </c>
      <c r="E118" t="s">
        <v>49</v>
      </c>
      <c r="F118" t="s">
        <v>28</v>
      </c>
      <c r="G118" t="s">
        <v>20</v>
      </c>
      <c r="H118" t="s">
        <v>21</v>
      </c>
      <c r="I118" t="s">
        <v>56</v>
      </c>
      <c r="J118" t="s">
        <v>148</v>
      </c>
      <c r="K118" t="s">
        <v>23</v>
      </c>
      <c r="L118">
        <v>2425</v>
      </c>
      <c r="M118">
        <v>25.6769386</v>
      </c>
      <c r="N118">
        <v>0.78942604956534623</v>
      </c>
      <c r="O118">
        <v>-0.33091525642731834</v>
      </c>
      <c r="P118" s="1" t="str">
        <f>HYPERLINK(".\sm_car_250817_2235\sm_car_250817_2235_117_Ca012TrN_MaMPC_DrSt_ode23t_1.png","figure")</f>
        <v>figure</v>
      </c>
      <c r="Q118" t="s">
        <v>15</v>
      </c>
    </row>
    <row r="119" spans="1:17" x14ac:dyDescent="0.25">
      <c r="A119">
        <v>118</v>
      </c>
      <c r="B119">
        <v>12</v>
      </c>
      <c r="C119" t="s">
        <v>16</v>
      </c>
      <c r="D119" t="s">
        <v>17</v>
      </c>
      <c r="E119" t="s">
        <v>49</v>
      </c>
      <c r="F119" t="s">
        <v>28</v>
      </c>
      <c r="G119" t="s">
        <v>20</v>
      </c>
      <c r="H119" t="s">
        <v>21</v>
      </c>
      <c r="I119" t="s">
        <v>56</v>
      </c>
      <c r="J119" t="s">
        <v>149</v>
      </c>
      <c r="K119" t="s">
        <v>23</v>
      </c>
      <c r="L119">
        <v>2262</v>
      </c>
      <c r="M119">
        <v>23.475146200000001</v>
      </c>
      <c r="N119">
        <v>0.78567685266048137</v>
      </c>
      <c r="O119">
        <v>0.10504751602754532</v>
      </c>
      <c r="P119" s="1" t="str">
        <f>HYPERLINK(".\sm_car_250817_2235\sm_car_250817_2235_118_Ca012TrN_MaMPC_DrSt_ode23t_1.png","figure")</f>
        <v>figure</v>
      </c>
      <c r="Q119" t="s">
        <v>15</v>
      </c>
    </row>
    <row r="120" spans="1:17" x14ac:dyDescent="0.25">
      <c r="A120">
        <v>119</v>
      </c>
      <c r="B120">
        <v>142</v>
      </c>
      <c r="C120" t="s">
        <v>45</v>
      </c>
      <c r="D120" t="s">
        <v>17</v>
      </c>
      <c r="E120" t="s">
        <v>49</v>
      </c>
      <c r="F120" t="s">
        <v>28</v>
      </c>
      <c r="G120" t="s">
        <v>26</v>
      </c>
      <c r="H120" t="s">
        <v>21</v>
      </c>
      <c r="I120" t="s">
        <v>55</v>
      </c>
      <c r="J120" t="s">
        <v>148</v>
      </c>
      <c r="K120" t="s">
        <v>23</v>
      </c>
      <c r="L120">
        <v>2562</v>
      </c>
      <c r="M120">
        <v>35.780529700000002</v>
      </c>
      <c r="N120">
        <v>-1.8301911166020049E-2</v>
      </c>
      <c r="O120">
        <v>-0.55839408005308599</v>
      </c>
      <c r="P120" s="1" t="str">
        <f>HYPERLINK(".\sm_car_250817_2235\sm_car_250817_2235_119_Ca142TrN_MaMPK_DrSt_ode23t_1.png","figure")</f>
        <v>figure</v>
      </c>
      <c r="Q120" t="s">
        <v>15</v>
      </c>
    </row>
    <row r="121" spans="1:17" x14ac:dyDescent="0.25">
      <c r="A121">
        <v>120</v>
      </c>
      <c r="B121">
        <v>142</v>
      </c>
      <c r="C121" t="s">
        <v>45</v>
      </c>
      <c r="D121" t="s">
        <v>17</v>
      </c>
      <c r="E121" t="s">
        <v>49</v>
      </c>
      <c r="F121" t="s">
        <v>28</v>
      </c>
      <c r="G121" t="s">
        <v>26</v>
      </c>
      <c r="H121" t="s">
        <v>21</v>
      </c>
      <c r="I121" t="s">
        <v>55</v>
      </c>
      <c r="J121" t="s">
        <v>149</v>
      </c>
      <c r="K121" t="s">
        <v>23</v>
      </c>
      <c r="L121">
        <v>2901</v>
      </c>
      <c r="M121">
        <v>32.0986993</v>
      </c>
      <c r="N121">
        <v>-9.5603995244922108E-3</v>
      </c>
      <c r="O121">
        <v>-8.1048877363267893E-2</v>
      </c>
      <c r="P121" s="1" t="str">
        <f>HYPERLINK(".\sm_car_250817_2235\sm_car_250817_2235_120_Ca142TrN_MaMPK_DrSt_ode23t_1.png","figure")</f>
        <v>figure</v>
      </c>
      <c r="Q121" t="s">
        <v>15</v>
      </c>
    </row>
    <row r="122" spans="1:17" x14ac:dyDescent="0.25">
      <c r="A122">
        <v>121</v>
      </c>
      <c r="B122">
        <v>142</v>
      </c>
      <c r="C122" t="s">
        <v>45</v>
      </c>
      <c r="D122" t="s">
        <v>17</v>
      </c>
      <c r="E122" t="s">
        <v>49</v>
      </c>
      <c r="F122" t="s">
        <v>28</v>
      </c>
      <c r="G122" t="s">
        <v>26</v>
      </c>
      <c r="H122" t="s">
        <v>21</v>
      </c>
      <c r="I122" t="s">
        <v>56</v>
      </c>
      <c r="J122" t="s">
        <v>148</v>
      </c>
      <c r="K122" t="s">
        <v>23</v>
      </c>
      <c r="L122">
        <v>2393</v>
      </c>
      <c r="M122">
        <v>32.989296500000002</v>
      </c>
      <c r="N122">
        <v>0.78854062153109439</v>
      </c>
      <c r="O122">
        <v>-0.37172151710115869</v>
      </c>
      <c r="P122" s="1" t="str">
        <f>HYPERLINK(".\sm_car_250817_2235\sm_car_250817_2235_121_Ca142TrN_MaMPC_DrSt_ode23t_1.png","figure")</f>
        <v>figure</v>
      </c>
      <c r="Q122" t="s">
        <v>15</v>
      </c>
    </row>
    <row r="123" spans="1:17" x14ac:dyDescent="0.25">
      <c r="A123">
        <v>122</v>
      </c>
      <c r="B123">
        <v>142</v>
      </c>
      <c r="C123" t="s">
        <v>45</v>
      </c>
      <c r="D123" t="s">
        <v>17</v>
      </c>
      <c r="E123" t="s">
        <v>49</v>
      </c>
      <c r="F123" t="s">
        <v>28</v>
      </c>
      <c r="G123" t="s">
        <v>26</v>
      </c>
      <c r="H123" t="s">
        <v>21</v>
      </c>
      <c r="I123" t="s">
        <v>56</v>
      </c>
      <c r="J123" t="s">
        <v>149</v>
      </c>
      <c r="K123" t="s">
        <v>23</v>
      </c>
      <c r="L123">
        <v>-1</v>
      </c>
      <c r="M123">
        <v>21.912479000000001</v>
      </c>
      <c r="N123">
        <v>0</v>
      </c>
      <c r="O123">
        <v>0</v>
      </c>
      <c r="P123" t="s">
        <v>154</v>
      </c>
      <c r="Q123" t="s">
        <v>155</v>
      </c>
    </row>
    <row r="124" spans="1:17" x14ac:dyDescent="0.25">
      <c r="A124">
        <v>123</v>
      </c>
      <c r="B124">
        <v>116</v>
      </c>
      <c r="C124" t="s">
        <v>16</v>
      </c>
      <c r="D124" t="s">
        <v>35</v>
      </c>
      <c r="E124" t="s">
        <v>18</v>
      </c>
      <c r="F124" t="s">
        <v>28</v>
      </c>
      <c r="G124" t="s">
        <v>20</v>
      </c>
      <c r="H124" t="s">
        <v>21</v>
      </c>
      <c r="I124" t="s">
        <v>55</v>
      </c>
      <c r="J124" t="s">
        <v>148</v>
      </c>
      <c r="K124" t="s">
        <v>23</v>
      </c>
      <c r="L124">
        <v>2864</v>
      </c>
      <c r="M124">
        <v>14.612779400000001</v>
      </c>
      <c r="N124">
        <v>-1.7414599569133979E-2</v>
      </c>
      <c r="O124">
        <v>-0.54245933815137337</v>
      </c>
      <c r="P124" s="1" t="str">
        <f>HYPERLINK(".\sm_car_250817_2235\sm_car_250817_2235_123_Ca116TrN_MaMPK_DrSt_ode23t_1.png","figure")</f>
        <v>figure</v>
      </c>
      <c r="Q124" t="s">
        <v>15</v>
      </c>
    </row>
    <row r="125" spans="1:17" x14ac:dyDescent="0.25">
      <c r="A125">
        <v>124</v>
      </c>
      <c r="B125">
        <v>116</v>
      </c>
      <c r="C125" t="s">
        <v>16</v>
      </c>
      <c r="D125" t="s">
        <v>35</v>
      </c>
      <c r="E125" t="s">
        <v>18</v>
      </c>
      <c r="F125" t="s">
        <v>28</v>
      </c>
      <c r="G125" t="s">
        <v>20</v>
      </c>
      <c r="H125" t="s">
        <v>21</v>
      </c>
      <c r="I125" t="s">
        <v>55</v>
      </c>
      <c r="J125" t="s">
        <v>149</v>
      </c>
      <c r="K125" t="s">
        <v>23</v>
      </c>
      <c r="L125">
        <v>2783</v>
      </c>
      <c r="M125">
        <v>14.058935200000001</v>
      </c>
      <c r="N125">
        <v>-1.8397055124210179E-2</v>
      </c>
      <c r="O125">
        <v>-0.53558486049605125</v>
      </c>
      <c r="P125" s="1" t="str">
        <f>HYPERLINK(".\sm_car_250817_2235\sm_car_250817_2235_124_Ca116TrN_MaMPK_DrSt_ode23t_1.png","figure")</f>
        <v>figure</v>
      </c>
      <c r="Q125" t="s">
        <v>15</v>
      </c>
    </row>
    <row r="126" spans="1:17" x14ac:dyDescent="0.25">
      <c r="A126">
        <v>125</v>
      </c>
      <c r="B126">
        <v>116</v>
      </c>
      <c r="C126" t="s">
        <v>16</v>
      </c>
      <c r="D126" t="s">
        <v>35</v>
      </c>
      <c r="E126" t="s">
        <v>18</v>
      </c>
      <c r="F126" t="s">
        <v>28</v>
      </c>
      <c r="G126" t="s">
        <v>20</v>
      </c>
      <c r="H126" t="s">
        <v>21</v>
      </c>
      <c r="I126" t="s">
        <v>56</v>
      </c>
      <c r="J126" t="s">
        <v>148</v>
      </c>
      <c r="K126" t="s">
        <v>23</v>
      </c>
      <c r="L126">
        <v>2768</v>
      </c>
      <c r="M126">
        <v>14.3456279</v>
      </c>
      <c r="N126">
        <v>0.78798839429490464</v>
      </c>
      <c r="O126">
        <v>-0.36276275941761932</v>
      </c>
      <c r="P126" s="1" t="str">
        <f>HYPERLINK(".\sm_car_250817_2235\sm_car_250817_2235_125_Ca116TrN_MaMPC_DrSt_ode23t_1.png","figure")</f>
        <v>figure</v>
      </c>
      <c r="Q126" t="s">
        <v>15</v>
      </c>
    </row>
    <row r="127" spans="1:17" x14ac:dyDescent="0.25">
      <c r="A127">
        <v>126</v>
      </c>
      <c r="B127">
        <v>116</v>
      </c>
      <c r="C127" t="s">
        <v>16</v>
      </c>
      <c r="D127" t="s">
        <v>35</v>
      </c>
      <c r="E127" t="s">
        <v>18</v>
      </c>
      <c r="F127" t="s">
        <v>28</v>
      </c>
      <c r="G127" t="s">
        <v>20</v>
      </c>
      <c r="H127" t="s">
        <v>21</v>
      </c>
      <c r="I127" t="s">
        <v>56</v>
      </c>
      <c r="J127" t="s">
        <v>149</v>
      </c>
      <c r="K127" t="s">
        <v>23</v>
      </c>
      <c r="L127">
        <v>2639</v>
      </c>
      <c r="M127">
        <v>13.620899</v>
      </c>
      <c r="N127">
        <v>0.78924363933189667</v>
      </c>
      <c r="O127">
        <v>0.44067295820595781</v>
      </c>
      <c r="P127" s="1" t="str">
        <f>HYPERLINK(".\sm_car_250817_2235\sm_car_250817_2235_126_Ca116TrN_MaMPC_DrSt_ode23t_1.png","figure")</f>
        <v>figure</v>
      </c>
      <c r="Q127" t="s">
        <v>15</v>
      </c>
    </row>
    <row r="128" spans="1:17" x14ac:dyDescent="0.25">
      <c r="A128">
        <v>127</v>
      </c>
      <c r="B128">
        <v>143</v>
      </c>
      <c r="C128" t="s">
        <v>46</v>
      </c>
      <c r="D128" t="s">
        <v>17</v>
      </c>
      <c r="E128" t="s">
        <v>47</v>
      </c>
      <c r="F128" t="s">
        <v>19</v>
      </c>
      <c r="G128" t="s">
        <v>26</v>
      </c>
      <c r="H128" t="s">
        <v>21</v>
      </c>
      <c r="I128" t="s">
        <v>55</v>
      </c>
      <c r="J128" t="s">
        <v>148</v>
      </c>
      <c r="K128" t="s">
        <v>23</v>
      </c>
      <c r="L128">
        <v>2474</v>
      </c>
      <c r="M128">
        <v>49.767448600000002</v>
      </c>
      <c r="N128">
        <v>-1.7232913288221685E-2</v>
      </c>
      <c r="O128">
        <v>-0.40370609761196213</v>
      </c>
      <c r="P128" s="1" t="str">
        <f>HYPERLINK(".\sm_car_250817_2235\sm_car_250817_2235_127_Ca143TrN_MaMPK_DrSt_ode23t_1.png","figure")</f>
        <v>figure</v>
      </c>
      <c r="Q128" t="s">
        <v>15</v>
      </c>
    </row>
    <row r="129" spans="1:17" x14ac:dyDescent="0.25">
      <c r="A129">
        <v>128</v>
      </c>
      <c r="B129">
        <v>143</v>
      </c>
      <c r="C129" t="s">
        <v>46</v>
      </c>
      <c r="D129" t="s">
        <v>17</v>
      </c>
      <c r="E129" t="s">
        <v>47</v>
      </c>
      <c r="F129" t="s">
        <v>19</v>
      </c>
      <c r="G129" t="s">
        <v>26</v>
      </c>
      <c r="H129" t="s">
        <v>21</v>
      </c>
      <c r="I129" t="s">
        <v>55</v>
      </c>
      <c r="J129" t="s">
        <v>149</v>
      </c>
      <c r="K129" t="s">
        <v>23</v>
      </c>
      <c r="L129">
        <v>2213</v>
      </c>
      <c r="M129">
        <v>42.165682099999998</v>
      </c>
      <c r="N129">
        <v>-1.0456680420459538E-2</v>
      </c>
      <c r="O129">
        <v>-8.9734616205116566E-2</v>
      </c>
      <c r="P129" s="1" t="str">
        <f>HYPERLINK(".\sm_car_250817_2235\sm_car_250817_2235_128_Ca143TrN_MaMPK_DrSt_ode23t_1.png","figure")</f>
        <v>figure</v>
      </c>
      <c r="Q129" t="s">
        <v>15</v>
      </c>
    </row>
    <row r="130" spans="1:17" x14ac:dyDescent="0.25">
      <c r="A130">
        <v>129</v>
      </c>
      <c r="B130">
        <v>143</v>
      </c>
      <c r="C130" t="s">
        <v>46</v>
      </c>
      <c r="D130" t="s">
        <v>17</v>
      </c>
      <c r="E130" t="s">
        <v>47</v>
      </c>
      <c r="F130" t="s">
        <v>19</v>
      </c>
      <c r="G130" t="s">
        <v>26</v>
      </c>
      <c r="H130" t="s">
        <v>21</v>
      </c>
      <c r="I130" t="s">
        <v>56</v>
      </c>
      <c r="J130" t="s">
        <v>148</v>
      </c>
      <c r="K130" t="s">
        <v>23</v>
      </c>
      <c r="L130">
        <v>2363</v>
      </c>
      <c r="M130">
        <v>50.7754507</v>
      </c>
      <c r="N130">
        <v>0.78847781581590404</v>
      </c>
      <c r="O130">
        <v>-0.27201963163576759</v>
      </c>
      <c r="P130" s="1" t="str">
        <f>HYPERLINK(".\sm_car_250817_2235\sm_car_250817_2235_129_Ca143TrN_MaMPC_DrSt_ode23t_1.png","figure")</f>
        <v>figure</v>
      </c>
      <c r="Q130" t="s">
        <v>15</v>
      </c>
    </row>
    <row r="131" spans="1:17" x14ac:dyDescent="0.25">
      <c r="A131">
        <v>130</v>
      </c>
      <c r="B131">
        <v>143</v>
      </c>
      <c r="C131" t="s">
        <v>46</v>
      </c>
      <c r="D131" t="s">
        <v>17</v>
      </c>
      <c r="E131" t="s">
        <v>47</v>
      </c>
      <c r="F131" t="s">
        <v>19</v>
      </c>
      <c r="G131" t="s">
        <v>26</v>
      </c>
      <c r="H131" t="s">
        <v>21</v>
      </c>
      <c r="I131" t="s">
        <v>56</v>
      </c>
      <c r="J131" t="s">
        <v>149</v>
      </c>
      <c r="K131" t="s">
        <v>23</v>
      </c>
      <c r="L131">
        <v>2131</v>
      </c>
      <c r="M131">
        <v>45.530751000000002</v>
      </c>
      <c r="N131">
        <v>0.78600248733707723</v>
      </c>
      <c r="O131">
        <v>-0.15682852274492198</v>
      </c>
      <c r="P131" s="1" t="str">
        <f>HYPERLINK(".\sm_car_250817_2235\sm_car_250817_2235_130_Ca143TrN_MaMPC_DrSt_ode23t_1.png","figure")</f>
        <v>figure</v>
      </c>
      <c r="Q131" t="s">
        <v>15</v>
      </c>
    </row>
    <row r="132" spans="1:17" x14ac:dyDescent="0.25">
      <c r="A132">
        <v>131</v>
      </c>
      <c r="B132">
        <v>166</v>
      </c>
      <c r="C132" t="s">
        <v>45</v>
      </c>
      <c r="D132" t="s">
        <v>57</v>
      </c>
      <c r="E132" t="s">
        <v>18</v>
      </c>
      <c r="F132" t="s">
        <v>19</v>
      </c>
      <c r="G132" t="s">
        <v>26</v>
      </c>
      <c r="H132" t="s">
        <v>21</v>
      </c>
      <c r="I132" t="s">
        <v>55</v>
      </c>
      <c r="J132" t="s">
        <v>148</v>
      </c>
      <c r="K132" t="s">
        <v>23</v>
      </c>
      <c r="L132">
        <v>3190</v>
      </c>
      <c r="M132">
        <v>56.099806899999997</v>
      </c>
      <c r="N132">
        <v>-2.0138645154803944E-2</v>
      </c>
      <c r="O132">
        <v>-0.572619277459402</v>
      </c>
      <c r="P132" s="1" t="str">
        <f>HYPERLINK(".\sm_car_250817_2235\sm_car_250817_2235_131_Ca166TrN_MaMPK_DrSt_ode23t_1.png","figure")</f>
        <v>figure</v>
      </c>
      <c r="Q132" t="s">
        <v>15</v>
      </c>
    </row>
    <row r="133" spans="1:17" x14ac:dyDescent="0.25">
      <c r="A133">
        <v>132</v>
      </c>
      <c r="B133">
        <v>166</v>
      </c>
      <c r="C133" t="s">
        <v>45</v>
      </c>
      <c r="D133" t="s">
        <v>57</v>
      </c>
      <c r="E133" t="s">
        <v>18</v>
      </c>
      <c r="F133" t="s">
        <v>19</v>
      </c>
      <c r="G133" t="s">
        <v>26</v>
      </c>
      <c r="H133" t="s">
        <v>21</v>
      </c>
      <c r="I133" t="s">
        <v>55</v>
      </c>
      <c r="J133" t="s">
        <v>149</v>
      </c>
      <c r="K133" t="s">
        <v>23</v>
      </c>
      <c r="L133">
        <v>3730</v>
      </c>
      <c r="M133">
        <v>56.975210599999997</v>
      </c>
      <c r="N133">
        <v>-3.0680183597010524E-3</v>
      </c>
      <c r="O133">
        <v>-8.4684104572279734E-2</v>
      </c>
      <c r="P133" s="1" t="str">
        <f>HYPERLINK(".\sm_car_250817_2235\sm_car_250817_2235_132_Ca166TrN_MaMPK_DrSt_ode23t_1.png","figure")</f>
        <v>figure</v>
      </c>
      <c r="Q133" t="s">
        <v>15</v>
      </c>
    </row>
    <row r="134" spans="1:17" x14ac:dyDescent="0.25">
      <c r="A134">
        <v>133</v>
      </c>
      <c r="B134">
        <v>166</v>
      </c>
      <c r="C134" t="s">
        <v>45</v>
      </c>
      <c r="D134" t="s">
        <v>57</v>
      </c>
      <c r="E134" t="s">
        <v>18</v>
      </c>
      <c r="F134" t="s">
        <v>19</v>
      </c>
      <c r="G134" t="s">
        <v>26</v>
      </c>
      <c r="H134" t="s">
        <v>21</v>
      </c>
      <c r="I134" t="s">
        <v>56</v>
      </c>
      <c r="J134" t="s">
        <v>148</v>
      </c>
      <c r="K134" t="s">
        <v>23</v>
      </c>
      <c r="L134">
        <v>3041</v>
      </c>
      <c r="M134">
        <v>51.829774100000002</v>
      </c>
      <c r="N134">
        <v>0.78862985277816122</v>
      </c>
      <c r="O134">
        <v>-0.36188664093876127</v>
      </c>
      <c r="P134" s="1" t="str">
        <f>HYPERLINK(".\sm_car_250817_2235\sm_car_250817_2235_133_Ca166TrN_MaMPC_DrSt_ode23t_1.png","figure")</f>
        <v>figure</v>
      </c>
      <c r="Q134" t="s">
        <v>15</v>
      </c>
    </row>
    <row r="135" spans="1:17" x14ac:dyDescent="0.25">
      <c r="A135">
        <v>134</v>
      </c>
      <c r="B135">
        <v>166</v>
      </c>
      <c r="C135" t="s">
        <v>45</v>
      </c>
      <c r="D135" t="s">
        <v>57</v>
      </c>
      <c r="E135" t="s">
        <v>18</v>
      </c>
      <c r="F135" t="s">
        <v>19</v>
      </c>
      <c r="G135" t="s">
        <v>26</v>
      </c>
      <c r="H135" t="s">
        <v>21</v>
      </c>
      <c r="I135" t="s">
        <v>56</v>
      </c>
      <c r="J135" t="s">
        <v>149</v>
      </c>
      <c r="K135" t="s">
        <v>23</v>
      </c>
      <c r="L135">
        <v>3463</v>
      </c>
      <c r="M135">
        <v>55.3043002</v>
      </c>
      <c r="N135">
        <v>0.78885822797312422</v>
      </c>
      <c r="O135">
        <v>2.5845166626924321E-2</v>
      </c>
      <c r="P135" s="1" t="str">
        <f>HYPERLINK(".\sm_car_250817_2235\sm_car_250817_2235_134_Ca166TrN_MaMPC_DrSt_ode23t_1.png","figure")</f>
        <v>figure</v>
      </c>
      <c r="Q135" t="s">
        <v>15</v>
      </c>
    </row>
    <row r="136" spans="1:17" x14ac:dyDescent="0.25">
      <c r="A136">
        <v>135</v>
      </c>
      <c r="B136">
        <v>169</v>
      </c>
      <c r="C136" t="s">
        <v>45</v>
      </c>
      <c r="D136" t="s">
        <v>58</v>
      </c>
      <c r="E136" t="s">
        <v>49</v>
      </c>
      <c r="F136" t="s">
        <v>19</v>
      </c>
      <c r="G136" t="s">
        <v>26</v>
      </c>
      <c r="H136" t="s">
        <v>21</v>
      </c>
      <c r="I136" t="s">
        <v>55</v>
      </c>
      <c r="J136" t="s">
        <v>148</v>
      </c>
      <c r="K136" t="s">
        <v>23</v>
      </c>
      <c r="L136">
        <v>3286</v>
      </c>
      <c r="M136">
        <v>48.651226999999999</v>
      </c>
      <c r="N136">
        <v>2.1353693294457424E-2</v>
      </c>
      <c r="O136">
        <v>-0.57449792967676205</v>
      </c>
      <c r="P136" s="1" t="str">
        <f>HYPERLINK(".\sm_car_250817_2235\sm_car_250817_2235_135_Ca169TrN_MaMPK_DrSt_ode23t_1.png","figure")</f>
        <v>figure</v>
      </c>
      <c r="Q136" t="s">
        <v>15</v>
      </c>
    </row>
    <row r="137" spans="1:17" x14ac:dyDescent="0.25">
      <c r="A137">
        <v>136</v>
      </c>
      <c r="B137">
        <v>169</v>
      </c>
      <c r="C137" t="s">
        <v>45</v>
      </c>
      <c r="D137" t="s">
        <v>58</v>
      </c>
      <c r="E137" t="s">
        <v>49</v>
      </c>
      <c r="F137" t="s">
        <v>19</v>
      </c>
      <c r="G137" t="s">
        <v>26</v>
      </c>
      <c r="H137" t="s">
        <v>21</v>
      </c>
      <c r="I137" t="s">
        <v>55</v>
      </c>
      <c r="J137" t="s">
        <v>149</v>
      </c>
      <c r="K137" t="s">
        <v>23</v>
      </c>
      <c r="L137">
        <v>3896</v>
      </c>
      <c r="M137">
        <v>54.4480784</v>
      </c>
      <c r="N137">
        <v>-1.1437598019666387E-2</v>
      </c>
      <c r="O137">
        <v>-8.3858013862484829E-2</v>
      </c>
      <c r="P137" s="1" t="str">
        <f>HYPERLINK(".\sm_car_250817_2235\sm_car_250817_2235_136_Ca169TrN_MaMPK_DrSt_ode23t_1.png","figure")</f>
        <v>figure</v>
      </c>
      <c r="Q137" t="s">
        <v>15</v>
      </c>
    </row>
    <row r="138" spans="1:17" x14ac:dyDescent="0.25">
      <c r="A138">
        <v>137</v>
      </c>
      <c r="B138">
        <v>169</v>
      </c>
      <c r="C138" t="s">
        <v>45</v>
      </c>
      <c r="D138" t="s">
        <v>58</v>
      </c>
      <c r="E138" t="s">
        <v>49</v>
      </c>
      <c r="F138" t="s">
        <v>19</v>
      </c>
      <c r="G138" t="s">
        <v>26</v>
      </c>
      <c r="H138" t="s">
        <v>21</v>
      </c>
      <c r="I138" t="s">
        <v>56</v>
      </c>
      <c r="J138" t="s">
        <v>148</v>
      </c>
      <c r="K138" t="s">
        <v>23</v>
      </c>
      <c r="L138">
        <v>3042</v>
      </c>
      <c r="M138">
        <v>46.5620045</v>
      </c>
      <c r="N138">
        <v>0.78823780653586617</v>
      </c>
      <c r="O138">
        <v>-0.35992655493020709</v>
      </c>
      <c r="P138" s="1" t="str">
        <f>HYPERLINK(".\sm_car_250817_2235\sm_car_250817_2235_137_Ca169TrN_MaMPC_DrSt_ode23t_1.png","figure")</f>
        <v>figure</v>
      </c>
      <c r="Q138" t="s">
        <v>15</v>
      </c>
    </row>
    <row r="139" spans="1:17" x14ac:dyDescent="0.25">
      <c r="A139">
        <v>138</v>
      </c>
      <c r="B139">
        <v>169</v>
      </c>
      <c r="C139" t="s">
        <v>45</v>
      </c>
      <c r="D139" t="s">
        <v>58</v>
      </c>
      <c r="E139" t="s">
        <v>49</v>
      </c>
      <c r="F139" t="s">
        <v>19</v>
      </c>
      <c r="G139" t="s">
        <v>26</v>
      </c>
      <c r="H139" t="s">
        <v>21</v>
      </c>
      <c r="I139" t="s">
        <v>56</v>
      </c>
      <c r="J139" t="s">
        <v>149</v>
      </c>
      <c r="K139" t="s">
        <v>23</v>
      </c>
      <c r="L139">
        <v>3465</v>
      </c>
      <c r="M139">
        <v>48.640072099999998</v>
      </c>
      <c r="N139">
        <v>0.7863935241116895</v>
      </c>
      <c r="O139">
        <v>2.8223426985438737E-2</v>
      </c>
      <c r="P139" s="1" t="str">
        <f>HYPERLINK(".\sm_car_250817_2235\sm_car_250817_2235_138_Ca169TrN_MaMPC_DrSt_ode23t_1.png","figure")</f>
        <v>figure</v>
      </c>
      <c r="Q139" t="s">
        <v>15</v>
      </c>
    </row>
    <row r="140" spans="1:17" x14ac:dyDescent="0.25">
      <c r="A140">
        <v>139</v>
      </c>
      <c r="B140">
        <v>184</v>
      </c>
      <c r="C140" t="s">
        <v>105</v>
      </c>
      <c r="D140" t="s">
        <v>120</v>
      </c>
      <c r="E140" t="s">
        <v>49</v>
      </c>
      <c r="F140" t="s">
        <v>19</v>
      </c>
      <c r="G140" t="s">
        <v>20</v>
      </c>
      <c r="H140" t="s">
        <v>21</v>
      </c>
      <c r="I140" t="s">
        <v>55</v>
      </c>
      <c r="J140" t="s">
        <v>148</v>
      </c>
      <c r="K140" t="s">
        <v>23</v>
      </c>
      <c r="L140">
        <v>2208</v>
      </c>
      <c r="M140">
        <v>52.527236199999997</v>
      </c>
      <c r="N140">
        <v>-2.2117343957160557E-2</v>
      </c>
      <c r="O140">
        <v>-0.74271926162471846</v>
      </c>
      <c r="P140" s="1" t="str">
        <f>HYPERLINK(".\sm_car_250817_2235\sm_car_250817_2235_139_Ca184TrN_MaMPK_DrSt_ode23t_1.png","figure")</f>
        <v>figure</v>
      </c>
      <c r="Q140" t="s">
        <v>15</v>
      </c>
    </row>
    <row r="141" spans="1:17" x14ac:dyDescent="0.25">
      <c r="A141">
        <v>140</v>
      </c>
      <c r="B141">
        <v>184</v>
      </c>
      <c r="C141" t="s">
        <v>105</v>
      </c>
      <c r="D141" t="s">
        <v>120</v>
      </c>
      <c r="E141" t="s">
        <v>49</v>
      </c>
      <c r="F141" t="s">
        <v>19</v>
      </c>
      <c r="G141" t="s">
        <v>20</v>
      </c>
      <c r="H141" t="s">
        <v>21</v>
      </c>
      <c r="I141" t="s">
        <v>55</v>
      </c>
      <c r="J141" t="s">
        <v>149</v>
      </c>
      <c r="K141" t="s">
        <v>23</v>
      </c>
      <c r="L141">
        <v>2306</v>
      </c>
      <c r="M141">
        <v>49.9661768</v>
      </c>
      <c r="N141">
        <v>-1.0372714607681049E-2</v>
      </c>
      <c r="O141">
        <v>-3.0167214313253199E-2</v>
      </c>
      <c r="P141" s="1" t="str">
        <f>HYPERLINK(".\sm_car_250817_2235\sm_car_250817_2235_140_Ca184TrN_MaMPK_DrSt_ode23t_1.png","figure")</f>
        <v>figure</v>
      </c>
      <c r="Q141" t="s">
        <v>15</v>
      </c>
    </row>
    <row r="142" spans="1:17" x14ac:dyDescent="0.25">
      <c r="A142">
        <v>141</v>
      </c>
      <c r="B142">
        <v>184</v>
      </c>
      <c r="C142" t="s">
        <v>105</v>
      </c>
      <c r="D142" t="s">
        <v>120</v>
      </c>
      <c r="E142" t="s">
        <v>49</v>
      </c>
      <c r="F142" t="s">
        <v>19</v>
      </c>
      <c r="G142" t="s">
        <v>20</v>
      </c>
      <c r="H142" t="s">
        <v>21</v>
      </c>
      <c r="I142" t="s">
        <v>56</v>
      </c>
      <c r="J142" t="s">
        <v>148</v>
      </c>
      <c r="K142" t="s">
        <v>23</v>
      </c>
      <c r="L142">
        <v>2072</v>
      </c>
      <c r="M142">
        <v>50.501320900000003</v>
      </c>
      <c r="N142">
        <v>0.77497881401913027</v>
      </c>
      <c r="O142">
        <v>-0.33795248333457284</v>
      </c>
      <c r="P142" s="1" t="str">
        <f>HYPERLINK(".\sm_car_250817_2235\sm_car_250817_2235_141_Ca184TrN_MaMPC_DrSt_ode23t_1.png","figure")</f>
        <v>figure</v>
      </c>
      <c r="Q142" t="s">
        <v>15</v>
      </c>
    </row>
    <row r="143" spans="1:17" x14ac:dyDescent="0.25">
      <c r="A143">
        <v>142</v>
      </c>
      <c r="B143">
        <v>184</v>
      </c>
      <c r="C143" t="s">
        <v>105</v>
      </c>
      <c r="D143" t="s">
        <v>120</v>
      </c>
      <c r="E143" t="s">
        <v>49</v>
      </c>
      <c r="F143" t="s">
        <v>19</v>
      </c>
      <c r="G143" t="s">
        <v>20</v>
      </c>
      <c r="H143" t="s">
        <v>21</v>
      </c>
      <c r="I143" t="s">
        <v>56</v>
      </c>
      <c r="J143" t="s">
        <v>149</v>
      </c>
      <c r="K143" t="s">
        <v>23</v>
      </c>
      <c r="L143">
        <v>2054</v>
      </c>
      <c r="M143">
        <v>55.276767200000002</v>
      </c>
      <c r="N143">
        <v>0.78211905177887076</v>
      </c>
      <c r="O143">
        <v>-8.2475788669948508E-2</v>
      </c>
      <c r="P143" s="1" t="str">
        <f>HYPERLINK(".\sm_car_250817_2235\sm_car_250817_2235_142_Ca184TrN_MaMPC_DrSt_ode23t_1.png","figure")</f>
        <v>figure</v>
      </c>
      <c r="Q143" t="s">
        <v>15</v>
      </c>
    </row>
    <row r="144" spans="1:17" x14ac:dyDescent="0.25">
      <c r="A144">
        <v>143</v>
      </c>
      <c r="B144">
        <v>195</v>
      </c>
      <c r="C144" t="s">
        <v>45</v>
      </c>
      <c r="D144" t="s">
        <v>58</v>
      </c>
      <c r="E144" t="s">
        <v>107</v>
      </c>
      <c r="F144" t="s">
        <v>19</v>
      </c>
      <c r="G144" t="s">
        <v>26</v>
      </c>
      <c r="H144" t="s">
        <v>21</v>
      </c>
      <c r="I144" t="s">
        <v>55</v>
      </c>
      <c r="J144" t="s">
        <v>148</v>
      </c>
      <c r="K144" t="s">
        <v>23</v>
      </c>
      <c r="L144">
        <v>3297</v>
      </c>
      <c r="M144">
        <v>48.955519600000002</v>
      </c>
      <c r="N144">
        <v>-1.9482216032743416E-2</v>
      </c>
      <c r="O144">
        <v>-0.57356653653867973</v>
      </c>
      <c r="P144" s="1" t="str">
        <f>HYPERLINK(".\sm_car_250817_2235\sm_car_250817_2235_143_Ca195TrN_MaMPK_DrSt_ode23t_1.png","figure")</f>
        <v>figure</v>
      </c>
      <c r="Q144" t="s">
        <v>15</v>
      </c>
    </row>
    <row r="145" spans="1:17" x14ac:dyDescent="0.25">
      <c r="A145">
        <v>144</v>
      </c>
      <c r="B145">
        <v>195</v>
      </c>
      <c r="C145" t="s">
        <v>45</v>
      </c>
      <c r="D145" t="s">
        <v>58</v>
      </c>
      <c r="E145" t="s">
        <v>107</v>
      </c>
      <c r="F145" t="s">
        <v>19</v>
      </c>
      <c r="G145" t="s">
        <v>26</v>
      </c>
      <c r="H145" t="s">
        <v>21</v>
      </c>
      <c r="I145" t="s">
        <v>55</v>
      </c>
      <c r="J145" t="s">
        <v>149</v>
      </c>
      <c r="K145" t="s">
        <v>23</v>
      </c>
      <c r="L145">
        <v>3897</v>
      </c>
      <c r="M145">
        <v>49.895173399999997</v>
      </c>
      <c r="N145">
        <v>-1.0423869541025865E-2</v>
      </c>
      <c r="O145">
        <v>-8.3820495432368136E-2</v>
      </c>
      <c r="P145" s="1" t="str">
        <f>HYPERLINK(".\sm_car_250817_2235\sm_car_250817_2235_144_Ca195TrN_MaMPK_DrSt_ode23t_1.png","figure")</f>
        <v>figure</v>
      </c>
      <c r="Q145" t="s">
        <v>15</v>
      </c>
    </row>
    <row r="146" spans="1:17" x14ac:dyDescent="0.25">
      <c r="A146">
        <v>145</v>
      </c>
      <c r="B146">
        <v>195</v>
      </c>
      <c r="C146" t="s">
        <v>45</v>
      </c>
      <c r="D146" t="s">
        <v>58</v>
      </c>
      <c r="E146" t="s">
        <v>107</v>
      </c>
      <c r="F146" t="s">
        <v>19</v>
      </c>
      <c r="G146" t="s">
        <v>26</v>
      </c>
      <c r="H146" t="s">
        <v>21</v>
      </c>
      <c r="I146" t="s">
        <v>56</v>
      </c>
      <c r="J146" t="s">
        <v>148</v>
      </c>
      <c r="K146" t="s">
        <v>23</v>
      </c>
      <c r="L146">
        <v>3024</v>
      </c>
      <c r="M146">
        <v>43.627472500000003</v>
      </c>
      <c r="N146">
        <v>0.78496209488562663</v>
      </c>
      <c r="O146">
        <v>-0.35988158619332095</v>
      </c>
      <c r="P146" s="1" t="str">
        <f>HYPERLINK(".\sm_car_250817_2235\sm_car_250817_2235_145_Ca195TrN_MaMPC_DrSt_ode23t_1.png","figure")</f>
        <v>figure</v>
      </c>
      <c r="Q146" t="s">
        <v>15</v>
      </c>
    </row>
    <row r="147" spans="1:17" x14ac:dyDescent="0.25">
      <c r="A147">
        <v>146</v>
      </c>
      <c r="B147">
        <v>195</v>
      </c>
      <c r="C147" t="s">
        <v>45</v>
      </c>
      <c r="D147" t="s">
        <v>58</v>
      </c>
      <c r="E147" t="s">
        <v>107</v>
      </c>
      <c r="F147" t="s">
        <v>19</v>
      </c>
      <c r="G147" t="s">
        <v>26</v>
      </c>
      <c r="H147" t="s">
        <v>21</v>
      </c>
      <c r="I147" t="s">
        <v>56</v>
      </c>
      <c r="J147" t="s">
        <v>149</v>
      </c>
      <c r="K147" t="s">
        <v>23</v>
      </c>
      <c r="L147">
        <v>3438</v>
      </c>
      <c r="M147">
        <v>46.434261100000001</v>
      </c>
      <c r="N147">
        <v>0.78906867021276739</v>
      </c>
      <c r="O147">
        <v>2.8184986613841095E-2</v>
      </c>
      <c r="P147" s="1" t="str">
        <f>HYPERLINK(".\sm_car_250817_2235\sm_car_250817_2235_146_Ca195TrN_MaMPC_DrSt_ode23t_1.png","figure")</f>
        <v>figure</v>
      </c>
      <c r="Q147" t="s">
        <v>15</v>
      </c>
    </row>
    <row r="148" spans="1:17" x14ac:dyDescent="0.25">
      <c r="A148">
        <v>147</v>
      </c>
      <c r="B148">
        <v>198</v>
      </c>
      <c r="C148" t="s">
        <v>105</v>
      </c>
      <c r="D148" t="s">
        <v>120</v>
      </c>
      <c r="E148" t="s">
        <v>107</v>
      </c>
      <c r="F148" t="s">
        <v>19</v>
      </c>
      <c r="G148" t="s">
        <v>20</v>
      </c>
      <c r="H148" t="s">
        <v>21</v>
      </c>
      <c r="I148" t="s">
        <v>55</v>
      </c>
      <c r="J148" t="s">
        <v>148</v>
      </c>
      <c r="K148" t="s">
        <v>23</v>
      </c>
      <c r="L148">
        <v>2303</v>
      </c>
      <c r="M148">
        <v>31.591263699999999</v>
      </c>
      <c r="N148">
        <v>8.9491580942834964E-3</v>
      </c>
      <c r="O148">
        <v>-0.74353293562381539</v>
      </c>
      <c r="P148" s="1" t="str">
        <f>HYPERLINK(".\sm_car_250817_2235\sm_car_250817_2235_147_Ca198TrN_MaMPK_DrSt_ode23t_1.png","figure")</f>
        <v>figure</v>
      </c>
      <c r="Q148" t="s">
        <v>15</v>
      </c>
    </row>
    <row r="149" spans="1:17" x14ac:dyDescent="0.25">
      <c r="A149">
        <v>148</v>
      </c>
      <c r="B149">
        <v>198</v>
      </c>
      <c r="C149" t="s">
        <v>105</v>
      </c>
      <c r="D149" t="s">
        <v>120</v>
      </c>
      <c r="E149" t="s">
        <v>107</v>
      </c>
      <c r="F149" t="s">
        <v>19</v>
      </c>
      <c r="G149" t="s">
        <v>20</v>
      </c>
      <c r="H149" t="s">
        <v>21</v>
      </c>
      <c r="I149" t="s">
        <v>55</v>
      </c>
      <c r="J149" t="s">
        <v>149</v>
      </c>
      <c r="K149" t="s">
        <v>23</v>
      </c>
      <c r="L149">
        <v>2610</v>
      </c>
      <c r="M149">
        <v>35.3404071</v>
      </c>
      <c r="N149">
        <v>-8.5760171372995103E-3</v>
      </c>
      <c r="O149">
        <v>-3.0368078928762116E-2</v>
      </c>
      <c r="P149" s="1" t="str">
        <f>HYPERLINK(".\sm_car_250817_2235\sm_car_250817_2235_148_Ca198TrN_MaMPK_DrSt_ode23t_1.png","figure")</f>
        <v>figure</v>
      </c>
      <c r="Q149" t="s">
        <v>15</v>
      </c>
    </row>
    <row r="150" spans="1:17" x14ac:dyDescent="0.25">
      <c r="A150">
        <v>149</v>
      </c>
      <c r="B150">
        <v>198</v>
      </c>
      <c r="C150" t="s">
        <v>105</v>
      </c>
      <c r="D150" t="s">
        <v>120</v>
      </c>
      <c r="E150" t="s">
        <v>107</v>
      </c>
      <c r="F150" t="s">
        <v>19</v>
      </c>
      <c r="G150" t="s">
        <v>20</v>
      </c>
      <c r="H150" t="s">
        <v>21</v>
      </c>
      <c r="I150" t="s">
        <v>56</v>
      </c>
      <c r="J150" t="s">
        <v>148</v>
      </c>
      <c r="K150" t="s">
        <v>23</v>
      </c>
      <c r="L150">
        <v>2077</v>
      </c>
      <c r="M150">
        <v>32.7693461</v>
      </c>
      <c r="N150">
        <v>0.78594009465250991</v>
      </c>
      <c r="O150">
        <v>-0.33801095391641228</v>
      </c>
      <c r="P150" s="1" t="str">
        <f>HYPERLINK(".\sm_car_250817_2235\sm_car_250817_2235_149_Ca198TrN_MaMPC_DrSt_ode23t_1.png","figure")</f>
        <v>figure</v>
      </c>
      <c r="Q150" t="s">
        <v>15</v>
      </c>
    </row>
    <row r="151" spans="1:17" x14ac:dyDescent="0.25">
      <c r="A151">
        <v>150</v>
      </c>
      <c r="B151">
        <v>198</v>
      </c>
      <c r="C151" t="s">
        <v>105</v>
      </c>
      <c r="D151" t="s">
        <v>120</v>
      </c>
      <c r="E151" t="s">
        <v>107</v>
      </c>
      <c r="F151" t="s">
        <v>19</v>
      </c>
      <c r="G151" t="s">
        <v>20</v>
      </c>
      <c r="H151" t="s">
        <v>21</v>
      </c>
      <c r="I151" t="s">
        <v>56</v>
      </c>
      <c r="J151" t="s">
        <v>149</v>
      </c>
      <c r="K151" t="s">
        <v>23</v>
      </c>
      <c r="L151">
        <v>2143</v>
      </c>
      <c r="M151">
        <v>33.458920599999999</v>
      </c>
      <c r="N151">
        <v>0.78864605529092735</v>
      </c>
      <c r="O151">
        <v>-8.222215141263868E-2</v>
      </c>
      <c r="P151" s="1" t="str">
        <f>HYPERLINK(".\sm_car_250817_2235\sm_car_250817_2235_150_Ca198TrN_MaMPC_DrSt_ode23t_1.png","figure")</f>
        <v>figure</v>
      </c>
      <c r="Q151" t="s">
        <v>15</v>
      </c>
    </row>
    <row r="152" spans="1:17" x14ac:dyDescent="0.25">
      <c r="A152">
        <v>151</v>
      </c>
      <c r="B152">
        <v>151</v>
      </c>
      <c r="C152" t="s">
        <v>16</v>
      </c>
      <c r="D152" t="s">
        <v>17</v>
      </c>
      <c r="E152" t="s">
        <v>18</v>
      </c>
      <c r="F152" t="s">
        <v>19</v>
      </c>
      <c r="G152" t="s">
        <v>59</v>
      </c>
      <c r="H152" t="s">
        <v>21</v>
      </c>
      <c r="I152" t="s">
        <v>24</v>
      </c>
      <c r="J152" t="s">
        <v>148</v>
      </c>
      <c r="K152" t="s">
        <v>23</v>
      </c>
      <c r="L152">
        <v>514</v>
      </c>
      <c r="M152">
        <v>12.460276800000001</v>
      </c>
      <c r="N152">
        <v>72.170720197472406</v>
      </c>
      <c r="O152">
        <v>-0.7881204902985588</v>
      </c>
      <c r="P152" s="1" t="str">
        <f>HYPERLINK(".\sm_car_250817_2235\sm_car_250817_2235_151_Ca151TrN_MaLSS_DrSt_ode23t_1.png","figure")</f>
        <v>figure</v>
      </c>
      <c r="Q152" t="s">
        <v>15</v>
      </c>
    </row>
    <row r="153" spans="1:17" x14ac:dyDescent="0.25">
      <c r="A153">
        <v>152</v>
      </c>
      <c r="B153">
        <v>152</v>
      </c>
      <c r="C153" t="s">
        <v>16</v>
      </c>
      <c r="D153" t="s">
        <v>17</v>
      </c>
      <c r="E153" t="s">
        <v>18</v>
      </c>
      <c r="F153" t="s">
        <v>19</v>
      </c>
      <c r="G153" t="s">
        <v>60</v>
      </c>
      <c r="H153" t="s">
        <v>21</v>
      </c>
      <c r="I153" t="s">
        <v>24</v>
      </c>
      <c r="J153" t="s">
        <v>148</v>
      </c>
      <c r="K153" t="s">
        <v>23</v>
      </c>
      <c r="L153">
        <v>533</v>
      </c>
      <c r="M153">
        <v>13.3254748</v>
      </c>
      <c r="N153">
        <v>70.582574800098868</v>
      </c>
      <c r="O153">
        <v>-0.5225752399123339</v>
      </c>
      <c r="P153" s="1" t="str">
        <f>HYPERLINK(".\sm_car_250817_2235\sm_car_250817_2235_152_Ca152TrN_MaLSS_DrSt_ode23t_1.png","figure")</f>
        <v>figure</v>
      </c>
      <c r="Q153" t="s">
        <v>15</v>
      </c>
    </row>
    <row r="154" spans="1:17" x14ac:dyDescent="0.25">
      <c r="A154">
        <v>153</v>
      </c>
      <c r="B154">
        <v>153</v>
      </c>
      <c r="C154" t="s">
        <v>16</v>
      </c>
      <c r="D154" t="s">
        <v>17</v>
      </c>
      <c r="E154" t="s">
        <v>18</v>
      </c>
      <c r="F154" t="s">
        <v>19</v>
      </c>
      <c r="G154" t="s">
        <v>61</v>
      </c>
      <c r="H154" t="s">
        <v>21</v>
      </c>
      <c r="I154" t="s">
        <v>24</v>
      </c>
      <c r="J154" t="s">
        <v>148</v>
      </c>
      <c r="K154" t="s">
        <v>23</v>
      </c>
      <c r="L154">
        <v>543</v>
      </c>
      <c r="M154">
        <v>13.139633399999999</v>
      </c>
      <c r="N154">
        <v>70.435288219888065</v>
      </c>
      <c r="O154">
        <v>-0.85962999888355573</v>
      </c>
      <c r="P154" s="1" t="str">
        <f>HYPERLINK(".\sm_car_250817_2235\sm_car_250817_2235_153_Ca153TrN_MaLSS_DrSt_ode23t_1.png","figure")</f>
        <v>figure</v>
      </c>
      <c r="Q154" t="s">
        <v>15</v>
      </c>
    </row>
    <row r="155" spans="1:17" x14ac:dyDescent="0.25">
      <c r="A155">
        <v>154</v>
      </c>
      <c r="B155">
        <v>154</v>
      </c>
      <c r="C155" t="s">
        <v>16</v>
      </c>
      <c r="D155" t="s">
        <v>17</v>
      </c>
      <c r="E155" t="s">
        <v>18</v>
      </c>
      <c r="F155" t="s">
        <v>19</v>
      </c>
      <c r="G155" t="s">
        <v>108</v>
      </c>
      <c r="H155" t="s">
        <v>21</v>
      </c>
      <c r="I155" t="s">
        <v>24</v>
      </c>
      <c r="J155" t="s">
        <v>148</v>
      </c>
      <c r="K155" t="s">
        <v>23</v>
      </c>
      <c r="L155">
        <v>496</v>
      </c>
      <c r="M155">
        <v>15.996479900000001</v>
      </c>
      <c r="N155">
        <v>70.60983387792875</v>
      </c>
      <c r="O155">
        <v>-0.35359574413203271</v>
      </c>
      <c r="P155" s="1" t="str">
        <f>HYPERLINK(".\sm_car_250817_2235\sm_car_250817_2235_154_Ca154TrN_MaLSS_DrSt_ode23t_1.png","figure")</f>
        <v>figure</v>
      </c>
      <c r="Q155" t="s">
        <v>15</v>
      </c>
    </row>
    <row r="156" spans="1:17" x14ac:dyDescent="0.25">
      <c r="A156">
        <v>155</v>
      </c>
      <c r="B156">
        <v>155</v>
      </c>
      <c r="C156" t="s">
        <v>16</v>
      </c>
      <c r="D156" t="s">
        <v>17</v>
      </c>
      <c r="E156" t="s">
        <v>18</v>
      </c>
      <c r="F156" t="s">
        <v>19</v>
      </c>
      <c r="G156" t="s">
        <v>62</v>
      </c>
      <c r="H156" t="s">
        <v>21</v>
      </c>
      <c r="I156" t="s">
        <v>24</v>
      </c>
      <c r="J156" t="s">
        <v>148</v>
      </c>
      <c r="K156" t="s">
        <v>23</v>
      </c>
      <c r="L156">
        <v>557</v>
      </c>
      <c r="M156">
        <v>18.0332571</v>
      </c>
      <c r="N156">
        <v>70.46702992573249</v>
      </c>
      <c r="O156">
        <v>-0.83646545291369834</v>
      </c>
      <c r="P156" s="1" t="str">
        <f>HYPERLINK(".\sm_car_250817_2235\sm_car_250817_2235_155_Ca155TrN_MaLSS_DrSt_ode23t_1.png","figure")</f>
        <v>figure</v>
      </c>
      <c r="Q156" t="s">
        <v>15</v>
      </c>
    </row>
    <row r="157" spans="1:17" x14ac:dyDescent="0.25">
      <c r="A157">
        <v>156</v>
      </c>
      <c r="B157">
        <v>4</v>
      </c>
      <c r="C157" t="s">
        <v>16</v>
      </c>
      <c r="D157" t="s">
        <v>17</v>
      </c>
      <c r="E157" t="s">
        <v>18</v>
      </c>
      <c r="F157" t="s">
        <v>28</v>
      </c>
      <c r="G157" t="s">
        <v>20</v>
      </c>
      <c r="H157" t="s">
        <v>21</v>
      </c>
      <c r="I157" t="s">
        <v>22</v>
      </c>
      <c r="J157" t="s">
        <v>148</v>
      </c>
      <c r="K157" t="s">
        <v>63</v>
      </c>
      <c r="L157">
        <v>3247</v>
      </c>
      <c r="M157">
        <v>8.8401922000000006</v>
      </c>
      <c r="N157">
        <v>230.12391720383511</v>
      </c>
      <c r="O157">
        <v>-2.7189243063187834E-3</v>
      </c>
      <c r="P157" s="1" t="str">
        <f>HYPERLINK(".\sm_car_250817_2235\sm_car_250817_2235_156_Ca004TrN_MaWOT_DrSt_ode3_1.png","figure")</f>
        <v>figure</v>
      </c>
      <c r="Q157" t="s">
        <v>15</v>
      </c>
    </row>
    <row r="158" spans="1:17" x14ac:dyDescent="0.25">
      <c r="A158">
        <v>157</v>
      </c>
      <c r="B158">
        <v>4</v>
      </c>
      <c r="C158" t="s">
        <v>16</v>
      </c>
      <c r="D158" t="s">
        <v>17</v>
      </c>
      <c r="E158" t="s">
        <v>18</v>
      </c>
      <c r="F158" t="s">
        <v>28</v>
      </c>
      <c r="G158" t="s">
        <v>20</v>
      </c>
      <c r="H158" t="s">
        <v>21</v>
      </c>
      <c r="I158" t="s">
        <v>24</v>
      </c>
      <c r="J158" t="s">
        <v>148</v>
      </c>
      <c r="K158" t="s">
        <v>63</v>
      </c>
      <c r="L158">
        <v>2564</v>
      </c>
      <c r="M158">
        <v>7.4251769999999997</v>
      </c>
      <c r="N158">
        <v>70.877460182998419</v>
      </c>
      <c r="O158">
        <v>-0.53377971206600749</v>
      </c>
      <c r="P158" s="1" t="str">
        <f>HYPERLINK(".\sm_car_250817_2235\sm_car_250817_2235_157_Ca004TrN_MaLSS_DrSt_ode3_1.png","figure")</f>
        <v>figure</v>
      </c>
      <c r="Q158" t="s">
        <v>15</v>
      </c>
    </row>
    <row r="159" spans="1:17" x14ac:dyDescent="0.25">
      <c r="A159">
        <v>158</v>
      </c>
      <c r="B159">
        <v>4</v>
      </c>
      <c r="C159" t="s">
        <v>16</v>
      </c>
      <c r="D159" t="s">
        <v>17</v>
      </c>
      <c r="E159" t="s">
        <v>18</v>
      </c>
      <c r="F159" t="s">
        <v>28</v>
      </c>
      <c r="G159" t="s">
        <v>20</v>
      </c>
      <c r="H159" t="s">
        <v>21</v>
      </c>
      <c r="I159" t="s">
        <v>64</v>
      </c>
      <c r="J159" t="s">
        <v>148</v>
      </c>
      <c r="K159" t="s">
        <v>63</v>
      </c>
      <c r="L159">
        <v>2562</v>
      </c>
      <c r="M159">
        <v>7.4651747000000004</v>
      </c>
      <c r="N159">
        <v>63.517181713594383</v>
      </c>
      <c r="O159">
        <v>-24.808510944630196</v>
      </c>
      <c r="P159" s="1" t="str">
        <f>HYPERLINK(".\sm_car_250817_2235\sm_car_250817_2235_158_Ca004TrN_MaTUR_DrSt_ode3_1.png","figure")</f>
        <v>figure</v>
      </c>
      <c r="Q159" t="s">
        <v>15</v>
      </c>
    </row>
    <row r="160" spans="1:17" x14ac:dyDescent="0.25">
      <c r="A160">
        <v>159</v>
      </c>
      <c r="B160">
        <v>116</v>
      </c>
      <c r="C160" t="s">
        <v>16</v>
      </c>
      <c r="D160" t="s">
        <v>35</v>
      </c>
      <c r="E160" t="s">
        <v>18</v>
      </c>
      <c r="F160" t="s">
        <v>28</v>
      </c>
      <c r="G160" t="s">
        <v>20</v>
      </c>
      <c r="H160" t="s">
        <v>21</v>
      </c>
      <c r="I160" t="s">
        <v>22</v>
      </c>
      <c r="J160" t="s">
        <v>148</v>
      </c>
      <c r="K160" t="s">
        <v>63</v>
      </c>
      <c r="L160">
        <v>3244</v>
      </c>
      <c r="M160">
        <v>4.2961035000000001</v>
      </c>
      <c r="N160">
        <v>242.69607452341987</v>
      </c>
      <c r="O160">
        <v>0.23635446031101723</v>
      </c>
      <c r="P160" s="1" t="str">
        <f>HYPERLINK(".\sm_car_250817_2235\sm_car_250817_2235_159_Ca116TrN_MaWOT_DrSt_ode3_1.png","figure")</f>
        <v>figure</v>
      </c>
      <c r="Q160" t="s">
        <v>15</v>
      </c>
    </row>
    <row r="161" spans="1:17" x14ac:dyDescent="0.25">
      <c r="A161">
        <v>160</v>
      </c>
      <c r="B161">
        <v>116</v>
      </c>
      <c r="C161" t="s">
        <v>16</v>
      </c>
      <c r="D161" t="s">
        <v>35</v>
      </c>
      <c r="E161" t="s">
        <v>18</v>
      </c>
      <c r="F161" t="s">
        <v>28</v>
      </c>
      <c r="G161" t="s">
        <v>20</v>
      </c>
      <c r="H161" t="s">
        <v>21</v>
      </c>
      <c r="I161" t="s">
        <v>24</v>
      </c>
      <c r="J161" t="s">
        <v>148</v>
      </c>
      <c r="K161" t="s">
        <v>63</v>
      </c>
      <c r="L161">
        <v>2564</v>
      </c>
      <c r="M161">
        <v>3.5075704999999999</v>
      </c>
      <c r="N161">
        <v>74.657190781644118</v>
      </c>
      <c r="O161">
        <v>-0.34075824439014252</v>
      </c>
      <c r="P161" s="1" t="str">
        <f>HYPERLINK(".\sm_car_250817_2235\sm_car_250817_2235_160_Ca116TrN_MaLSS_DrSt_ode3_1.png","figure")</f>
        <v>figure</v>
      </c>
      <c r="Q161" t="s">
        <v>15</v>
      </c>
    </row>
    <row r="162" spans="1:17" x14ac:dyDescent="0.25">
      <c r="A162">
        <v>161</v>
      </c>
      <c r="B162">
        <v>116</v>
      </c>
      <c r="C162" t="s">
        <v>16</v>
      </c>
      <c r="D162" t="s">
        <v>35</v>
      </c>
      <c r="E162" t="s">
        <v>18</v>
      </c>
      <c r="F162" t="s">
        <v>28</v>
      </c>
      <c r="G162" t="s">
        <v>20</v>
      </c>
      <c r="H162" t="s">
        <v>21</v>
      </c>
      <c r="I162" t="s">
        <v>64</v>
      </c>
      <c r="J162" t="s">
        <v>148</v>
      </c>
      <c r="K162" t="s">
        <v>63</v>
      </c>
      <c r="L162">
        <v>2563</v>
      </c>
      <c r="M162">
        <v>3.4285929999999998</v>
      </c>
      <c r="N162">
        <v>71.322015477791922</v>
      </c>
      <c r="O162">
        <v>-17.59032913116118</v>
      </c>
      <c r="P162" s="1" t="str">
        <f>HYPERLINK(".\sm_car_250817_2235\sm_car_250817_2235_161_Ca116TrN_MaTUR_DrSt_ode3_1.png","figure")</f>
        <v>figure</v>
      </c>
      <c r="Q162" t="s">
        <v>15</v>
      </c>
    </row>
    <row r="163" spans="1:17" x14ac:dyDescent="0.25">
      <c r="A163">
        <v>162</v>
      </c>
      <c r="B163">
        <v>124</v>
      </c>
      <c r="C163" t="s">
        <v>16</v>
      </c>
      <c r="D163" t="s">
        <v>35</v>
      </c>
      <c r="E163" t="s">
        <v>49</v>
      </c>
      <c r="F163" t="s">
        <v>28</v>
      </c>
      <c r="G163" t="s">
        <v>20</v>
      </c>
      <c r="H163" t="s">
        <v>21</v>
      </c>
      <c r="I163" t="s">
        <v>22</v>
      </c>
      <c r="J163" t="s">
        <v>148</v>
      </c>
      <c r="K163" t="s">
        <v>63</v>
      </c>
      <c r="L163">
        <v>3244</v>
      </c>
      <c r="M163">
        <v>2.4025725000000002</v>
      </c>
      <c r="N163">
        <v>242.87242715534217</v>
      </c>
      <c r="O163">
        <v>0.2361586465591097</v>
      </c>
      <c r="P163" s="1" t="str">
        <f>HYPERLINK(".\sm_car_250817_2235\sm_car_250817_2235_162_Ca124TrN_MaWOT_DrSt_ode3_1.png","figure")</f>
        <v>figure</v>
      </c>
      <c r="Q163" t="s">
        <v>15</v>
      </c>
    </row>
    <row r="164" spans="1:17" x14ac:dyDescent="0.25">
      <c r="A164">
        <v>163</v>
      </c>
      <c r="B164">
        <v>124</v>
      </c>
      <c r="C164" t="s">
        <v>16</v>
      </c>
      <c r="D164" t="s">
        <v>35</v>
      </c>
      <c r="E164" t="s">
        <v>49</v>
      </c>
      <c r="F164" t="s">
        <v>28</v>
      </c>
      <c r="G164" t="s">
        <v>20</v>
      </c>
      <c r="H164" t="s">
        <v>21</v>
      </c>
      <c r="I164" t="s">
        <v>24</v>
      </c>
      <c r="J164" t="s">
        <v>148</v>
      </c>
      <c r="K164" t="s">
        <v>63</v>
      </c>
      <c r="L164">
        <v>2565</v>
      </c>
      <c r="M164">
        <v>1.9378352000000001</v>
      </c>
      <c r="N164">
        <v>74.796106047599494</v>
      </c>
      <c r="O164">
        <v>-0.34233746651595126</v>
      </c>
      <c r="P164" s="1" t="str">
        <f>HYPERLINK(".\sm_car_250817_2235\sm_car_250817_2235_163_Ca124TrN_MaLSS_DrSt_ode3_1.png","figure")</f>
        <v>figure</v>
      </c>
      <c r="Q164" t="s">
        <v>15</v>
      </c>
    </row>
    <row r="165" spans="1:17" x14ac:dyDescent="0.25">
      <c r="A165">
        <v>164</v>
      </c>
      <c r="B165">
        <v>124</v>
      </c>
      <c r="C165" t="s">
        <v>16</v>
      </c>
      <c r="D165" t="s">
        <v>35</v>
      </c>
      <c r="E165" t="s">
        <v>49</v>
      </c>
      <c r="F165" t="s">
        <v>28</v>
      </c>
      <c r="G165" t="s">
        <v>20</v>
      </c>
      <c r="H165" t="s">
        <v>21</v>
      </c>
      <c r="I165" t="s">
        <v>64</v>
      </c>
      <c r="J165" t="s">
        <v>148</v>
      </c>
      <c r="K165" t="s">
        <v>63</v>
      </c>
      <c r="L165">
        <v>2564</v>
      </c>
      <c r="M165">
        <v>1.9333027</v>
      </c>
      <c r="N165">
        <v>71.447408139703882</v>
      </c>
      <c r="O165">
        <v>-17.636376353758354</v>
      </c>
      <c r="P165" s="1" t="str">
        <f>HYPERLINK(".\sm_car_250817_2235\sm_car_250817_2235_164_Ca124TrN_MaTUR_DrSt_ode3_1.png","figure")</f>
        <v>figure</v>
      </c>
      <c r="Q165" t="s">
        <v>15</v>
      </c>
    </row>
    <row r="166" spans="1:17" x14ac:dyDescent="0.25">
      <c r="A166">
        <v>165</v>
      </c>
      <c r="B166">
        <v>141</v>
      </c>
      <c r="C166" t="s">
        <v>45</v>
      </c>
      <c r="D166" t="s">
        <v>17</v>
      </c>
      <c r="E166" t="s">
        <v>18</v>
      </c>
      <c r="F166" t="s">
        <v>28</v>
      </c>
      <c r="G166" t="s">
        <v>26</v>
      </c>
      <c r="H166" t="s">
        <v>21</v>
      </c>
      <c r="I166" t="s">
        <v>22</v>
      </c>
      <c r="J166" t="s">
        <v>148</v>
      </c>
      <c r="K166" t="s">
        <v>63</v>
      </c>
      <c r="L166">
        <v>3839</v>
      </c>
      <c r="M166">
        <v>12.081105600000001</v>
      </c>
      <c r="N166">
        <v>402.25799424391306</v>
      </c>
      <c r="O166">
        <v>1.6086487171022426</v>
      </c>
      <c r="P166" s="1" t="str">
        <f>HYPERLINK(".\sm_car_250817_2235\sm_car_250817_2235_165_Ca141TrN_MaWOT_DrSt_ode3_1.png","figure")</f>
        <v>figure</v>
      </c>
      <c r="Q166" t="s">
        <v>15</v>
      </c>
    </row>
    <row r="167" spans="1:17" x14ac:dyDescent="0.25">
      <c r="A167">
        <v>166</v>
      </c>
      <c r="B167">
        <v>141</v>
      </c>
      <c r="C167" t="s">
        <v>45</v>
      </c>
      <c r="D167" t="s">
        <v>17</v>
      </c>
      <c r="E167" t="s">
        <v>18</v>
      </c>
      <c r="F167" t="s">
        <v>28</v>
      </c>
      <c r="G167" t="s">
        <v>26</v>
      </c>
      <c r="H167" t="s">
        <v>21</v>
      </c>
      <c r="I167" t="s">
        <v>24</v>
      </c>
      <c r="J167" t="s">
        <v>148</v>
      </c>
      <c r="K167" t="s">
        <v>63</v>
      </c>
      <c r="L167">
        <v>3192</v>
      </c>
      <c r="M167">
        <v>10.189630899999999</v>
      </c>
      <c r="N167">
        <v>153.17801449578809</v>
      </c>
      <c r="O167">
        <v>-0.57119096447153495</v>
      </c>
      <c r="P167" s="1" t="str">
        <f>HYPERLINK(".\sm_car_250817_2235\sm_car_250817_2235_166_Ca141TrN_MaLSS_DrSt_ode3_1.png","figure")</f>
        <v>figure</v>
      </c>
      <c r="Q167" t="s">
        <v>15</v>
      </c>
    </row>
    <row r="168" spans="1:17" x14ac:dyDescent="0.25">
      <c r="A168">
        <v>167</v>
      </c>
      <c r="B168">
        <v>141</v>
      </c>
      <c r="C168" t="s">
        <v>45</v>
      </c>
      <c r="D168" t="s">
        <v>17</v>
      </c>
      <c r="E168" t="s">
        <v>18</v>
      </c>
      <c r="F168" t="s">
        <v>28</v>
      </c>
      <c r="G168" t="s">
        <v>26</v>
      </c>
      <c r="H168" t="s">
        <v>21</v>
      </c>
      <c r="I168" t="s">
        <v>64</v>
      </c>
      <c r="J168" t="s">
        <v>148</v>
      </c>
      <c r="K168" t="s">
        <v>63</v>
      </c>
      <c r="L168">
        <v>3161</v>
      </c>
      <c r="M168">
        <v>10.754993199999999</v>
      </c>
      <c r="N168">
        <v>98.217901081037212</v>
      </c>
      <c r="O168">
        <v>-86.469743694572742</v>
      </c>
      <c r="P168" s="1" t="str">
        <f>HYPERLINK(".\sm_car_250817_2235\sm_car_250817_2235_167_Ca141TrN_MaTUR_DrSt_ode3_1.png","figure")</f>
        <v>figure</v>
      </c>
      <c r="Q168" t="s">
        <v>15</v>
      </c>
    </row>
    <row r="169" spans="1:17" x14ac:dyDescent="0.25">
      <c r="A169">
        <v>168</v>
      </c>
      <c r="B169">
        <v>145</v>
      </c>
      <c r="C169" t="s">
        <v>46</v>
      </c>
      <c r="D169" t="s">
        <v>17</v>
      </c>
      <c r="E169" t="s">
        <v>50</v>
      </c>
      <c r="F169" t="s">
        <v>19</v>
      </c>
      <c r="G169" t="s">
        <v>26</v>
      </c>
      <c r="H169" t="s">
        <v>21</v>
      </c>
      <c r="I169" t="s">
        <v>22</v>
      </c>
      <c r="J169" t="s">
        <v>148</v>
      </c>
      <c r="K169" t="s">
        <v>63</v>
      </c>
      <c r="L169">
        <v>2641</v>
      </c>
      <c r="M169">
        <v>7.3374357000000003</v>
      </c>
      <c r="N169">
        <v>62.800910540515559</v>
      </c>
      <c r="O169">
        <v>1.2917832202050079E-2</v>
      </c>
      <c r="P169" s="1" t="str">
        <f>HYPERLINK(".\sm_car_250817_2235\sm_car_250817_2235_168_Ca145TrN_MaWOT_DrSt_ode3_1.png","figure")</f>
        <v>figure</v>
      </c>
      <c r="Q169" t="s">
        <v>15</v>
      </c>
    </row>
    <row r="170" spans="1:17" x14ac:dyDescent="0.25">
      <c r="A170">
        <v>169</v>
      </c>
      <c r="B170">
        <v>145</v>
      </c>
      <c r="C170" t="s">
        <v>46</v>
      </c>
      <c r="D170" t="s">
        <v>17</v>
      </c>
      <c r="E170" t="s">
        <v>50</v>
      </c>
      <c r="F170" t="s">
        <v>19</v>
      </c>
      <c r="G170" t="s">
        <v>26</v>
      </c>
      <c r="H170" t="s">
        <v>21</v>
      </c>
      <c r="I170" t="s">
        <v>24</v>
      </c>
      <c r="J170" t="s">
        <v>148</v>
      </c>
      <c r="K170" t="s">
        <v>63</v>
      </c>
      <c r="L170">
        <v>2383</v>
      </c>
      <c r="M170">
        <v>6.5398952000000001</v>
      </c>
      <c r="N170">
        <v>25.300132166901456</v>
      </c>
      <c r="O170">
        <v>-5.097733361304882E-2</v>
      </c>
      <c r="P170" s="1" t="str">
        <f>HYPERLINK(".\sm_car_250817_2235\sm_car_250817_2235_169_Ca145TrN_MaLSS_DrSt_ode3_1.png","figure")</f>
        <v>figure</v>
      </c>
      <c r="Q170" t="s">
        <v>15</v>
      </c>
    </row>
    <row r="171" spans="1:17" x14ac:dyDescent="0.25">
      <c r="A171">
        <v>170</v>
      </c>
      <c r="B171">
        <v>145</v>
      </c>
      <c r="C171" t="s">
        <v>46</v>
      </c>
      <c r="D171" t="s">
        <v>17</v>
      </c>
      <c r="E171" t="s">
        <v>50</v>
      </c>
      <c r="F171" t="s">
        <v>19</v>
      </c>
      <c r="G171" t="s">
        <v>26</v>
      </c>
      <c r="H171" t="s">
        <v>21</v>
      </c>
      <c r="I171" t="s">
        <v>64</v>
      </c>
      <c r="J171" t="s">
        <v>148</v>
      </c>
      <c r="K171" t="s">
        <v>63</v>
      </c>
      <c r="L171">
        <v>2381</v>
      </c>
      <c r="M171">
        <v>6.2534748000000002</v>
      </c>
      <c r="N171">
        <v>25.120681006764457</v>
      </c>
      <c r="O171">
        <v>-2.6102218965548429</v>
      </c>
      <c r="P171" s="1" t="str">
        <f>HYPERLINK(".\sm_car_250817_2235\sm_car_250817_2235_170_Ca145TrN_MaTUR_DrSt_ode3_1.png","figure")</f>
        <v>figure</v>
      </c>
      <c r="Q171" t="s">
        <v>15</v>
      </c>
    </row>
    <row r="172" spans="1:17" x14ac:dyDescent="0.25">
      <c r="A172">
        <v>171</v>
      </c>
      <c r="B172">
        <v>199</v>
      </c>
      <c r="C172" t="s">
        <v>46</v>
      </c>
      <c r="D172" t="s">
        <v>17</v>
      </c>
      <c r="E172" t="s">
        <v>109</v>
      </c>
      <c r="F172" t="s">
        <v>19</v>
      </c>
      <c r="G172" t="s">
        <v>26</v>
      </c>
      <c r="H172" t="s">
        <v>21</v>
      </c>
      <c r="I172" t="s">
        <v>22</v>
      </c>
      <c r="J172" t="s">
        <v>148</v>
      </c>
      <c r="K172" t="s">
        <v>63</v>
      </c>
      <c r="L172">
        <v>2647</v>
      </c>
      <c r="M172">
        <v>7.9421701000000002</v>
      </c>
      <c r="N172">
        <v>63.48001673727822</v>
      </c>
      <c r="O172">
        <v>-7.3619758685258905E-5</v>
      </c>
      <c r="P172" s="1" t="str">
        <f>HYPERLINK(".\sm_car_250817_2235\sm_car_250817_2235_171_Ca199TrN_MaWOT_DrSt_ode3_1.png","figure")</f>
        <v>figure</v>
      </c>
      <c r="Q172" t="s">
        <v>15</v>
      </c>
    </row>
    <row r="173" spans="1:17" x14ac:dyDescent="0.25">
      <c r="A173">
        <v>172</v>
      </c>
      <c r="B173">
        <v>199</v>
      </c>
      <c r="C173" t="s">
        <v>46</v>
      </c>
      <c r="D173" t="s">
        <v>17</v>
      </c>
      <c r="E173" t="s">
        <v>109</v>
      </c>
      <c r="F173" t="s">
        <v>19</v>
      </c>
      <c r="G173" t="s">
        <v>26</v>
      </c>
      <c r="H173" t="s">
        <v>21</v>
      </c>
      <c r="I173" t="s">
        <v>24</v>
      </c>
      <c r="J173" t="s">
        <v>148</v>
      </c>
      <c r="K173" t="s">
        <v>63</v>
      </c>
      <c r="L173">
        <v>2385</v>
      </c>
      <c r="M173">
        <v>6.9574468999999999</v>
      </c>
      <c r="N173">
        <v>25.919530857830136</v>
      </c>
      <c r="O173">
        <v>-5.378821615555672E-2</v>
      </c>
      <c r="P173" s="1" t="str">
        <f>HYPERLINK(".\sm_car_250817_2235\sm_car_250817_2235_172_Ca199TrN_MaLSS_DrSt_ode3_1.png","figure")</f>
        <v>figure</v>
      </c>
      <c r="Q173" t="s">
        <v>15</v>
      </c>
    </row>
    <row r="174" spans="1:17" x14ac:dyDescent="0.25">
      <c r="A174">
        <v>173</v>
      </c>
      <c r="B174">
        <v>199</v>
      </c>
      <c r="C174" t="s">
        <v>46</v>
      </c>
      <c r="D174" t="s">
        <v>17</v>
      </c>
      <c r="E174" t="s">
        <v>109</v>
      </c>
      <c r="F174" t="s">
        <v>19</v>
      </c>
      <c r="G174" t="s">
        <v>26</v>
      </c>
      <c r="H174" t="s">
        <v>21</v>
      </c>
      <c r="I174" t="s">
        <v>64</v>
      </c>
      <c r="J174" t="s">
        <v>148</v>
      </c>
      <c r="K174" t="s">
        <v>63</v>
      </c>
      <c r="L174">
        <v>2384</v>
      </c>
      <c r="M174">
        <v>6.8748208000000002</v>
      </c>
      <c r="N174">
        <v>25.734126782305804</v>
      </c>
      <c r="O174">
        <v>-2.6938230537996364</v>
      </c>
      <c r="P174" s="1" t="str">
        <f>HYPERLINK(".\sm_car_250817_2235\sm_car_250817_2235_173_Ca199TrN_MaTUR_DrSt_ode3_1.png","figure")</f>
        <v>figure</v>
      </c>
      <c r="Q174" t="s">
        <v>15</v>
      </c>
    </row>
    <row r="175" spans="1:17" x14ac:dyDescent="0.25">
      <c r="A175">
        <v>174</v>
      </c>
      <c r="B175">
        <v>139</v>
      </c>
      <c r="C175" t="s">
        <v>45</v>
      </c>
      <c r="D175" t="s">
        <v>17</v>
      </c>
      <c r="E175" t="s">
        <v>18</v>
      </c>
      <c r="F175" t="s">
        <v>19</v>
      </c>
      <c r="G175" t="s">
        <v>26</v>
      </c>
      <c r="H175" t="s">
        <v>21</v>
      </c>
      <c r="I175" t="s">
        <v>53</v>
      </c>
      <c r="J175" t="s">
        <v>148</v>
      </c>
      <c r="K175" t="s">
        <v>23</v>
      </c>
      <c r="L175">
        <v>551</v>
      </c>
      <c r="M175">
        <v>13.6650641</v>
      </c>
      <c r="N175">
        <v>254.48230216838044</v>
      </c>
      <c r="O175">
        <v>-7.9092215445850655E-3</v>
      </c>
      <c r="P175" s="1" t="str">
        <f>HYPERLINK(".\sm_car_250817_2235\sm_car_250817_2235_174_Ca139TrN_MaDLC_DrSt_ode23t_1.png","figure")</f>
        <v>figure</v>
      </c>
      <c r="Q175" t="s">
        <v>15</v>
      </c>
    </row>
    <row r="176" spans="1:17" x14ac:dyDescent="0.25">
      <c r="A176">
        <v>175</v>
      </c>
      <c r="B176">
        <v>139</v>
      </c>
      <c r="C176" t="s">
        <v>45</v>
      </c>
      <c r="D176" t="s">
        <v>17</v>
      </c>
      <c r="E176" t="s">
        <v>18</v>
      </c>
      <c r="F176" t="s">
        <v>19</v>
      </c>
      <c r="G176" t="s">
        <v>26</v>
      </c>
      <c r="H176" t="s">
        <v>65</v>
      </c>
      <c r="I176" t="s">
        <v>53</v>
      </c>
      <c r="J176" t="s">
        <v>148</v>
      </c>
      <c r="K176" t="s">
        <v>23</v>
      </c>
      <c r="L176">
        <v>909</v>
      </c>
      <c r="M176">
        <v>32.732043400000002</v>
      </c>
      <c r="N176">
        <v>253.28281947582877</v>
      </c>
      <c r="O176">
        <v>0.15910667530003586</v>
      </c>
      <c r="P176" s="1" t="str">
        <f>HYPERLINK(".\sm_car_250817_2235\sm_car_250817_2235_175_Ca139TrE_MaDLC_DrSt_ode23t_1.png","figure")</f>
        <v>figure</v>
      </c>
      <c r="Q176" t="s">
        <v>15</v>
      </c>
    </row>
    <row r="177" spans="1:17" x14ac:dyDescent="0.25">
      <c r="A177">
        <v>176</v>
      </c>
      <c r="B177">
        <v>139</v>
      </c>
      <c r="C177" t="s">
        <v>45</v>
      </c>
      <c r="D177" t="s">
        <v>17</v>
      </c>
      <c r="E177" t="s">
        <v>18</v>
      </c>
      <c r="F177" t="s">
        <v>19</v>
      </c>
      <c r="G177" t="s">
        <v>26</v>
      </c>
      <c r="H177" t="s">
        <v>66</v>
      </c>
      <c r="I177" t="s">
        <v>53</v>
      </c>
      <c r="J177" t="s">
        <v>148</v>
      </c>
      <c r="K177" t="s">
        <v>23</v>
      </c>
      <c r="L177">
        <v>920</v>
      </c>
      <c r="M177">
        <v>32.915786699999998</v>
      </c>
      <c r="N177">
        <v>253.81201061809691</v>
      </c>
      <c r="O177">
        <v>-8.5153596662745912E-3</v>
      </c>
      <c r="P177" s="1" t="str">
        <f>HYPERLINK(".\sm_car_250817_2235\sm_car_250817_2235_176_Ca139TrT_MaDLC_DrSt_ode23t_1.png","figure")</f>
        <v>figure</v>
      </c>
      <c r="Q177" t="s">
        <v>15</v>
      </c>
    </row>
    <row r="178" spans="1:17" x14ac:dyDescent="0.25">
      <c r="A178">
        <v>177</v>
      </c>
      <c r="B178">
        <v>139</v>
      </c>
      <c r="C178" t="s">
        <v>45</v>
      </c>
      <c r="D178" t="s">
        <v>17</v>
      </c>
      <c r="E178" t="s">
        <v>18</v>
      </c>
      <c r="F178" t="s">
        <v>19</v>
      </c>
      <c r="G178" t="s">
        <v>26</v>
      </c>
      <c r="H178" t="s">
        <v>65</v>
      </c>
      <c r="I178" t="s">
        <v>53</v>
      </c>
      <c r="J178" t="s">
        <v>148</v>
      </c>
      <c r="K178" t="s">
        <v>23</v>
      </c>
      <c r="L178">
        <v>808</v>
      </c>
      <c r="M178">
        <v>24.214229899999999</v>
      </c>
      <c r="N178">
        <v>253.37292452022604</v>
      </c>
      <c r="O178">
        <v>1.0494960137965137E-2</v>
      </c>
      <c r="P178" s="1" t="str">
        <f>HYPERLINK(".\sm_car_250817_2235\sm_car_250817_2235_177_Ca139TrE_MaDLC_DrSt_ode23t_1.png","figure")</f>
        <v>figure</v>
      </c>
      <c r="Q178" t="s">
        <v>15</v>
      </c>
    </row>
    <row r="179" spans="1:17" x14ac:dyDescent="0.25">
      <c r="A179">
        <v>178</v>
      </c>
      <c r="B179">
        <v>2</v>
      </c>
      <c r="C179" t="s">
        <v>16</v>
      </c>
      <c r="D179" t="s">
        <v>17</v>
      </c>
      <c r="E179" t="s">
        <v>18</v>
      </c>
      <c r="F179" t="s">
        <v>19</v>
      </c>
      <c r="G179" t="s">
        <v>26</v>
      </c>
      <c r="H179" t="s">
        <v>21</v>
      </c>
      <c r="I179" t="s">
        <v>53</v>
      </c>
      <c r="J179" t="s">
        <v>148</v>
      </c>
      <c r="K179" t="s">
        <v>23</v>
      </c>
      <c r="L179">
        <v>523</v>
      </c>
      <c r="M179">
        <v>10.206586700000001</v>
      </c>
      <c r="N179">
        <v>253.37972765129274</v>
      </c>
      <c r="O179">
        <v>4.6984542987775768E-2</v>
      </c>
      <c r="P179" s="1" t="str">
        <f>HYPERLINK(".\sm_car_250817_2235\sm_car_250817_2235_178_Ca002TrN_MaDLC_DrSt_ode23t_1.png","figure")</f>
        <v>figure</v>
      </c>
      <c r="Q179" t="s">
        <v>15</v>
      </c>
    </row>
    <row r="180" spans="1:17" x14ac:dyDescent="0.25">
      <c r="A180">
        <v>179</v>
      </c>
      <c r="B180">
        <v>2</v>
      </c>
      <c r="C180" t="s">
        <v>16</v>
      </c>
      <c r="D180" t="s">
        <v>17</v>
      </c>
      <c r="E180" t="s">
        <v>18</v>
      </c>
      <c r="F180" t="s">
        <v>19</v>
      </c>
      <c r="G180" t="s">
        <v>26</v>
      </c>
      <c r="H180" t="s">
        <v>65</v>
      </c>
      <c r="I180" t="s">
        <v>53</v>
      </c>
      <c r="J180" t="s">
        <v>148</v>
      </c>
      <c r="K180" t="s">
        <v>23</v>
      </c>
      <c r="L180">
        <v>576</v>
      </c>
      <c r="M180">
        <v>19.2122332</v>
      </c>
      <c r="N180">
        <v>254.46553087804165</v>
      </c>
      <c r="O180">
        <v>4.3517205296981665E-2</v>
      </c>
      <c r="P180" s="1" t="str">
        <f>HYPERLINK(".\sm_car_250817_2235\sm_car_250817_2235_179_Ca002TrE_MaDLC_DrSt_ode23t_1.png","figure")</f>
        <v>figure</v>
      </c>
      <c r="Q180" t="s">
        <v>15</v>
      </c>
    </row>
    <row r="181" spans="1:17" x14ac:dyDescent="0.25">
      <c r="A181">
        <v>180</v>
      </c>
      <c r="B181">
        <v>2</v>
      </c>
      <c r="C181" t="s">
        <v>16</v>
      </c>
      <c r="D181" t="s">
        <v>17</v>
      </c>
      <c r="E181" t="s">
        <v>18</v>
      </c>
      <c r="F181" t="s">
        <v>19</v>
      </c>
      <c r="G181" t="s">
        <v>26</v>
      </c>
      <c r="H181" t="s">
        <v>66</v>
      </c>
      <c r="I181" t="s">
        <v>53</v>
      </c>
      <c r="J181" t="s">
        <v>148</v>
      </c>
      <c r="K181" t="s">
        <v>23</v>
      </c>
      <c r="L181">
        <v>896</v>
      </c>
      <c r="M181">
        <v>31.012515799999999</v>
      </c>
      <c r="N181">
        <v>254.81911529488212</v>
      </c>
      <c r="O181">
        <v>4.1621502796862053E-2</v>
      </c>
      <c r="P181" s="1" t="str">
        <f>HYPERLINK(".\sm_car_250817_2235\sm_car_250817_2235_180_Ca002TrT_MaDLC_DrSt_ode23t_1.png","figure")</f>
        <v>figure</v>
      </c>
      <c r="Q181" t="s">
        <v>15</v>
      </c>
    </row>
    <row r="182" spans="1:17" x14ac:dyDescent="0.25">
      <c r="A182">
        <v>181</v>
      </c>
      <c r="B182">
        <v>2</v>
      </c>
      <c r="C182" t="s">
        <v>16</v>
      </c>
      <c r="D182" t="s">
        <v>17</v>
      </c>
      <c r="E182" t="s">
        <v>18</v>
      </c>
      <c r="F182" t="s">
        <v>19</v>
      </c>
      <c r="G182" t="s">
        <v>26</v>
      </c>
      <c r="H182" t="s">
        <v>65</v>
      </c>
      <c r="I182" t="s">
        <v>53</v>
      </c>
      <c r="J182" t="s">
        <v>148</v>
      </c>
      <c r="K182" t="s">
        <v>23</v>
      </c>
      <c r="L182">
        <v>572</v>
      </c>
      <c r="M182">
        <v>13.2426703</v>
      </c>
      <c r="N182">
        <v>255.33864448700291</v>
      </c>
      <c r="O182">
        <v>4.0428943518918903E-2</v>
      </c>
      <c r="P182" s="1" t="str">
        <f>HYPERLINK(".\sm_car_250817_2235\sm_car_250817_2235_181_Ca002TrE_MaDLC_DrSt_ode23t_1.png","figure")</f>
        <v>figure</v>
      </c>
      <c r="Q182" t="s">
        <v>15</v>
      </c>
    </row>
    <row r="183" spans="1:17" x14ac:dyDescent="0.25">
      <c r="A183">
        <v>182</v>
      </c>
      <c r="B183">
        <v>145</v>
      </c>
      <c r="C183" t="s">
        <v>46</v>
      </c>
      <c r="D183" t="s">
        <v>17</v>
      </c>
      <c r="E183" t="s">
        <v>50</v>
      </c>
      <c r="F183" t="s">
        <v>19</v>
      </c>
      <c r="G183" t="s">
        <v>26</v>
      </c>
      <c r="H183" t="s">
        <v>21</v>
      </c>
      <c r="I183" t="s">
        <v>53</v>
      </c>
      <c r="J183" t="s">
        <v>148</v>
      </c>
      <c r="K183" t="s">
        <v>23</v>
      </c>
      <c r="L183">
        <v>464</v>
      </c>
      <c r="M183">
        <v>17.2724835</v>
      </c>
      <c r="N183">
        <v>255.28779016135792</v>
      </c>
      <c r="O183">
        <v>6.8415375574617521E-2</v>
      </c>
      <c r="P183" s="1" t="str">
        <f>HYPERLINK(".\sm_car_250817_2235\sm_car_250817_2235_182_Ca145TrN_MaDLC_DrSt_ode23t_1.png","figure")</f>
        <v>figure</v>
      </c>
      <c r="Q183" t="s">
        <v>15</v>
      </c>
    </row>
    <row r="184" spans="1:17" x14ac:dyDescent="0.25">
      <c r="A184">
        <v>183</v>
      </c>
      <c r="B184">
        <v>145</v>
      </c>
      <c r="C184" t="s">
        <v>46</v>
      </c>
      <c r="D184" t="s">
        <v>17</v>
      </c>
      <c r="E184" t="s">
        <v>50</v>
      </c>
      <c r="F184" t="s">
        <v>19</v>
      </c>
      <c r="G184" t="s">
        <v>26</v>
      </c>
      <c r="H184" t="s">
        <v>65</v>
      </c>
      <c r="I184" t="s">
        <v>53</v>
      </c>
      <c r="J184" t="s">
        <v>148</v>
      </c>
      <c r="K184" t="s">
        <v>23</v>
      </c>
      <c r="L184">
        <v>575</v>
      </c>
      <c r="M184">
        <v>32.522402300000003</v>
      </c>
      <c r="N184">
        <v>253.18940683327173</v>
      </c>
      <c r="O184">
        <v>7.9218085624853884E-2</v>
      </c>
      <c r="P184" s="1" t="str">
        <f>HYPERLINK(".\sm_car_250817_2235\sm_car_250817_2235_183_Ca145TrE_MaDLC_DrSt_ode23t_1.png","figure")</f>
        <v>figure</v>
      </c>
      <c r="Q184" t="s">
        <v>15</v>
      </c>
    </row>
    <row r="185" spans="1:17" x14ac:dyDescent="0.25">
      <c r="A185">
        <v>184</v>
      </c>
      <c r="B185">
        <v>145</v>
      </c>
      <c r="C185" t="s">
        <v>46</v>
      </c>
      <c r="D185" t="s">
        <v>17</v>
      </c>
      <c r="E185" t="s">
        <v>50</v>
      </c>
      <c r="F185" t="s">
        <v>19</v>
      </c>
      <c r="G185" t="s">
        <v>26</v>
      </c>
      <c r="H185" t="s">
        <v>66</v>
      </c>
      <c r="I185" t="s">
        <v>53</v>
      </c>
      <c r="J185" t="s">
        <v>148</v>
      </c>
      <c r="K185" t="s">
        <v>23</v>
      </c>
      <c r="L185">
        <v>821</v>
      </c>
      <c r="M185">
        <v>52.098619599999999</v>
      </c>
      <c r="N185">
        <v>253.82295099909237</v>
      </c>
      <c r="O185">
        <v>7.5677056862414549E-2</v>
      </c>
      <c r="P185" s="1" t="str">
        <f>HYPERLINK(".\sm_car_250817_2235\sm_car_250817_2235_184_Ca145TrT_MaDLC_DrSt_ode23t_1.png","figure")</f>
        <v>figure</v>
      </c>
      <c r="Q185" t="s">
        <v>15</v>
      </c>
    </row>
    <row r="186" spans="1:17" x14ac:dyDescent="0.25">
      <c r="A186">
        <v>185</v>
      </c>
      <c r="B186">
        <v>145</v>
      </c>
      <c r="C186" t="s">
        <v>46</v>
      </c>
      <c r="D186" t="s">
        <v>17</v>
      </c>
      <c r="E186" t="s">
        <v>50</v>
      </c>
      <c r="F186" t="s">
        <v>19</v>
      </c>
      <c r="G186" t="s">
        <v>26</v>
      </c>
      <c r="H186" t="s">
        <v>65</v>
      </c>
      <c r="I186" t="s">
        <v>53</v>
      </c>
      <c r="J186" t="s">
        <v>148</v>
      </c>
      <c r="K186" t="s">
        <v>23</v>
      </c>
      <c r="L186">
        <v>582</v>
      </c>
      <c r="M186">
        <v>27.796581</v>
      </c>
      <c r="N186">
        <v>255.92160357683224</v>
      </c>
      <c r="O186">
        <v>6.6290448986210837E-2</v>
      </c>
      <c r="P186" s="1" t="str">
        <f>HYPERLINK(".\sm_car_250817_2235\sm_car_250817_2235_185_Ca145TrE_MaDLC_DrSt_ode23t_1.png","figure")</f>
        <v>figure</v>
      </c>
      <c r="Q186" t="s">
        <v>15</v>
      </c>
    </row>
    <row r="187" spans="1:17" x14ac:dyDescent="0.25">
      <c r="A187">
        <v>186</v>
      </c>
      <c r="B187">
        <v>199</v>
      </c>
      <c r="C187" t="s">
        <v>46</v>
      </c>
      <c r="D187" t="s">
        <v>17</v>
      </c>
      <c r="E187" t="s">
        <v>109</v>
      </c>
      <c r="F187" t="s">
        <v>19</v>
      </c>
      <c r="G187" t="s">
        <v>26</v>
      </c>
      <c r="H187" t="s">
        <v>21</v>
      </c>
      <c r="I187" t="s">
        <v>53</v>
      </c>
      <c r="J187" t="s">
        <v>148</v>
      </c>
      <c r="K187" t="s">
        <v>23</v>
      </c>
      <c r="L187">
        <v>460</v>
      </c>
      <c r="M187">
        <v>6.7839597999999999</v>
      </c>
      <c r="N187">
        <v>255.92488857811145</v>
      </c>
      <c r="O187">
        <v>6.581746077970152E-2</v>
      </c>
      <c r="P187" s="1" t="str">
        <f>HYPERLINK(".\sm_car_250817_2235\sm_car_250817_2235_186_Ca199TrN_MaDLC_DrSt_ode23t_1.png","figure")</f>
        <v>figure</v>
      </c>
      <c r="Q187" t="s">
        <v>15</v>
      </c>
    </row>
    <row r="188" spans="1:17" x14ac:dyDescent="0.25">
      <c r="A188">
        <v>187</v>
      </c>
      <c r="B188">
        <v>199</v>
      </c>
      <c r="C188" t="s">
        <v>46</v>
      </c>
      <c r="D188" t="s">
        <v>17</v>
      </c>
      <c r="E188" t="s">
        <v>109</v>
      </c>
      <c r="F188" t="s">
        <v>19</v>
      </c>
      <c r="G188" t="s">
        <v>26</v>
      </c>
      <c r="H188" t="s">
        <v>65</v>
      </c>
      <c r="I188" t="s">
        <v>53</v>
      </c>
      <c r="J188" t="s">
        <v>148</v>
      </c>
      <c r="K188" t="s">
        <v>23</v>
      </c>
      <c r="L188">
        <v>578</v>
      </c>
      <c r="M188">
        <v>17.5251454</v>
      </c>
      <c r="N188">
        <v>255.42046438808785</v>
      </c>
      <c r="O188">
        <v>6.8616052968871077E-2</v>
      </c>
      <c r="P188" s="1" t="str">
        <f>HYPERLINK(".\sm_car_250817_2235\sm_car_250817_2235_187_Ca199TrE_MaDLC_DrSt_ode23t_1.png","figure")</f>
        <v>figure</v>
      </c>
      <c r="Q188" t="s">
        <v>15</v>
      </c>
    </row>
    <row r="189" spans="1:17" x14ac:dyDescent="0.25">
      <c r="A189">
        <v>188</v>
      </c>
      <c r="B189">
        <v>199</v>
      </c>
      <c r="C189" t="s">
        <v>46</v>
      </c>
      <c r="D189" t="s">
        <v>17</v>
      </c>
      <c r="E189" t="s">
        <v>109</v>
      </c>
      <c r="F189" t="s">
        <v>19</v>
      </c>
      <c r="G189" t="s">
        <v>26</v>
      </c>
      <c r="H189" t="s">
        <v>66</v>
      </c>
      <c r="I189" t="s">
        <v>53</v>
      </c>
      <c r="J189" t="s">
        <v>148</v>
      </c>
      <c r="K189" t="s">
        <v>23</v>
      </c>
      <c r="L189">
        <v>4938</v>
      </c>
      <c r="M189">
        <v>363.2684663</v>
      </c>
      <c r="N189">
        <v>254.73755397058443</v>
      </c>
      <c r="O189">
        <v>7.1138552534791177E-2</v>
      </c>
      <c r="P189" s="1" t="str">
        <f>HYPERLINK(".\sm_car_250817_2235\sm_car_250817_2235_188_Ca199TrT_MaDLC_DrSt_ode23t_1.png","figure")</f>
        <v>figure</v>
      </c>
      <c r="Q189" t="s">
        <v>15</v>
      </c>
    </row>
    <row r="190" spans="1:17" x14ac:dyDescent="0.25">
      <c r="A190">
        <v>189</v>
      </c>
      <c r="B190">
        <v>199</v>
      </c>
      <c r="C190" t="s">
        <v>46</v>
      </c>
      <c r="D190" t="s">
        <v>17</v>
      </c>
      <c r="E190" t="s">
        <v>109</v>
      </c>
      <c r="F190" t="s">
        <v>19</v>
      </c>
      <c r="G190" t="s">
        <v>26</v>
      </c>
      <c r="H190" t="s">
        <v>65</v>
      </c>
      <c r="I190" t="s">
        <v>53</v>
      </c>
      <c r="J190" t="s">
        <v>148</v>
      </c>
      <c r="K190" t="s">
        <v>23</v>
      </c>
      <c r="L190">
        <v>575</v>
      </c>
      <c r="M190">
        <v>12.452129599999999</v>
      </c>
      <c r="N190">
        <v>255.4295444827132</v>
      </c>
      <c r="O190">
        <v>6.8602120633093566E-2</v>
      </c>
      <c r="P190" s="1" t="str">
        <f>HYPERLINK(".\sm_car_250817_2235\sm_car_250817_2235_189_Ca199TrE_MaDLC_DrSt_ode23t_1.png","figure")</f>
        <v>figure</v>
      </c>
      <c r="Q190" t="s">
        <v>15</v>
      </c>
    </row>
    <row r="191" spans="1:17" x14ac:dyDescent="0.25">
      <c r="A191">
        <v>190</v>
      </c>
      <c r="B191">
        <v>189</v>
      </c>
      <c r="C191" t="s">
        <v>45</v>
      </c>
      <c r="D191" t="s">
        <v>17</v>
      </c>
      <c r="E191" t="s">
        <v>107</v>
      </c>
      <c r="F191" t="s">
        <v>19</v>
      </c>
      <c r="G191" t="s">
        <v>26</v>
      </c>
      <c r="H191" t="s">
        <v>65</v>
      </c>
      <c r="I191" t="s">
        <v>67</v>
      </c>
      <c r="J191" t="s">
        <v>148</v>
      </c>
      <c r="K191" t="s">
        <v>23</v>
      </c>
      <c r="L191">
        <v>405</v>
      </c>
      <c r="M191">
        <v>11.3028707</v>
      </c>
      <c r="N191">
        <v>264.55380586259884</v>
      </c>
      <c r="O191">
        <v>8.5979943185510166E-4</v>
      </c>
      <c r="P191" s="1" t="str">
        <f>HYPERLINK(".\sm_car_250817_2235\sm_car_250817_2235_190_Ca189TrE_MaTRD_DrSt_ode23t_1.png","figure")</f>
        <v>figure</v>
      </c>
      <c r="Q191" t="s">
        <v>15</v>
      </c>
    </row>
    <row r="192" spans="1:17" x14ac:dyDescent="0.25">
      <c r="A192">
        <v>191</v>
      </c>
      <c r="B192">
        <v>189</v>
      </c>
      <c r="C192" t="s">
        <v>45</v>
      </c>
      <c r="D192" t="s">
        <v>17</v>
      </c>
      <c r="E192" t="s">
        <v>107</v>
      </c>
      <c r="F192" t="s">
        <v>19</v>
      </c>
      <c r="G192" t="s">
        <v>26</v>
      </c>
      <c r="H192" t="s">
        <v>65</v>
      </c>
      <c r="I192" t="s">
        <v>67</v>
      </c>
      <c r="J192" t="s">
        <v>148</v>
      </c>
      <c r="K192" t="s">
        <v>23</v>
      </c>
      <c r="L192">
        <v>582</v>
      </c>
      <c r="M192">
        <v>13.6646512</v>
      </c>
      <c r="N192">
        <v>264.43775912070703</v>
      </c>
      <c r="O192">
        <v>-7.4998638233056525E-2</v>
      </c>
      <c r="P192" s="1" t="str">
        <f>HYPERLINK(".\sm_car_250817_2235\sm_car_250817_2235_191_Ca189TrU_MaTRD_DrSt_ode23t_1.png","figure")</f>
        <v>figure</v>
      </c>
      <c r="Q192" t="s">
        <v>15</v>
      </c>
    </row>
    <row r="193" spans="1:17" x14ac:dyDescent="0.25">
      <c r="A193">
        <v>192</v>
      </c>
      <c r="B193">
        <v>149</v>
      </c>
      <c r="C193" t="s">
        <v>46</v>
      </c>
      <c r="D193" t="s">
        <v>17</v>
      </c>
      <c r="E193" t="s">
        <v>68</v>
      </c>
      <c r="F193" t="s">
        <v>19</v>
      </c>
      <c r="G193" t="s">
        <v>26</v>
      </c>
      <c r="H193" t="s">
        <v>21</v>
      </c>
      <c r="I193" t="s">
        <v>69</v>
      </c>
      <c r="J193" t="s">
        <v>148</v>
      </c>
      <c r="K193" t="s">
        <v>23</v>
      </c>
      <c r="L193">
        <v>674</v>
      </c>
      <c r="M193">
        <v>9.6219964999999998</v>
      </c>
      <c r="N193">
        <v>-5.8051000590464419E-3</v>
      </c>
      <c r="O193">
        <v>-4.0257958394901427E-4</v>
      </c>
      <c r="P193" s="1" t="str">
        <f>HYPERLINK(".\sm_car_250817_2235\sm_car_250817_2235_192_Ca149TrN_MaPST_DrSt_ode23t_1.png","figure")</f>
        <v>figure</v>
      </c>
      <c r="Q193" t="s">
        <v>15</v>
      </c>
    </row>
    <row r="194" spans="1:17" x14ac:dyDescent="0.25">
      <c r="A194">
        <v>193</v>
      </c>
      <c r="B194">
        <v>139</v>
      </c>
      <c r="C194" t="s">
        <v>45</v>
      </c>
      <c r="D194" t="s">
        <v>17</v>
      </c>
      <c r="E194" t="s">
        <v>18</v>
      </c>
      <c r="F194" t="s">
        <v>19</v>
      </c>
      <c r="G194" t="s">
        <v>26</v>
      </c>
      <c r="H194" t="s">
        <v>21</v>
      </c>
      <c r="I194" t="s">
        <v>70</v>
      </c>
      <c r="J194" t="s">
        <v>148</v>
      </c>
      <c r="K194" t="s">
        <v>23</v>
      </c>
      <c r="L194">
        <v>1537</v>
      </c>
      <c r="M194">
        <v>36.749917500000002</v>
      </c>
      <c r="N194">
        <v>36.411506987285911</v>
      </c>
      <c r="O194">
        <v>0.23162371146229152</v>
      </c>
      <c r="P194" s="1" t="str">
        <f>HYPERLINK(".\sm_car_250817_2235\sm_car_250817_2235_193_Ca139TrN_MaSKD_DrSt_ode23t_1.png","figure")</f>
        <v>figure</v>
      </c>
      <c r="Q194" t="s">
        <v>15</v>
      </c>
    </row>
    <row r="195" spans="1:17" x14ac:dyDescent="0.25">
      <c r="A195">
        <v>194</v>
      </c>
      <c r="B195">
        <v>139</v>
      </c>
      <c r="C195" t="s">
        <v>45</v>
      </c>
      <c r="D195" t="s">
        <v>17</v>
      </c>
      <c r="E195" t="s">
        <v>18</v>
      </c>
      <c r="F195" t="s">
        <v>19</v>
      </c>
      <c r="G195" t="s">
        <v>26</v>
      </c>
      <c r="H195" t="s">
        <v>21</v>
      </c>
      <c r="I195" t="s">
        <v>71</v>
      </c>
      <c r="J195" t="s">
        <v>148</v>
      </c>
      <c r="K195" t="s">
        <v>23</v>
      </c>
      <c r="L195">
        <v>840</v>
      </c>
      <c r="M195">
        <v>19.3096444</v>
      </c>
      <c r="N195">
        <v>-7.9766725716083897E-3</v>
      </c>
      <c r="O195">
        <v>20.586922525000926</v>
      </c>
      <c r="P195" s="1" t="str">
        <f>HYPERLINK(".\sm_car_250817_2235\sm_car_250817_2235_194_Ca139TrN_MaRAD_DrSt_ode23t_1.png","figure")</f>
        <v>figure</v>
      </c>
      <c r="Q195" t="s">
        <v>15</v>
      </c>
    </row>
    <row r="196" spans="1:17" x14ac:dyDescent="0.25">
      <c r="A196">
        <v>195</v>
      </c>
      <c r="B196">
        <v>184</v>
      </c>
      <c r="C196" t="s">
        <v>105</v>
      </c>
      <c r="D196" t="s">
        <v>120</v>
      </c>
      <c r="E196" t="s">
        <v>49</v>
      </c>
      <c r="F196" t="s">
        <v>19</v>
      </c>
      <c r="G196" t="s">
        <v>20</v>
      </c>
      <c r="H196" t="s">
        <v>21</v>
      </c>
      <c r="I196" t="s">
        <v>70</v>
      </c>
      <c r="J196" t="s">
        <v>148</v>
      </c>
      <c r="K196" t="s">
        <v>23</v>
      </c>
      <c r="L196">
        <v>1317</v>
      </c>
      <c r="M196">
        <v>50.245946699999998</v>
      </c>
      <c r="N196">
        <v>36.443109010693945</v>
      </c>
      <c r="O196">
        <v>0.1601184171461276</v>
      </c>
      <c r="P196" s="1" t="str">
        <f>HYPERLINK(".\sm_car_250817_2235\sm_car_250817_2235_195_Ca184TrN_MaSKD_DrSt_ode23t_1.png","figure")</f>
        <v>figure</v>
      </c>
      <c r="Q196" t="s">
        <v>15</v>
      </c>
    </row>
    <row r="197" spans="1:17" x14ac:dyDescent="0.25">
      <c r="A197">
        <v>196</v>
      </c>
      <c r="B197">
        <v>184</v>
      </c>
      <c r="C197" t="s">
        <v>105</v>
      </c>
      <c r="D197" t="s">
        <v>120</v>
      </c>
      <c r="E197" t="s">
        <v>49</v>
      </c>
      <c r="F197" t="s">
        <v>19</v>
      </c>
      <c r="G197" t="s">
        <v>20</v>
      </c>
      <c r="H197" t="s">
        <v>21</v>
      </c>
      <c r="I197" t="s">
        <v>71</v>
      </c>
      <c r="J197" t="s">
        <v>148</v>
      </c>
      <c r="K197" t="s">
        <v>23</v>
      </c>
      <c r="L197">
        <v>637</v>
      </c>
      <c r="M197">
        <v>23.5488623</v>
      </c>
      <c r="N197">
        <v>7.4816507501322675</v>
      </c>
      <c r="O197">
        <v>10.377818260095081</v>
      </c>
      <c r="P197" s="1" t="str">
        <f>HYPERLINK(".\sm_car_250817_2235\sm_car_250817_2235_196_Ca184TrN_MaRAD_DrSt_ode23t_1.png","figure")</f>
        <v>figure</v>
      </c>
      <c r="Q197" t="s">
        <v>15</v>
      </c>
    </row>
    <row r="198" spans="1:17" x14ac:dyDescent="0.25">
      <c r="A198">
        <v>197</v>
      </c>
      <c r="B198">
        <v>228</v>
      </c>
      <c r="C198" t="s">
        <v>160</v>
      </c>
      <c r="D198" t="s">
        <v>35</v>
      </c>
      <c r="E198" t="s">
        <v>107</v>
      </c>
      <c r="F198" t="s">
        <v>19</v>
      </c>
      <c r="G198" t="s">
        <v>26</v>
      </c>
      <c r="H198" t="s">
        <v>21</v>
      </c>
      <c r="I198" t="s">
        <v>70</v>
      </c>
      <c r="J198" t="s">
        <v>148</v>
      </c>
      <c r="K198" t="s">
        <v>23</v>
      </c>
      <c r="L198">
        <v>1698</v>
      </c>
      <c r="M198">
        <v>7.2698524999999998</v>
      </c>
      <c r="N198">
        <v>36.35703316873537</v>
      </c>
      <c r="O198">
        <v>0.58349628998970449</v>
      </c>
      <c r="P198" s="1" t="str">
        <f>HYPERLINK(".\sm_car_250817_2235\sm_car_250817_2235_197_Ca228TrN_MaSKD_DrSt_ode23t_1.png","figure")</f>
        <v>figure</v>
      </c>
      <c r="Q198" t="s">
        <v>15</v>
      </c>
    </row>
    <row r="199" spans="1:17" x14ac:dyDescent="0.25">
      <c r="A199">
        <v>198</v>
      </c>
      <c r="B199">
        <v>228</v>
      </c>
      <c r="C199" t="s">
        <v>160</v>
      </c>
      <c r="D199" t="s">
        <v>35</v>
      </c>
      <c r="E199" t="s">
        <v>107</v>
      </c>
      <c r="F199" t="s">
        <v>19</v>
      </c>
      <c r="G199" t="s">
        <v>26</v>
      </c>
      <c r="H199" t="s">
        <v>21</v>
      </c>
      <c r="I199" t="s">
        <v>71</v>
      </c>
      <c r="J199" t="s">
        <v>148</v>
      </c>
      <c r="K199" t="s">
        <v>23</v>
      </c>
      <c r="L199">
        <v>779</v>
      </c>
      <c r="M199">
        <v>3.7502418</v>
      </c>
      <c r="N199">
        <v>6.9926628367441701</v>
      </c>
      <c r="O199">
        <v>19.382076768401451</v>
      </c>
      <c r="P199" s="1" t="str">
        <f>HYPERLINK(".\sm_car_250817_2235\sm_car_250817_2235_198_Ca228TrN_MaRAD_DrSt_ode23t_1.png","figure")</f>
        <v>figure</v>
      </c>
      <c r="Q199" t="s">
        <v>15</v>
      </c>
    </row>
    <row r="200" spans="1:17" x14ac:dyDescent="0.25">
      <c r="A200">
        <v>199</v>
      </c>
      <c r="B200">
        <v>230</v>
      </c>
      <c r="C200" t="s">
        <v>160</v>
      </c>
      <c r="D200" t="s">
        <v>161</v>
      </c>
      <c r="E200" t="s">
        <v>162</v>
      </c>
      <c r="F200" t="s">
        <v>19</v>
      </c>
      <c r="G200" t="s">
        <v>26</v>
      </c>
      <c r="H200" t="s">
        <v>21</v>
      </c>
      <c r="I200" t="s">
        <v>70</v>
      </c>
      <c r="J200" t="s">
        <v>148</v>
      </c>
      <c r="K200" t="s">
        <v>23</v>
      </c>
      <c r="L200">
        <v>1388</v>
      </c>
      <c r="M200">
        <v>26.691788500000001</v>
      </c>
      <c r="N200">
        <v>36.690164493753763</v>
      </c>
      <c r="O200">
        <v>0.18097504337753731</v>
      </c>
      <c r="P200" s="1" t="str">
        <f>HYPERLINK(".\sm_car_250817_2235\sm_car_250817_2235_199_Ca230TrN_MaSKD_DrSt_ode23t_1.png","figure")</f>
        <v>figure</v>
      </c>
      <c r="Q200" t="s">
        <v>15</v>
      </c>
    </row>
    <row r="201" spans="1:17" x14ac:dyDescent="0.25">
      <c r="A201">
        <v>200</v>
      </c>
      <c r="B201">
        <v>230</v>
      </c>
      <c r="C201" t="s">
        <v>160</v>
      </c>
      <c r="D201" t="s">
        <v>161</v>
      </c>
      <c r="E201" t="s">
        <v>162</v>
      </c>
      <c r="F201" t="s">
        <v>19</v>
      </c>
      <c r="G201" t="s">
        <v>26</v>
      </c>
      <c r="H201" t="s">
        <v>21</v>
      </c>
      <c r="I201" t="s">
        <v>71</v>
      </c>
      <c r="J201" t="s">
        <v>148</v>
      </c>
      <c r="K201" t="s">
        <v>23</v>
      </c>
      <c r="L201">
        <v>696</v>
      </c>
      <c r="M201">
        <v>13.388434500000001</v>
      </c>
      <c r="N201">
        <v>5.446211246340976</v>
      </c>
      <c r="O201">
        <v>14.200515097894913</v>
      </c>
      <c r="P201" s="1" t="str">
        <f>HYPERLINK(".\sm_car_250817_2235\sm_car_250817_2235_200_Ca230TrN_MaRAD_DrSt_ode23t_1.png","figure")</f>
        <v>figure</v>
      </c>
      <c r="Q201" t="s">
        <v>15</v>
      </c>
    </row>
    <row r="202" spans="1:17" x14ac:dyDescent="0.25">
      <c r="A202">
        <v>201</v>
      </c>
      <c r="B202">
        <v>198</v>
      </c>
      <c r="C202" t="s">
        <v>105</v>
      </c>
      <c r="D202" t="s">
        <v>120</v>
      </c>
      <c r="E202" t="s">
        <v>107</v>
      </c>
      <c r="F202" t="s">
        <v>19</v>
      </c>
      <c r="G202" t="s">
        <v>20</v>
      </c>
      <c r="H202" t="s">
        <v>21</v>
      </c>
      <c r="I202" t="s">
        <v>70</v>
      </c>
      <c r="J202" t="s">
        <v>148</v>
      </c>
      <c r="K202" t="s">
        <v>23</v>
      </c>
      <c r="L202">
        <v>1401</v>
      </c>
      <c r="M202">
        <v>30.635819300000001</v>
      </c>
      <c r="N202">
        <v>36.3691650041484</v>
      </c>
      <c r="O202">
        <v>0.16202272545372895</v>
      </c>
      <c r="P202" s="1" t="str">
        <f>HYPERLINK(".\sm_car_250817_2235\sm_car_250817_2235_201_Ca198TrN_MaSKD_DrSt_ode23t_1.png","figure")</f>
        <v>figure</v>
      </c>
      <c r="Q202" t="s">
        <v>15</v>
      </c>
    </row>
    <row r="203" spans="1:17" x14ac:dyDescent="0.25">
      <c r="A203">
        <v>202</v>
      </c>
      <c r="B203">
        <v>198</v>
      </c>
      <c r="C203" t="s">
        <v>105</v>
      </c>
      <c r="D203" t="s">
        <v>120</v>
      </c>
      <c r="E203" t="s">
        <v>107</v>
      </c>
      <c r="F203" t="s">
        <v>19</v>
      </c>
      <c r="G203" t="s">
        <v>20</v>
      </c>
      <c r="H203" t="s">
        <v>21</v>
      </c>
      <c r="I203" t="s">
        <v>71</v>
      </c>
      <c r="J203" t="s">
        <v>148</v>
      </c>
      <c r="K203" t="s">
        <v>23</v>
      </c>
      <c r="L203">
        <v>685</v>
      </c>
      <c r="M203">
        <v>14.626345300000001</v>
      </c>
      <c r="N203">
        <v>7.5235895965044257</v>
      </c>
      <c r="O203">
        <v>10.293901527350551</v>
      </c>
      <c r="P203" s="1" t="str">
        <f>HYPERLINK(".\sm_car_250817_2235\sm_car_250817_2235_202_Ca198TrN_MaRAD_DrSt_ode23t_1.png","figure")</f>
        <v>figure</v>
      </c>
      <c r="Q203" t="s">
        <v>15</v>
      </c>
    </row>
    <row r="204" spans="1:17" x14ac:dyDescent="0.25">
      <c r="A204">
        <v>203</v>
      </c>
      <c r="B204">
        <v>189</v>
      </c>
      <c r="C204" t="s">
        <v>45</v>
      </c>
      <c r="D204" t="s">
        <v>17</v>
      </c>
      <c r="E204" t="s">
        <v>107</v>
      </c>
      <c r="F204" t="s">
        <v>19</v>
      </c>
      <c r="G204" t="s">
        <v>26</v>
      </c>
      <c r="H204" t="s">
        <v>21</v>
      </c>
      <c r="I204" t="s">
        <v>132</v>
      </c>
      <c r="J204" t="s">
        <v>148</v>
      </c>
      <c r="K204" t="s">
        <v>23</v>
      </c>
      <c r="L204">
        <v>573</v>
      </c>
      <c r="M204">
        <v>9.6487996999999996</v>
      </c>
      <c r="N204">
        <v>137.85158749386284</v>
      </c>
      <c r="O204">
        <v>-12.865455681196384</v>
      </c>
      <c r="P204" s="1" t="str">
        <f>HYPERLINK(".\sm_car_250817_2235\sm_car_250817_2235_203_Ca189TrN_MaFSH_DrSt_ode23t_1.png","figure")</f>
        <v>figure</v>
      </c>
      <c r="Q204" t="s">
        <v>15</v>
      </c>
    </row>
    <row r="205" spans="1:17" x14ac:dyDescent="0.25">
      <c r="A205">
        <v>204</v>
      </c>
      <c r="B205">
        <v>189</v>
      </c>
      <c r="C205" t="s">
        <v>45</v>
      </c>
      <c r="D205" t="s">
        <v>17</v>
      </c>
      <c r="E205" t="s">
        <v>107</v>
      </c>
      <c r="F205" t="s">
        <v>19</v>
      </c>
      <c r="G205" t="s">
        <v>26</v>
      </c>
      <c r="H205" t="s">
        <v>21</v>
      </c>
      <c r="I205" t="s">
        <v>133</v>
      </c>
      <c r="J205" t="s">
        <v>148</v>
      </c>
      <c r="K205" t="s">
        <v>23</v>
      </c>
      <c r="L205">
        <v>428</v>
      </c>
      <c r="M205">
        <v>6.9897501999999996</v>
      </c>
      <c r="N205">
        <v>129.50713881038286</v>
      </c>
      <c r="O205">
        <v>-8.8160683161559881</v>
      </c>
      <c r="P205" s="1" t="str">
        <f>HYPERLINK(".\sm_car_250817_2235\sm_car_250817_2235_204_Ca189TrN_MaSWD_DrSt_ode23t_1.png","figure")</f>
        <v>figure</v>
      </c>
      <c r="Q205" t="s">
        <v>15</v>
      </c>
    </row>
    <row r="206" spans="1:17" x14ac:dyDescent="0.25">
      <c r="A206">
        <v>205</v>
      </c>
      <c r="B206">
        <v>189</v>
      </c>
      <c r="C206" t="s">
        <v>45</v>
      </c>
      <c r="D206" t="s">
        <v>17</v>
      </c>
      <c r="E206" t="s">
        <v>107</v>
      </c>
      <c r="F206" t="s">
        <v>19</v>
      </c>
      <c r="G206" t="s">
        <v>26</v>
      </c>
      <c r="H206" t="s">
        <v>21</v>
      </c>
      <c r="I206" t="s">
        <v>134</v>
      </c>
      <c r="J206" t="s">
        <v>148</v>
      </c>
      <c r="K206" t="s">
        <v>23</v>
      </c>
      <c r="L206">
        <v>436</v>
      </c>
      <c r="M206">
        <v>8.4454615999999998</v>
      </c>
      <c r="N206">
        <v>113.39120621369266</v>
      </c>
      <c r="O206">
        <v>17.935245489007396</v>
      </c>
      <c r="P206" s="1" t="str">
        <f>HYPERLINK(".\sm_car_250817_2235\sm_car_250817_2235_205_Ca189TrN_MaRST_DrSt_ode23t_1.png","figure")</f>
        <v>figure</v>
      </c>
      <c r="Q206" t="s">
        <v>15</v>
      </c>
    </row>
    <row r="207" spans="1:17" x14ac:dyDescent="0.25">
      <c r="A207">
        <v>206</v>
      </c>
      <c r="B207">
        <v>189</v>
      </c>
      <c r="C207" t="s">
        <v>45</v>
      </c>
      <c r="D207" t="s">
        <v>17</v>
      </c>
      <c r="E207" t="s">
        <v>107</v>
      </c>
      <c r="F207" t="s">
        <v>19</v>
      </c>
      <c r="G207" t="s">
        <v>26</v>
      </c>
      <c r="H207" t="s">
        <v>21</v>
      </c>
      <c r="I207" t="s">
        <v>135</v>
      </c>
      <c r="J207" t="s">
        <v>148</v>
      </c>
      <c r="K207" t="s">
        <v>23</v>
      </c>
      <c r="L207">
        <v>609</v>
      </c>
      <c r="M207">
        <v>19.214708099999999</v>
      </c>
      <c r="N207">
        <v>224.04153963564755</v>
      </c>
      <c r="O207">
        <v>0.10748427032403784</v>
      </c>
      <c r="P207" s="1" t="str">
        <f>HYPERLINK(".\sm_car_250817_2235\sm_car_250817_2235_206_Ca189TrN_MaSLA_DrSt_ode23t_1.png","figure")</f>
        <v>figure</v>
      </c>
      <c r="Q207" t="s">
        <v>15</v>
      </c>
    </row>
    <row r="208" spans="1:17" x14ac:dyDescent="0.25">
      <c r="A208">
        <v>207</v>
      </c>
      <c r="B208">
        <v>218</v>
      </c>
      <c r="C208" t="s">
        <v>16</v>
      </c>
      <c r="D208" t="s">
        <v>128</v>
      </c>
      <c r="E208" t="s">
        <v>107</v>
      </c>
      <c r="F208" t="s">
        <v>19</v>
      </c>
      <c r="G208" t="s">
        <v>26</v>
      </c>
      <c r="H208" t="s">
        <v>21</v>
      </c>
      <c r="I208" t="s">
        <v>132</v>
      </c>
      <c r="J208" t="s">
        <v>148</v>
      </c>
      <c r="K208" t="s">
        <v>23</v>
      </c>
      <c r="L208">
        <v>572</v>
      </c>
      <c r="M208">
        <v>8.1613010999999993</v>
      </c>
      <c r="N208">
        <v>102.01961188005879</v>
      </c>
      <c r="O208">
        <v>-21.929951668617989</v>
      </c>
      <c r="P208" s="1" t="str">
        <f>HYPERLINK(".\sm_car_250817_2235\sm_car_250817_2235_207_Ca218TrN_MaFSH_DrSt_ode23t_1.png","figure")</f>
        <v>figure</v>
      </c>
      <c r="Q208" t="s">
        <v>15</v>
      </c>
    </row>
    <row r="209" spans="1:17" x14ac:dyDescent="0.25">
      <c r="A209">
        <v>208</v>
      </c>
      <c r="B209">
        <v>218</v>
      </c>
      <c r="C209" t="s">
        <v>16</v>
      </c>
      <c r="D209" t="s">
        <v>128</v>
      </c>
      <c r="E209" t="s">
        <v>107</v>
      </c>
      <c r="F209" t="s">
        <v>19</v>
      </c>
      <c r="G209" t="s">
        <v>26</v>
      </c>
      <c r="H209" t="s">
        <v>21</v>
      </c>
      <c r="I209" t="s">
        <v>133</v>
      </c>
      <c r="J209" t="s">
        <v>148</v>
      </c>
      <c r="K209" t="s">
        <v>23</v>
      </c>
      <c r="L209">
        <v>452</v>
      </c>
      <c r="M209">
        <v>6.5511831999999997</v>
      </c>
      <c r="N209">
        <v>136.84009958925125</v>
      </c>
      <c r="O209">
        <v>-8.9134489178926746</v>
      </c>
      <c r="P209" s="1" t="str">
        <f>HYPERLINK(".\sm_car_250817_2235\sm_car_250817_2235_208_Ca218TrN_MaSWD_DrSt_ode23t_1.png","figure")</f>
        <v>figure</v>
      </c>
      <c r="Q209" t="s">
        <v>15</v>
      </c>
    </row>
    <row r="210" spans="1:17" x14ac:dyDescent="0.25">
      <c r="A210">
        <v>209</v>
      </c>
      <c r="B210">
        <v>218</v>
      </c>
      <c r="C210" t="s">
        <v>16</v>
      </c>
      <c r="D210" t="s">
        <v>128</v>
      </c>
      <c r="E210" t="s">
        <v>107</v>
      </c>
      <c r="F210" t="s">
        <v>19</v>
      </c>
      <c r="G210" t="s">
        <v>26</v>
      </c>
      <c r="H210" t="s">
        <v>21</v>
      </c>
      <c r="I210" t="s">
        <v>134</v>
      </c>
      <c r="J210" t="s">
        <v>148</v>
      </c>
      <c r="K210" t="s">
        <v>23</v>
      </c>
      <c r="L210">
        <v>383</v>
      </c>
      <c r="M210">
        <v>5.9276957000000001</v>
      </c>
      <c r="N210">
        <v>102.53247465847821</v>
      </c>
      <c r="O210">
        <v>29.401306717856503</v>
      </c>
      <c r="P210" s="1" t="str">
        <f>HYPERLINK(".\sm_car_250817_2235\sm_car_250817_2235_209_Ca218TrN_MaRST_DrSt_ode23t_1.png","figure")</f>
        <v>figure</v>
      </c>
      <c r="Q210" t="s">
        <v>15</v>
      </c>
    </row>
    <row r="211" spans="1:17" x14ac:dyDescent="0.25">
      <c r="A211">
        <v>210</v>
      </c>
      <c r="B211">
        <v>218</v>
      </c>
      <c r="C211" t="s">
        <v>16</v>
      </c>
      <c r="D211" t="s">
        <v>128</v>
      </c>
      <c r="E211" t="s">
        <v>107</v>
      </c>
      <c r="F211" t="s">
        <v>19</v>
      </c>
      <c r="G211" t="s">
        <v>26</v>
      </c>
      <c r="H211" t="s">
        <v>21</v>
      </c>
      <c r="I211" t="s">
        <v>135</v>
      </c>
      <c r="J211" t="s">
        <v>148</v>
      </c>
      <c r="K211" t="s">
        <v>23</v>
      </c>
      <c r="L211">
        <v>677</v>
      </c>
      <c r="M211">
        <v>17.403343199999998</v>
      </c>
      <c r="N211">
        <v>222.43842325020231</v>
      </c>
      <c r="O211">
        <v>0.106027344099868</v>
      </c>
      <c r="P211" s="1" t="str">
        <f>HYPERLINK(".\sm_car_250817_2235\sm_car_250817_2235_210_Ca218TrN_MaSLA_DrSt_ode23t_1.png","figure")</f>
        <v>figure</v>
      </c>
      <c r="Q211" t="s">
        <v>15</v>
      </c>
    </row>
    <row r="212" spans="1:17" x14ac:dyDescent="0.25">
      <c r="A212">
        <v>211</v>
      </c>
      <c r="B212">
        <v>156</v>
      </c>
      <c r="C212" t="s">
        <v>45</v>
      </c>
      <c r="D212" t="s">
        <v>17</v>
      </c>
      <c r="E212" t="s">
        <v>18</v>
      </c>
      <c r="F212" t="s">
        <v>19</v>
      </c>
      <c r="G212" t="s">
        <v>38</v>
      </c>
      <c r="H212" t="s">
        <v>21</v>
      </c>
      <c r="I212" t="s">
        <v>54</v>
      </c>
      <c r="J212" t="s">
        <v>148</v>
      </c>
      <c r="K212" t="s">
        <v>23</v>
      </c>
      <c r="L212">
        <v>25037</v>
      </c>
      <c r="M212">
        <v>339.5407697</v>
      </c>
      <c r="N212">
        <v>19.226875955339338</v>
      </c>
      <c r="O212">
        <v>2.7639192621126134</v>
      </c>
      <c r="P212" s="1" t="str">
        <f>HYPERLINK(".\sm_car_250817_2235\sm_car_250817_2235_211_Ca156TrN_MaIPA_DrSt_ode23t.png","figure")</f>
        <v>figure</v>
      </c>
      <c r="Q212" t="s">
        <v>15</v>
      </c>
    </row>
    <row r="213" spans="1:17" x14ac:dyDescent="0.25">
      <c r="A213">
        <v>212</v>
      </c>
      <c r="B213">
        <v>130</v>
      </c>
      <c r="C213" t="s">
        <v>16</v>
      </c>
      <c r="D213" t="s">
        <v>17</v>
      </c>
      <c r="E213" t="s">
        <v>18</v>
      </c>
      <c r="F213" t="s">
        <v>19</v>
      </c>
      <c r="G213" t="s">
        <v>38</v>
      </c>
      <c r="H213" t="s">
        <v>21</v>
      </c>
      <c r="I213" t="s">
        <v>54</v>
      </c>
      <c r="J213" t="s">
        <v>148</v>
      </c>
      <c r="K213" t="s">
        <v>23</v>
      </c>
      <c r="L213">
        <v>17929</v>
      </c>
      <c r="M213">
        <v>262.43727639999997</v>
      </c>
      <c r="N213">
        <v>16.20295748789281</v>
      </c>
      <c r="O213">
        <v>0.55265505557639238</v>
      </c>
      <c r="P213" s="1" t="str">
        <f>HYPERLINK(".\sm_car_250817_2235\sm_car_250817_2235_212_Ca130TrN_MaIPA_DrSt_ode23t.png","figure")</f>
        <v>figure</v>
      </c>
      <c r="Q213" t="s">
        <v>15</v>
      </c>
    </row>
    <row r="214" spans="1:17" x14ac:dyDescent="0.25">
      <c r="A214">
        <v>213</v>
      </c>
      <c r="B214">
        <v>171</v>
      </c>
      <c r="C214" t="s">
        <v>45</v>
      </c>
      <c r="D214" t="s">
        <v>17</v>
      </c>
      <c r="E214" t="s">
        <v>72</v>
      </c>
      <c r="F214" t="s">
        <v>19</v>
      </c>
      <c r="G214" t="s">
        <v>26</v>
      </c>
      <c r="H214" t="s">
        <v>21</v>
      </c>
      <c r="I214" t="s">
        <v>73</v>
      </c>
      <c r="J214" t="s">
        <v>148</v>
      </c>
      <c r="K214" t="s">
        <v>23</v>
      </c>
      <c r="L214">
        <v>1435</v>
      </c>
      <c r="M214">
        <v>24.438411299999999</v>
      </c>
      <c r="N214">
        <v>334.88442528310787</v>
      </c>
      <c r="O214">
        <v>0.67322496776473162</v>
      </c>
      <c r="P214" s="1" t="str">
        <f>HYPERLINK(".\sm_car_250817_2235\sm_car_250817_2235_213_Ca171TrN_MaRDP_DrSt_ode23t_1.png","figure")</f>
        <v>figure</v>
      </c>
      <c r="Q214" t="s">
        <v>15</v>
      </c>
    </row>
    <row r="215" spans="1:17" x14ac:dyDescent="0.25">
      <c r="A215">
        <v>214</v>
      </c>
      <c r="B215">
        <v>172</v>
      </c>
      <c r="C215" t="s">
        <v>46</v>
      </c>
      <c r="D215" t="s">
        <v>17</v>
      </c>
      <c r="E215" t="s">
        <v>72</v>
      </c>
      <c r="F215" t="s">
        <v>19</v>
      </c>
      <c r="G215" t="s">
        <v>26</v>
      </c>
      <c r="H215" t="s">
        <v>21</v>
      </c>
      <c r="I215" t="s">
        <v>73</v>
      </c>
      <c r="J215" t="s">
        <v>148</v>
      </c>
      <c r="K215" t="s">
        <v>23</v>
      </c>
      <c r="L215">
        <v>1241</v>
      </c>
      <c r="M215">
        <v>12.576019199999999</v>
      </c>
      <c r="N215">
        <v>135.19143548413589</v>
      </c>
      <c r="O215">
        <v>3.5638575598208537E-2</v>
      </c>
      <c r="P215" s="1" t="str">
        <f>HYPERLINK(".\sm_car_250817_2235\sm_car_250817_2235_214_Ca172TrN_MaRDP_DrSt_ode23t_1.png","figure")</f>
        <v>figure</v>
      </c>
      <c r="Q215" t="s">
        <v>15</v>
      </c>
    </row>
    <row r="216" spans="1:17" x14ac:dyDescent="0.25">
      <c r="A216">
        <v>215</v>
      </c>
      <c r="B216">
        <v>139</v>
      </c>
      <c r="C216" t="s">
        <v>45</v>
      </c>
      <c r="D216" t="s">
        <v>17</v>
      </c>
      <c r="E216" t="s">
        <v>18</v>
      </c>
      <c r="F216" t="s">
        <v>19</v>
      </c>
      <c r="G216" t="s">
        <v>26</v>
      </c>
      <c r="H216" t="s">
        <v>21</v>
      </c>
      <c r="I216" t="s">
        <v>74</v>
      </c>
      <c r="J216" t="s">
        <v>148</v>
      </c>
      <c r="K216" t="s">
        <v>23</v>
      </c>
      <c r="L216">
        <v>1580</v>
      </c>
      <c r="M216">
        <v>19.7714751</v>
      </c>
      <c r="N216">
        <v>361.22094480593182</v>
      </c>
      <c r="O216">
        <v>0.72020872314891027</v>
      </c>
      <c r="P216" s="1" t="str">
        <f>HYPERLINK(".\sm_car_250817_2235\sm_car_250817_2235_215_Ca139TrN_MaZPL_DrSt_ode23t_1.png","figure")</f>
        <v>figure</v>
      </c>
      <c r="Q216" t="s">
        <v>15</v>
      </c>
    </row>
    <row r="217" spans="1:17" x14ac:dyDescent="0.25">
      <c r="A217">
        <v>216</v>
      </c>
      <c r="B217">
        <v>165</v>
      </c>
      <c r="C217" t="s">
        <v>45</v>
      </c>
      <c r="D217" t="s">
        <v>35</v>
      </c>
      <c r="E217" t="s">
        <v>49</v>
      </c>
      <c r="F217" t="s">
        <v>19</v>
      </c>
      <c r="G217" t="s">
        <v>26</v>
      </c>
      <c r="H217" t="s">
        <v>21</v>
      </c>
      <c r="I217" t="s">
        <v>74</v>
      </c>
      <c r="J217" t="s">
        <v>148</v>
      </c>
      <c r="K217" t="s">
        <v>23</v>
      </c>
      <c r="L217">
        <v>2085</v>
      </c>
      <c r="M217">
        <v>11.123783599999999</v>
      </c>
      <c r="N217">
        <v>397.61468796591959</v>
      </c>
      <c r="O217">
        <v>0.34020889873195742</v>
      </c>
      <c r="P217" s="1" t="str">
        <f>HYPERLINK(".\sm_car_250817_2235\sm_car_250817_2235_216_Ca165TrN_MaZPL_DrSt_ode23t_1.png","figure")</f>
        <v>figure</v>
      </c>
      <c r="Q217" t="s">
        <v>15</v>
      </c>
    </row>
    <row r="218" spans="1:17" x14ac:dyDescent="0.25">
      <c r="A218">
        <v>217</v>
      </c>
      <c r="B218">
        <v>171</v>
      </c>
      <c r="C218" t="s">
        <v>45</v>
      </c>
      <c r="D218" t="s">
        <v>17</v>
      </c>
      <c r="E218" t="s">
        <v>72</v>
      </c>
      <c r="F218" t="s">
        <v>19</v>
      </c>
      <c r="G218" t="s">
        <v>26</v>
      </c>
      <c r="H218" t="s">
        <v>21</v>
      </c>
      <c r="I218" t="s">
        <v>74</v>
      </c>
      <c r="J218" t="s">
        <v>148</v>
      </c>
      <c r="K218" t="s">
        <v>23</v>
      </c>
      <c r="L218">
        <v>1537</v>
      </c>
      <c r="M218">
        <v>25.8913051</v>
      </c>
      <c r="N218">
        <v>361.25402871573607</v>
      </c>
      <c r="O218">
        <v>0.75420779433164087</v>
      </c>
      <c r="P218" s="1" t="str">
        <f>HYPERLINK(".\sm_car_250817_2235\sm_car_250817_2235_217_Ca171TrN_MaZPL_DrSt_ode23t_1.png","figure")</f>
        <v>figure</v>
      </c>
      <c r="Q218" t="s">
        <v>15</v>
      </c>
    </row>
    <row r="219" spans="1:17" x14ac:dyDescent="0.25">
      <c r="A219">
        <v>218</v>
      </c>
      <c r="B219">
        <v>165</v>
      </c>
      <c r="C219" t="s">
        <v>45</v>
      </c>
      <c r="D219" t="s">
        <v>35</v>
      </c>
      <c r="E219" t="s">
        <v>49</v>
      </c>
      <c r="F219" t="s">
        <v>19</v>
      </c>
      <c r="G219" t="s">
        <v>26</v>
      </c>
      <c r="H219" t="s">
        <v>21</v>
      </c>
      <c r="I219" t="s">
        <v>75</v>
      </c>
      <c r="J219" t="s">
        <v>148</v>
      </c>
      <c r="K219" t="s">
        <v>23</v>
      </c>
      <c r="L219">
        <v>508</v>
      </c>
      <c r="M219">
        <v>5.3410682999999999</v>
      </c>
      <c r="N219">
        <v>378.2755360602157</v>
      </c>
      <c r="O219">
        <v>0.32748422660053694</v>
      </c>
      <c r="P219" s="1" t="str">
        <f>HYPERLINK(".\sm_car_250817_2235\sm_car_250817_2235_218_Ca165TrN_MaCPL_DrSt_ode23t_1.png","figure")</f>
        <v>figure</v>
      </c>
      <c r="Q219" t="s">
        <v>15</v>
      </c>
    </row>
    <row r="220" spans="1:17" x14ac:dyDescent="0.25">
      <c r="A220">
        <v>219</v>
      </c>
      <c r="B220">
        <v>170</v>
      </c>
      <c r="C220" t="s">
        <v>45</v>
      </c>
      <c r="D220" t="s">
        <v>35</v>
      </c>
      <c r="E220" t="s">
        <v>49</v>
      </c>
      <c r="F220" t="s">
        <v>19</v>
      </c>
      <c r="G220" t="s">
        <v>20</v>
      </c>
      <c r="H220" t="s">
        <v>21</v>
      </c>
      <c r="I220" t="s">
        <v>75</v>
      </c>
      <c r="J220" t="s">
        <v>148</v>
      </c>
      <c r="K220" t="s">
        <v>23</v>
      </c>
      <c r="L220">
        <v>470</v>
      </c>
      <c r="M220">
        <v>3.9717720999999999</v>
      </c>
      <c r="N220">
        <v>381.42969780778117</v>
      </c>
      <c r="O220">
        <v>0.33424114293474594</v>
      </c>
      <c r="P220" s="1" t="str">
        <f>HYPERLINK(".\sm_car_250817_2235\sm_car_250817_2235_219_Ca170TrN_MaCPL_DrSt_ode23t_1.png","figure")</f>
        <v>figure</v>
      </c>
      <c r="Q220" t="s">
        <v>15</v>
      </c>
    </row>
    <row r="221" spans="1:17" x14ac:dyDescent="0.25">
      <c r="A221">
        <v>220</v>
      </c>
      <c r="B221">
        <v>171</v>
      </c>
      <c r="C221" t="s">
        <v>45</v>
      </c>
      <c r="D221" t="s">
        <v>17</v>
      </c>
      <c r="E221" t="s">
        <v>72</v>
      </c>
      <c r="F221" t="s">
        <v>19</v>
      </c>
      <c r="G221" t="s">
        <v>26</v>
      </c>
      <c r="H221" t="s">
        <v>21</v>
      </c>
      <c r="I221" t="s">
        <v>76</v>
      </c>
      <c r="J221" t="s">
        <v>148</v>
      </c>
      <c r="K221" t="s">
        <v>23</v>
      </c>
      <c r="L221">
        <v>2728</v>
      </c>
      <c r="M221">
        <v>42.749048199999997</v>
      </c>
      <c r="N221">
        <v>165.07404925304721</v>
      </c>
      <c r="O221">
        <v>1.0866300579809121E-3</v>
      </c>
      <c r="P221" s="1" t="str">
        <f>HYPERLINK(".\sm_car_250817_2235\sm_car_250817_2235_220_Ca171TrN_MaRDR_DrSt_ode23t_1.png","figure")</f>
        <v>figure</v>
      </c>
      <c r="Q221" t="s">
        <v>15</v>
      </c>
    </row>
    <row r="222" spans="1:17" x14ac:dyDescent="0.25">
      <c r="A222">
        <v>221</v>
      </c>
      <c r="B222">
        <v>172</v>
      </c>
      <c r="C222" t="s">
        <v>46</v>
      </c>
      <c r="D222" t="s">
        <v>17</v>
      </c>
      <c r="E222" t="s">
        <v>72</v>
      </c>
      <c r="F222" t="s">
        <v>19</v>
      </c>
      <c r="G222" t="s">
        <v>26</v>
      </c>
      <c r="H222" t="s">
        <v>21</v>
      </c>
      <c r="I222" t="s">
        <v>76</v>
      </c>
      <c r="J222" t="s">
        <v>148</v>
      </c>
      <c r="K222" t="s">
        <v>23</v>
      </c>
      <c r="L222">
        <v>3272</v>
      </c>
      <c r="M222">
        <v>29.2338369</v>
      </c>
      <c r="N222">
        <v>162.25740444485339</v>
      </c>
      <c r="O222">
        <v>3.6795376697546921E-4</v>
      </c>
      <c r="P222" s="1" t="str">
        <f>HYPERLINK(".\sm_car_250817_2235\sm_car_250817_2235_221_Ca172TrN_MaRDR_DrSt_ode23t_1.png","figure")</f>
        <v>figure</v>
      </c>
      <c r="Q222" t="s">
        <v>15</v>
      </c>
    </row>
    <row r="223" spans="1:17" x14ac:dyDescent="0.25">
      <c r="A223">
        <v>222</v>
      </c>
      <c r="B223">
        <v>139</v>
      </c>
      <c r="C223" t="s">
        <v>45</v>
      </c>
      <c r="D223" t="s">
        <v>17</v>
      </c>
      <c r="E223" t="s">
        <v>18</v>
      </c>
      <c r="F223" t="s">
        <v>19</v>
      </c>
      <c r="G223" t="s">
        <v>26</v>
      </c>
      <c r="H223" t="s">
        <v>21</v>
      </c>
      <c r="I223" t="s">
        <v>77</v>
      </c>
      <c r="J223" t="s">
        <v>148</v>
      </c>
      <c r="K223" t="s">
        <v>23</v>
      </c>
      <c r="L223">
        <v>2971</v>
      </c>
      <c r="M223">
        <v>32.294062599999997</v>
      </c>
      <c r="N223">
        <v>189.27199606357712</v>
      </c>
      <c r="O223">
        <v>7.3279473947355199E-4</v>
      </c>
      <c r="P223" s="1" t="str">
        <f>HYPERLINK(".\sm_car_250817_2235\sm_car_250817_2235_222_Ca139TrN_MaZRR_DrSt_ode23t_1.png","figure")</f>
        <v>figure</v>
      </c>
      <c r="Q223" t="s">
        <v>15</v>
      </c>
    </row>
    <row r="224" spans="1:17" x14ac:dyDescent="0.25">
      <c r="A224">
        <v>223</v>
      </c>
      <c r="B224">
        <v>165</v>
      </c>
      <c r="C224" t="s">
        <v>45</v>
      </c>
      <c r="D224" t="s">
        <v>35</v>
      </c>
      <c r="E224" t="s">
        <v>49</v>
      </c>
      <c r="F224" t="s">
        <v>19</v>
      </c>
      <c r="G224" t="s">
        <v>26</v>
      </c>
      <c r="H224" t="s">
        <v>21</v>
      </c>
      <c r="I224" t="s">
        <v>77</v>
      </c>
      <c r="J224" t="s">
        <v>148</v>
      </c>
      <c r="K224" t="s">
        <v>23</v>
      </c>
      <c r="L224">
        <v>3490</v>
      </c>
      <c r="M224">
        <v>21.046350799999999</v>
      </c>
      <c r="N224">
        <v>189.40959790530738</v>
      </c>
      <c r="O224">
        <v>5.3852330755547698E-5</v>
      </c>
      <c r="P224" s="1" t="str">
        <f>HYPERLINK(".\sm_car_250817_2235\sm_car_250817_2235_223_Ca165TrN_MaZRR_DrSt_ode23t_1.png","figure")</f>
        <v>figure</v>
      </c>
      <c r="Q224" t="s">
        <v>15</v>
      </c>
    </row>
    <row r="225" spans="1:17" x14ac:dyDescent="0.25">
      <c r="A225">
        <v>224</v>
      </c>
      <c r="B225">
        <v>171</v>
      </c>
      <c r="C225" t="s">
        <v>45</v>
      </c>
      <c r="D225" t="s">
        <v>17</v>
      </c>
      <c r="E225" t="s">
        <v>72</v>
      </c>
      <c r="F225" t="s">
        <v>19</v>
      </c>
      <c r="G225" t="s">
        <v>26</v>
      </c>
      <c r="H225" t="s">
        <v>21</v>
      </c>
      <c r="I225" t="s">
        <v>77</v>
      </c>
      <c r="J225" t="s">
        <v>148</v>
      </c>
      <c r="K225" t="s">
        <v>23</v>
      </c>
      <c r="L225">
        <v>3003</v>
      </c>
      <c r="M225">
        <v>46.942520999999999</v>
      </c>
      <c r="N225">
        <v>189.26680300104522</v>
      </c>
      <c r="O225">
        <v>6.944061957981578E-4</v>
      </c>
      <c r="P225" s="1" t="str">
        <f>HYPERLINK(".\sm_car_250817_2235\sm_car_250817_2235_224_Ca171TrN_MaZRR_DrSt_ode23t_1.png","figure")</f>
        <v>figure</v>
      </c>
      <c r="Q225" t="s">
        <v>15</v>
      </c>
    </row>
    <row r="226" spans="1:17" x14ac:dyDescent="0.25">
      <c r="A226">
        <v>225</v>
      </c>
      <c r="B226">
        <v>170</v>
      </c>
      <c r="C226" t="s">
        <v>45</v>
      </c>
      <c r="D226" t="s">
        <v>35</v>
      </c>
      <c r="E226" t="s">
        <v>49</v>
      </c>
      <c r="F226" t="s">
        <v>19</v>
      </c>
      <c r="G226" t="s">
        <v>20</v>
      </c>
      <c r="H226" t="s">
        <v>21</v>
      </c>
      <c r="I226" t="s">
        <v>78</v>
      </c>
      <c r="J226" t="s">
        <v>148</v>
      </c>
      <c r="K226" t="s">
        <v>23</v>
      </c>
      <c r="L226">
        <v>6162</v>
      </c>
      <c r="M226">
        <v>21.772939999999998</v>
      </c>
      <c r="N226">
        <v>-5.9995834759941893</v>
      </c>
      <c r="O226">
        <v>-6.2044531697699407E-3</v>
      </c>
      <c r="P226" s="1" t="str">
        <f>HYPERLINK(".\sm_car_250817_2235\sm_car_250817_2235_225_Ca170TrN_MaCMP_DrSt_ode23t_1.png","figure")</f>
        <v>figure</v>
      </c>
      <c r="Q226" t="s">
        <v>15</v>
      </c>
    </row>
    <row r="227" spans="1:17" x14ac:dyDescent="0.25">
      <c r="A227">
        <v>226</v>
      </c>
      <c r="B227">
        <v>170</v>
      </c>
      <c r="C227" t="s">
        <v>45</v>
      </c>
      <c r="D227" t="s">
        <v>35</v>
      </c>
      <c r="E227" t="s">
        <v>49</v>
      </c>
      <c r="F227" t="s">
        <v>19</v>
      </c>
      <c r="G227" t="s">
        <v>20</v>
      </c>
      <c r="H227" t="s">
        <v>21</v>
      </c>
      <c r="I227" t="s">
        <v>79</v>
      </c>
      <c r="J227" t="s">
        <v>148</v>
      </c>
      <c r="K227" t="s">
        <v>23</v>
      </c>
      <c r="L227">
        <v>1628</v>
      </c>
      <c r="M227">
        <v>11.8758667</v>
      </c>
      <c r="N227">
        <v>-5.9999343011142194</v>
      </c>
      <c r="O227">
        <v>-6.2469348274803395E-3</v>
      </c>
      <c r="P227" s="1" t="str">
        <f>HYPERLINK(".\sm_car_250817_2235\sm_car_250817_2235_226_Ca170TrN_MaCMF_DrSt_ode23t_1.png","figure")</f>
        <v>figure</v>
      </c>
      <c r="Q227" t="s">
        <v>15</v>
      </c>
    </row>
    <row r="228" spans="1:17" x14ac:dyDescent="0.25">
      <c r="A228">
        <v>227</v>
      </c>
      <c r="B228">
        <v>170</v>
      </c>
      <c r="C228" t="s">
        <v>45</v>
      </c>
      <c r="D228" t="s">
        <v>35</v>
      </c>
      <c r="E228" t="s">
        <v>49</v>
      </c>
      <c r="F228" t="s">
        <v>19</v>
      </c>
      <c r="G228" t="s">
        <v>20</v>
      </c>
      <c r="H228" t="s">
        <v>21</v>
      </c>
      <c r="I228" t="s">
        <v>80</v>
      </c>
      <c r="J228" t="s">
        <v>148</v>
      </c>
      <c r="K228" t="s">
        <v>23</v>
      </c>
      <c r="L228">
        <v>5404</v>
      </c>
      <c r="M228">
        <v>43.4561043</v>
      </c>
      <c r="N228">
        <v>-216.62050577852108</v>
      </c>
      <c r="O228">
        <v>5.7217346917508172</v>
      </c>
      <c r="P228" s="1" t="str">
        <f>HYPERLINK(".\sm_car_250817_2235\sm_car_250817_2235_227_Ca170TrN_MaMPO_DrSt_ode23t_1.png","figure")</f>
        <v>figure</v>
      </c>
      <c r="Q228" t="s">
        <v>15</v>
      </c>
    </row>
    <row r="229" spans="1:17" x14ac:dyDescent="0.25">
      <c r="A229">
        <v>228</v>
      </c>
      <c r="B229">
        <v>170</v>
      </c>
      <c r="C229" t="s">
        <v>45</v>
      </c>
      <c r="D229" t="s">
        <v>35</v>
      </c>
      <c r="E229" t="s">
        <v>49</v>
      </c>
      <c r="F229" t="s">
        <v>19</v>
      </c>
      <c r="G229" t="s">
        <v>20</v>
      </c>
      <c r="H229" t="s">
        <v>21</v>
      </c>
      <c r="I229" t="s">
        <v>81</v>
      </c>
      <c r="J229" t="s">
        <v>148</v>
      </c>
      <c r="K229" t="s">
        <v>23</v>
      </c>
      <c r="L229">
        <v>1206</v>
      </c>
      <c r="M229">
        <v>19.732078300000001</v>
      </c>
      <c r="N229">
        <v>-14.234633990631558</v>
      </c>
      <c r="O229">
        <v>-9.6216919627067909E-3</v>
      </c>
      <c r="P229" s="1" t="str">
        <f>HYPERLINK(".\sm_car_250817_2235\sm_car_250817_2235_228_Ca170TrN_MaMCI_DrSt_ode23t_1.png","figure")</f>
        <v>figure</v>
      </c>
      <c r="Q229" t="s">
        <v>15</v>
      </c>
    </row>
    <row r="230" spans="1:17" x14ac:dyDescent="0.25">
      <c r="A230">
        <v>229</v>
      </c>
      <c r="B230">
        <v>170</v>
      </c>
      <c r="C230" t="s">
        <v>45</v>
      </c>
      <c r="D230" t="s">
        <v>35</v>
      </c>
      <c r="E230" t="s">
        <v>49</v>
      </c>
      <c r="F230" t="s">
        <v>19</v>
      </c>
      <c r="G230" t="s">
        <v>20</v>
      </c>
      <c r="H230" t="s">
        <v>21</v>
      </c>
      <c r="I230" t="s">
        <v>110</v>
      </c>
      <c r="J230" t="s">
        <v>148</v>
      </c>
      <c r="K230" t="s">
        <v>23</v>
      </c>
      <c r="L230">
        <v>4059</v>
      </c>
      <c r="M230">
        <v>25.141168</v>
      </c>
      <c r="N230">
        <v>-5.9996355269792403</v>
      </c>
      <c r="O230">
        <v>-4.6966958661946974E-3</v>
      </c>
      <c r="P230" s="1" t="str">
        <f>HYPERLINK(".\sm_car_250817_2235\sm_car_250817_2235_229_Ca170TrN_MaCHO_DrSt_ode23t_1.png","figure")</f>
        <v>figure</v>
      </c>
      <c r="Q230" t="s">
        <v>15</v>
      </c>
    </row>
    <row r="231" spans="1:17" x14ac:dyDescent="0.25">
      <c r="A231">
        <v>230</v>
      </c>
      <c r="B231">
        <v>170</v>
      </c>
      <c r="C231" t="s">
        <v>45</v>
      </c>
      <c r="D231" t="s">
        <v>35</v>
      </c>
      <c r="E231" t="s">
        <v>49</v>
      </c>
      <c r="F231" t="s">
        <v>19</v>
      </c>
      <c r="G231" t="s">
        <v>20</v>
      </c>
      <c r="H231" t="s">
        <v>21</v>
      </c>
      <c r="I231" t="s">
        <v>111</v>
      </c>
      <c r="J231" t="s">
        <v>148</v>
      </c>
      <c r="K231" t="s">
        <v>23</v>
      </c>
      <c r="L231">
        <v>2605</v>
      </c>
      <c r="M231">
        <v>23.374806100000001</v>
      </c>
      <c r="N231">
        <v>-5.9691487538113366</v>
      </c>
      <c r="O231">
        <v>-4.72090503139805E-3</v>
      </c>
      <c r="P231" s="1" t="str">
        <f>HYPERLINK(".\sm_car_250817_2235\sm_car_250817_2235_230_Ca170TrN_MaCHF_DrSt_ode23t_1.png","figure")</f>
        <v>figure</v>
      </c>
      <c r="Q231" t="s">
        <v>15</v>
      </c>
    </row>
    <row r="232" spans="1:17" x14ac:dyDescent="0.25">
      <c r="A232">
        <v>231</v>
      </c>
      <c r="B232">
        <v>170</v>
      </c>
      <c r="C232" t="s">
        <v>45</v>
      </c>
      <c r="D232" t="s">
        <v>35</v>
      </c>
      <c r="E232" t="s">
        <v>49</v>
      </c>
      <c r="F232" t="s">
        <v>19</v>
      </c>
      <c r="G232" t="s">
        <v>20</v>
      </c>
      <c r="H232" t="s">
        <v>21</v>
      </c>
      <c r="I232" t="s">
        <v>82</v>
      </c>
      <c r="J232" t="s">
        <v>148</v>
      </c>
      <c r="K232" t="s">
        <v>23</v>
      </c>
      <c r="L232">
        <v>9371</v>
      </c>
      <c r="M232">
        <v>41.060481299999999</v>
      </c>
      <c r="N232">
        <v>-768.71581369894466</v>
      </c>
      <c r="O232">
        <v>638.6430370985579</v>
      </c>
      <c r="P232" s="1" t="str">
        <f>HYPERLINK(".\sm_car_250817_2235\sm_car_250817_2235_231_Ca170TrN_MaCKY_DrSt_ode23t_1.png","figure")</f>
        <v>figure</v>
      </c>
      <c r="Q232" t="s">
        <v>15</v>
      </c>
    </row>
    <row r="233" spans="1:17" x14ac:dyDescent="0.25">
      <c r="A233">
        <v>232</v>
      </c>
      <c r="B233">
        <v>170</v>
      </c>
      <c r="C233" t="s">
        <v>45</v>
      </c>
      <c r="D233" t="s">
        <v>35</v>
      </c>
      <c r="E233" t="s">
        <v>49</v>
      </c>
      <c r="F233" t="s">
        <v>19</v>
      </c>
      <c r="G233" t="s">
        <v>20</v>
      </c>
      <c r="H233" t="s">
        <v>21</v>
      </c>
      <c r="I233" t="s">
        <v>83</v>
      </c>
      <c r="J233" t="s">
        <v>148</v>
      </c>
      <c r="K233" t="s">
        <v>23</v>
      </c>
      <c r="L233">
        <v>1695</v>
      </c>
      <c r="M233">
        <v>14.8140786</v>
      </c>
      <c r="N233">
        <v>-772.67744938981775</v>
      </c>
      <c r="O233">
        <v>640.74591920904072</v>
      </c>
      <c r="P233" s="1" t="str">
        <f>HYPERLINK(".\sm_car_250817_2235\sm_car_250817_2235_232_Ca170TrN_MaCKF_DrSt_ode23t_1.png","figure")</f>
        <v>figure</v>
      </c>
      <c r="Q233" t="s">
        <v>15</v>
      </c>
    </row>
    <row r="234" spans="1:17" x14ac:dyDescent="0.25">
      <c r="A234">
        <v>233</v>
      </c>
      <c r="B234">
        <v>170</v>
      </c>
      <c r="C234" t="s">
        <v>45</v>
      </c>
      <c r="D234" t="s">
        <v>35</v>
      </c>
      <c r="E234" t="s">
        <v>49</v>
      </c>
      <c r="F234" t="s">
        <v>19</v>
      </c>
      <c r="G234" t="s">
        <v>20</v>
      </c>
      <c r="H234" t="s">
        <v>21</v>
      </c>
      <c r="I234" t="s">
        <v>84</v>
      </c>
      <c r="J234" t="s">
        <v>148</v>
      </c>
      <c r="K234" t="s">
        <v>23</v>
      </c>
      <c r="L234">
        <v>2351</v>
      </c>
      <c r="M234">
        <v>31.507646999999999</v>
      </c>
      <c r="N234">
        <v>189.3135582238524</v>
      </c>
      <c r="O234">
        <v>308.88777911451064</v>
      </c>
      <c r="P234" s="1" t="str">
        <f>HYPERLINK(".\sm_car_250817_2235\sm_car_250817_2235_233_Ca170TrN_MaCNN_DrSt_ode23t_1.png","figure")</f>
        <v>figure</v>
      </c>
      <c r="Q234" t="s">
        <v>15</v>
      </c>
    </row>
    <row r="235" spans="1:17" x14ac:dyDescent="0.25">
      <c r="A235">
        <v>234</v>
      </c>
      <c r="B235">
        <v>170</v>
      </c>
      <c r="C235" t="s">
        <v>45</v>
      </c>
      <c r="D235" t="s">
        <v>35</v>
      </c>
      <c r="E235" t="s">
        <v>49</v>
      </c>
      <c r="F235" t="s">
        <v>19</v>
      </c>
      <c r="G235" t="s">
        <v>20</v>
      </c>
      <c r="H235" t="s">
        <v>21</v>
      </c>
      <c r="I235" t="s">
        <v>85</v>
      </c>
      <c r="J235" t="s">
        <v>148</v>
      </c>
      <c r="K235" t="s">
        <v>23</v>
      </c>
      <c r="L235">
        <v>3557</v>
      </c>
      <c r="M235">
        <v>150.1718745</v>
      </c>
      <c r="N235">
        <v>2981.6935817572562</v>
      </c>
      <c r="O235">
        <v>-3077.7754355581251</v>
      </c>
      <c r="P235" s="1" t="str">
        <f>HYPERLINK(".\sm_car_250817_2235\sm_car_250817_2235_234_Ca170TrN_MaCNF_DrSt_ode23t_1.png","figure")</f>
        <v>figure</v>
      </c>
      <c r="Q235" t="s">
        <v>15</v>
      </c>
    </row>
    <row r="236" spans="1:17" x14ac:dyDescent="0.25">
      <c r="A236">
        <v>235</v>
      </c>
      <c r="B236">
        <v>170</v>
      </c>
      <c r="C236" t="s">
        <v>45</v>
      </c>
      <c r="D236" t="s">
        <v>35</v>
      </c>
      <c r="E236" t="s">
        <v>49</v>
      </c>
      <c r="F236" t="s">
        <v>19</v>
      </c>
      <c r="G236" t="s">
        <v>20</v>
      </c>
      <c r="H236" t="s">
        <v>21</v>
      </c>
      <c r="I236" t="s">
        <v>86</v>
      </c>
      <c r="J236" t="s">
        <v>148</v>
      </c>
      <c r="K236" t="s">
        <v>23</v>
      </c>
      <c r="L236">
        <v>3008</v>
      </c>
      <c r="M236">
        <v>20.343347000000001</v>
      </c>
      <c r="N236">
        <v>497.8632436019351</v>
      </c>
      <c r="O236">
        <v>-175.70296327317655</v>
      </c>
      <c r="P236" s="1" t="str">
        <f>HYPERLINK(".\sm_car_250817_2235\sm_car_250817_2235_235_Ca170TrN_MaCSZ_DrSt_ode23t_1.png","figure")</f>
        <v>figure</v>
      </c>
      <c r="Q236" t="s">
        <v>15</v>
      </c>
    </row>
    <row r="237" spans="1:17" x14ac:dyDescent="0.25">
      <c r="A237">
        <v>236</v>
      </c>
      <c r="B237">
        <v>170</v>
      </c>
      <c r="C237" t="s">
        <v>45</v>
      </c>
      <c r="D237" t="s">
        <v>35</v>
      </c>
      <c r="E237" t="s">
        <v>49</v>
      </c>
      <c r="F237" t="s">
        <v>19</v>
      </c>
      <c r="G237" t="s">
        <v>20</v>
      </c>
      <c r="H237" t="s">
        <v>21</v>
      </c>
      <c r="I237" t="s">
        <v>87</v>
      </c>
      <c r="J237" t="s">
        <v>148</v>
      </c>
      <c r="K237" t="s">
        <v>23</v>
      </c>
      <c r="L237">
        <v>5143</v>
      </c>
      <c r="M237">
        <v>119.2112861</v>
      </c>
      <c r="N237">
        <v>-8.9877318715008538</v>
      </c>
      <c r="O237">
        <v>8.1692161049674947E-3</v>
      </c>
      <c r="P237" s="1" t="str">
        <f>HYPERLINK(".\sm_car_250817_2235\sm_car_250817_2235_236_Ca170TrN_MaCSF_DrSt_ode23t_1.png","figure")</f>
        <v>figure</v>
      </c>
      <c r="Q237" t="s">
        <v>15</v>
      </c>
    </row>
    <row r="238" spans="1:17" x14ac:dyDescent="0.25">
      <c r="A238">
        <v>237</v>
      </c>
      <c r="B238">
        <v>170</v>
      </c>
      <c r="C238" t="s">
        <v>45</v>
      </c>
      <c r="D238" t="s">
        <v>35</v>
      </c>
      <c r="E238" t="s">
        <v>49</v>
      </c>
      <c r="F238" t="s">
        <v>19</v>
      </c>
      <c r="G238" t="s">
        <v>20</v>
      </c>
      <c r="H238" t="s">
        <v>21</v>
      </c>
      <c r="I238" t="s">
        <v>88</v>
      </c>
      <c r="J238" t="s">
        <v>148</v>
      </c>
      <c r="K238" t="s">
        <v>23</v>
      </c>
      <c r="L238">
        <v>1869</v>
      </c>
      <c r="M238">
        <v>38.767587399999996</v>
      </c>
      <c r="N238">
        <v>247.79612926682978</v>
      </c>
      <c r="O238">
        <v>391.3784998910682</v>
      </c>
      <c r="P238" s="1" t="str">
        <f>HYPERLINK(".\sm_car_250817_2235\sm_car_250817_2235_237_Ca170TrN_MaCPU_DrSt_ode23t_1.png","figure")</f>
        <v>figure</v>
      </c>
      <c r="Q238" t="s">
        <v>15</v>
      </c>
    </row>
    <row r="239" spans="1:17" x14ac:dyDescent="0.25">
      <c r="A239">
        <v>238</v>
      </c>
      <c r="B239">
        <v>170</v>
      </c>
      <c r="C239" t="s">
        <v>45</v>
      </c>
      <c r="D239" t="s">
        <v>35</v>
      </c>
      <c r="E239" t="s">
        <v>49</v>
      </c>
      <c r="F239" t="s">
        <v>19</v>
      </c>
      <c r="G239" t="s">
        <v>20</v>
      </c>
      <c r="H239" t="s">
        <v>21</v>
      </c>
      <c r="I239" t="s">
        <v>89</v>
      </c>
      <c r="J239" t="s">
        <v>148</v>
      </c>
      <c r="K239" t="s">
        <v>23</v>
      </c>
      <c r="L239">
        <v>2467</v>
      </c>
      <c r="M239">
        <v>28.593917099999999</v>
      </c>
      <c r="N239">
        <v>179.59002608893684</v>
      </c>
      <c r="O239">
        <v>-180.28297009584094</v>
      </c>
      <c r="P239" s="1" t="str">
        <f>HYPERLINK(".\sm_car_250817_2235\sm_car_250817_2235_238_Ca170TrN_MaCPD_DrSt_ode23t_1.png","figure")</f>
        <v>figure</v>
      </c>
      <c r="Q239" t="s">
        <v>15</v>
      </c>
    </row>
    <row r="240" spans="1:17" x14ac:dyDescent="0.25">
      <c r="A240">
        <v>239</v>
      </c>
      <c r="B240">
        <v>202</v>
      </c>
      <c r="C240" t="s">
        <v>45</v>
      </c>
      <c r="D240" t="s">
        <v>35</v>
      </c>
      <c r="E240" t="s">
        <v>107</v>
      </c>
      <c r="F240" t="s">
        <v>19</v>
      </c>
      <c r="G240" t="s">
        <v>20</v>
      </c>
      <c r="H240" t="s">
        <v>21</v>
      </c>
      <c r="I240" t="s">
        <v>79</v>
      </c>
      <c r="J240" t="s">
        <v>148</v>
      </c>
      <c r="K240" t="s">
        <v>23</v>
      </c>
      <c r="L240">
        <v>1622</v>
      </c>
      <c r="M240">
        <v>5.1734065999999999</v>
      </c>
      <c r="N240">
        <v>-5.9995531678314897</v>
      </c>
      <c r="O240">
        <v>-6.1920676439215254E-3</v>
      </c>
      <c r="P240" s="1" t="str">
        <f>HYPERLINK(".\sm_car_250817_2235\sm_car_250817_2235_239_Ca202TrN_MaCMF_DrSt_ode23t_1.png","figure")</f>
        <v>figure</v>
      </c>
      <c r="Q240" t="s">
        <v>15</v>
      </c>
    </row>
    <row r="241" spans="1:17" x14ac:dyDescent="0.25">
      <c r="A241">
        <v>240</v>
      </c>
      <c r="B241">
        <v>202</v>
      </c>
      <c r="C241" t="s">
        <v>45</v>
      </c>
      <c r="D241" t="s">
        <v>35</v>
      </c>
      <c r="E241" t="s">
        <v>107</v>
      </c>
      <c r="F241" t="s">
        <v>19</v>
      </c>
      <c r="G241" t="s">
        <v>20</v>
      </c>
      <c r="H241" t="s">
        <v>21</v>
      </c>
      <c r="I241" t="s">
        <v>80</v>
      </c>
      <c r="J241" t="s">
        <v>148</v>
      </c>
      <c r="K241" t="s">
        <v>23</v>
      </c>
      <c r="L241">
        <v>5364</v>
      </c>
      <c r="M241">
        <v>28.8585344</v>
      </c>
      <c r="N241">
        <v>-217.50123772121921</v>
      </c>
      <c r="O241">
        <v>5.860463348930586</v>
      </c>
      <c r="P241" s="1" t="str">
        <f>HYPERLINK(".\sm_car_250817_2235\sm_car_250817_2235_240_Ca202TrN_MaMPO_DrSt_ode23t_1.png","figure")</f>
        <v>figure</v>
      </c>
      <c r="Q241" t="s">
        <v>15</v>
      </c>
    </row>
    <row r="242" spans="1:17" x14ac:dyDescent="0.25">
      <c r="A242">
        <v>241</v>
      </c>
      <c r="B242">
        <v>202</v>
      </c>
      <c r="C242" t="s">
        <v>45</v>
      </c>
      <c r="D242" t="s">
        <v>35</v>
      </c>
      <c r="E242" t="s">
        <v>107</v>
      </c>
      <c r="F242" t="s">
        <v>19</v>
      </c>
      <c r="G242" t="s">
        <v>20</v>
      </c>
      <c r="H242" t="s">
        <v>21</v>
      </c>
      <c r="I242" t="s">
        <v>81</v>
      </c>
      <c r="J242" t="s">
        <v>148</v>
      </c>
      <c r="K242" t="s">
        <v>23</v>
      </c>
      <c r="L242">
        <v>1203</v>
      </c>
      <c r="M242">
        <v>11.7710607</v>
      </c>
      <c r="N242">
        <v>-14.231935716789089</v>
      </c>
      <c r="O242">
        <v>-7.6748040483209934E-3</v>
      </c>
      <c r="P242" s="1" t="str">
        <f>HYPERLINK(".\sm_car_250817_2235\sm_car_250817_2235_241_Ca202TrN_MaMCI_DrSt_ode23t_1.png","figure")</f>
        <v>figure</v>
      </c>
      <c r="Q242" t="s">
        <v>15</v>
      </c>
    </row>
    <row r="243" spans="1:17" x14ac:dyDescent="0.25">
      <c r="A243">
        <v>242</v>
      </c>
      <c r="B243">
        <v>202</v>
      </c>
      <c r="C243" t="s">
        <v>45</v>
      </c>
      <c r="D243" t="s">
        <v>35</v>
      </c>
      <c r="E243" t="s">
        <v>107</v>
      </c>
      <c r="F243" t="s">
        <v>19</v>
      </c>
      <c r="G243" t="s">
        <v>20</v>
      </c>
      <c r="H243" t="s">
        <v>21</v>
      </c>
      <c r="I243" t="s">
        <v>83</v>
      </c>
      <c r="J243" t="s">
        <v>148</v>
      </c>
      <c r="K243" t="s">
        <v>23</v>
      </c>
      <c r="L243">
        <v>2929</v>
      </c>
      <c r="M243">
        <v>10.869929900000001</v>
      </c>
      <c r="N243">
        <v>-5.994979412497635</v>
      </c>
      <c r="O243">
        <v>-2.6165206762155425E-2</v>
      </c>
      <c r="P243" s="1" t="str">
        <f>HYPERLINK(".\sm_car_250817_2235\sm_car_250817_2235_242_Ca202TrN_MaCKF_DrSt_ode23t_1.png","figure")</f>
        <v>figure</v>
      </c>
      <c r="Q243" t="s">
        <v>15</v>
      </c>
    </row>
    <row r="244" spans="1:17" x14ac:dyDescent="0.25">
      <c r="A244">
        <v>243</v>
      </c>
      <c r="B244">
        <v>202</v>
      </c>
      <c r="C244" t="s">
        <v>45</v>
      </c>
      <c r="D244" t="s">
        <v>35</v>
      </c>
      <c r="E244" t="s">
        <v>107</v>
      </c>
      <c r="F244" t="s">
        <v>19</v>
      </c>
      <c r="G244" t="s">
        <v>20</v>
      </c>
      <c r="H244" t="s">
        <v>21</v>
      </c>
      <c r="I244" t="s">
        <v>85</v>
      </c>
      <c r="J244" t="s">
        <v>148</v>
      </c>
      <c r="K244" t="s">
        <v>23</v>
      </c>
      <c r="L244">
        <v>8438</v>
      </c>
      <c r="M244">
        <v>232.347216</v>
      </c>
      <c r="N244">
        <v>-8.9994764815845496</v>
      </c>
      <c r="O244">
        <v>2.4152697261988702E-2</v>
      </c>
      <c r="P244" s="1" t="str">
        <f>HYPERLINK(".\sm_car_250817_2235\sm_car_250817_2235_243_Ca202TrN_MaCNF_DrSt_ode23t_1.png","figure")</f>
        <v>figure</v>
      </c>
      <c r="Q244" t="s">
        <v>15</v>
      </c>
    </row>
    <row r="245" spans="1:17" x14ac:dyDescent="0.25">
      <c r="A245">
        <v>244</v>
      </c>
      <c r="B245">
        <v>202</v>
      </c>
      <c r="C245" t="s">
        <v>45</v>
      </c>
      <c r="D245" t="s">
        <v>35</v>
      </c>
      <c r="E245" t="s">
        <v>107</v>
      </c>
      <c r="F245" t="s">
        <v>19</v>
      </c>
      <c r="G245" t="s">
        <v>20</v>
      </c>
      <c r="H245" t="s">
        <v>21</v>
      </c>
      <c r="I245" t="s">
        <v>87</v>
      </c>
      <c r="J245" t="s">
        <v>148</v>
      </c>
      <c r="K245" t="s">
        <v>23</v>
      </c>
      <c r="L245">
        <v>5162</v>
      </c>
      <c r="M245">
        <v>64.870440799999997</v>
      </c>
      <c r="N245">
        <v>-8.9739243290149719</v>
      </c>
      <c r="O245">
        <v>8.0798088592120808E-3</v>
      </c>
      <c r="P245" s="1" t="str">
        <f>HYPERLINK(".\sm_car_250817_2235\sm_car_250817_2235_244_Ca202TrN_MaCSF_DrSt_ode23t_1.png","figure")</f>
        <v>figure</v>
      </c>
      <c r="Q245" t="s">
        <v>15</v>
      </c>
    </row>
    <row r="246" spans="1:17" x14ac:dyDescent="0.25">
      <c r="A246">
        <v>245</v>
      </c>
      <c r="B246">
        <v>202</v>
      </c>
      <c r="C246" t="s">
        <v>45</v>
      </c>
      <c r="D246" t="s">
        <v>35</v>
      </c>
      <c r="E246" t="s">
        <v>107</v>
      </c>
      <c r="F246" t="s">
        <v>19</v>
      </c>
      <c r="G246" t="s">
        <v>20</v>
      </c>
      <c r="H246" t="s">
        <v>21</v>
      </c>
      <c r="I246" t="s">
        <v>78</v>
      </c>
      <c r="J246" t="s">
        <v>148</v>
      </c>
      <c r="K246" t="s">
        <v>23</v>
      </c>
      <c r="L246">
        <v>7143</v>
      </c>
      <c r="M246">
        <v>24.750889099999998</v>
      </c>
      <c r="N246">
        <v>-5.9990528107106096</v>
      </c>
      <c r="O246">
        <v>-6.1897275048073287E-3</v>
      </c>
      <c r="P246" s="1" t="str">
        <f>HYPERLINK(".\sm_car_250817_2235\sm_car_250817_2235_245_Ca202TrN_MaCMP_DrSt_ode23t_1.png","figure")</f>
        <v>figure</v>
      </c>
      <c r="Q246" t="s">
        <v>15</v>
      </c>
    </row>
    <row r="247" spans="1:17" x14ac:dyDescent="0.25">
      <c r="A247">
        <v>246</v>
      </c>
      <c r="B247">
        <v>202</v>
      </c>
      <c r="C247" t="s">
        <v>45</v>
      </c>
      <c r="D247" t="s">
        <v>35</v>
      </c>
      <c r="E247" t="s">
        <v>107</v>
      </c>
      <c r="F247" t="s">
        <v>19</v>
      </c>
      <c r="G247" t="s">
        <v>20</v>
      </c>
      <c r="H247" t="s">
        <v>21</v>
      </c>
      <c r="I247" t="s">
        <v>82</v>
      </c>
      <c r="J247" t="s">
        <v>148</v>
      </c>
      <c r="K247" t="s">
        <v>23</v>
      </c>
      <c r="L247">
        <v>20230</v>
      </c>
      <c r="M247">
        <v>77.668698599999999</v>
      </c>
      <c r="N247">
        <v>-5.9990781621937055</v>
      </c>
      <c r="O247">
        <v>-2.7916069565450865E-2</v>
      </c>
      <c r="P247" s="1" t="str">
        <f>HYPERLINK(".\sm_car_250817_2235\sm_car_250817_2235_246_Ca202TrN_MaCKY_DrSt_ode23t_1.png","figure")</f>
        <v>figure</v>
      </c>
      <c r="Q247" t="s">
        <v>15</v>
      </c>
    </row>
    <row r="248" spans="1:17" x14ac:dyDescent="0.25">
      <c r="A248">
        <v>247</v>
      </c>
      <c r="B248">
        <v>202</v>
      </c>
      <c r="C248" t="s">
        <v>45</v>
      </c>
      <c r="D248" t="s">
        <v>35</v>
      </c>
      <c r="E248" t="s">
        <v>107</v>
      </c>
      <c r="F248" t="s">
        <v>19</v>
      </c>
      <c r="G248" t="s">
        <v>20</v>
      </c>
      <c r="H248" t="s">
        <v>21</v>
      </c>
      <c r="I248" t="s">
        <v>75</v>
      </c>
      <c r="J248" t="s">
        <v>148</v>
      </c>
      <c r="K248" t="s">
        <v>23</v>
      </c>
      <c r="L248">
        <v>455</v>
      </c>
      <c r="M248">
        <v>2.7887718000000001</v>
      </c>
      <c r="N248">
        <v>381.04323470632642</v>
      </c>
      <c r="O248">
        <v>0.3335145224833066</v>
      </c>
      <c r="P248" s="1" t="str">
        <f>HYPERLINK(".\sm_car_250817_2235\sm_car_250817_2235_247_Ca202TrN_MaCPL_DrSt_ode23t_1.png","figure")</f>
        <v>figure</v>
      </c>
      <c r="Q248" t="s">
        <v>15</v>
      </c>
    </row>
    <row r="249" spans="1:17" x14ac:dyDescent="0.25">
      <c r="A249">
        <v>248</v>
      </c>
      <c r="B249">
        <v>140</v>
      </c>
      <c r="C249" t="s">
        <v>45</v>
      </c>
      <c r="D249" t="s">
        <v>17</v>
      </c>
      <c r="E249" t="s">
        <v>49</v>
      </c>
      <c r="F249" t="s">
        <v>19</v>
      </c>
      <c r="G249" t="s">
        <v>26</v>
      </c>
      <c r="H249" t="s">
        <v>21</v>
      </c>
      <c r="I249" t="s">
        <v>112</v>
      </c>
      <c r="J249" t="s">
        <v>148</v>
      </c>
      <c r="K249" t="s">
        <v>23</v>
      </c>
      <c r="L249">
        <v>2570</v>
      </c>
      <c r="M249">
        <v>38.893543000000001</v>
      </c>
      <c r="N249">
        <v>189.15486671682586</v>
      </c>
      <c r="O249">
        <v>7.1163606842551252E-4</v>
      </c>
      <c r="P249" s="1" t="str">
        <f>HYPERLINK(".\sm_car_250817_2235\sm_car_250817_2235_248_Ca140TrN_MaCRR_DrSt_ode23t_1.png","figure")</f>
        <v>figure</v>
      </c>
      <c r="Q249" t="s">
        <v>15</v>
      </c>
    </row>
    <row r="250" spans="1:17" x14ac:dyDescent="0.25">
      <c r="A250">
        <v>249</v>
      </c>
      <c r="B250">
        <v>189</v>
      </c>
      <c r="C250" t="s">
        <v>45</v>
      </c>
      <c r="D250" t="s">
        <v>17</v>
      </c>
      <c r="E250" t="s">
        <v>107</v>
      </c>
      <c r="F250" t="s">
        <v>19</v>
      </c>
      <c r="G250" t="s">
        <v>26</v>
      </c>
      <c r="H250" t="s">
        <v>21</v>
      </c>
      <c r="I250" t="s">
        <v>112</v>
      </c>
      <c r="J250" t="s">
        <v>148</v>
      </c>
      <c r="K250" t="s">
        <v>23</v>
      </c>
      <c r="L250">
        <v>3138</v>
      </c>
      <c r="M250">
        <v>31.651618299999999</v>
      </c>
      <c r="N250">
        <v>189.17820637443606</v>
      </c>
      <c r="O250">
        <v>7.563205012129494E-4</v>
      </c>
      <c r="P250" s="1" t="str">
        <f>HYPERLINK(".\sm_car_250817_2235\sm_car_250817_2235_249_Ca189TrN_MaCRR_DrSt_ode23t_1.png","figure")</f>
        <v>figure</v>
      </c>
      <c r="Q250" t="s">
        <v>15</v>
      </c>
    </row>
    <row r="251" spans="1:17" x14ac:dyDescent="0.25">
      <c r="A251">
        <v>250</v>
      </c>
      <c r="B251">
        <v>173</v>
      </c>
      <c r="C251" t="s">
        <v>45</v>
      </c>
      <c r="D251" t="s">
        <v>35</v>
      </c>
      <c r="E251" t="s">
        <v>49</v>
      </c>
      <c r="F251" t="s">
        <v>19</v>
      </c>
      <c r="G251" t="s">
        <v>90</v>
      </c>
      <c r="H251" t="s">
        <v>21</v>
      </c>
      <c r="I251" t="s">
        <v>91</v>
      </c>
      <c r="J251" t="s">
        <v>148</v>
      </c>
      <c r="K251" t="s">
        <v>92</v>
      </c>
      <c r="L251">
        <v>1646</v>
      </c>
      <c r="M251">
        <v>64.647669800000003</v>
      </c>
      <c r="N251">
        <v>51.298870179838786</v>
      </c>
      <c r="O251">
        <v>9.1602747821765505E-3</v>
      </c>
      <c r="P251" s="1" t="str">
        <f>HYPERLINK(".\sm_car_250817_2235\sm_car_250817_2235_250_Ca173TrN_MaDCA_DrSt_daessc_1.png","figure")</f>
        <v>figure</v>
      </c>
      <c r="Q251" t="s">
        <v>15</v>
      </c>
    </row>
    <row r="252" spans="1:17" x14ac:dyDescent="0.25">
      <c r="A252">
        <v>251</v>
      </c>
      <c r="B252">
        <v>173</v>
      </c>
      <c r="C252" t="s">
        <v>45</v>
      </c>
      <c r="D252" t="s">
        <v>35</v>
      </c>
      <c r="E252" t="s">
        <v>49</v>
      </c>
      <c r="F252" t="s">
        <v>19</v>
      </c>
      <c r="G252" t="s">
        <v>90</v>
      </c>
      <c r="H252" t="s">
        <v>21</v>
      </c>
      <c r="I252" t="s">
        <v>93</v>
      </c>
      <c r="J252" t="s">
        <v>148</v>
      </c>
      <c r="K252" t="s">
        <v>92</v>
      </c>
      <c r="L252">
        <v>4163</v>
      </c>
      <c r="M252">
        <v>109.8890186</v>
      </c>
      <c r="N252">
        <v>980.46466282281574</v>
      </c>
      <c r="O252">
        <v>0.73482984112452543</v>
      </c>
      <c r="P252" s="1" t="str">
        <f>HYPERLINK(".\sm_car_250817_2235\sm_car_250817_2235_251_Ca173TrN_MaDC1_DrSt_daessc_1.png","figure")</f>
        <v>figure</v>
      </c>
      <c r="Q252" t="s">
        <v>15</v>
      </c>
    </row>
    <row r="253" spans="1:17" x14ac:dyDescent="0.25">
      <c r="A253">
        <v>252</v>
      </c>
      <c r="B253">
        <v>165</v>
      </c>
      <c r="C253" t="s">
        <v>45</v>
      </c>
      <c r="D253" t="s">
        <v>35</v>
      </c>
      <c r="E253" t="s">
        <v>49</v>
      </c>
      <c r="F253" t="s">
        <v>19</v>
      </c>
      <c r="G253" t="s">
        <v>26</v>
      </c>
      <c r="H253" t="s">
        <v>21</v>
      </c>
      <c r="I253" t="s">
        <v>91</v>
      </c>
      <c r="J253" t="s">
        <v>148</v>
      </c>
      <c r="K253" t="s">
        <v>23</v>
      </c>
      <c r="L253">
        <v>339</v>
      </c>
      <c r="M253">
        <v>4.727125</v>
      </c>
      <c r="N253">
        <v>53.509077075066649</v>
      </c>
      <c r="O253">
        <v>1.0039275824066019E-2</v>
      </c>
      <c r="P253" s="1" t="str">
        <f>HYPERLINK(".\sm_car_250817_2235\sm_car_250817_2235_252_Ca165TrN_MaDCA_DrSt_ode23t_1.png","figure")</f>
        <v>figure</v>
      </c>
      <c r="Q253" t="s">
        <v>15</v>
      </c>
    </row>
    <row r="254" spans="1:17" x14ac:dyDescent="0.25">
      <c r="A254">
        <v>253</v>
      </c>
      <c r="B254">
        <v>165</v>
      </c>
      <c r="C254" t="s">
        <v>45</v>
      </c>
      <c r="D254" t="s">
        <v>35</v>
      </c>
      <c r="E254" t="s">
        <v>49</v>
      </c>
      <c r="F254" t="s">
        <v>19</v>
      </c>
      <c r="G254" t="s">
        <v>26</v>
      </c>
      <c r="H254" t="s">
        <v>21</v>
      </c>
      <c r="I254" t="s">
        <v>93</v>
      </c>
      <c r="J254" t="s">
        <v>148</v>
      </c>
      <c r="K254" t="s">
        <v>23</v>
      </c>
      <c r="L254">
        <v>1205</v>
      </c>
      <c r="M254">
        <v>8.5755811000000008</v>
      </c>
      <c r="N254">
        <v>992.65497886577782</v>
      </c>
      <c r="O254">
        <v>0.79687187688750794</v>
      </c>
      <c r="P254" s="1" t="str">
        <f>HYPERLINK(".\sm_car_250817_2235\sm_car_250817_2235_253_Ca165TrN_MaDC1_DrSt_ode23t_1.png","figure")</f>
        <v>figure</v>
      </c>
      <c r="Q254" t="s">
        <v>15</v>
      </c>
    </row>
    <row r="255" spans="1:17" x14ac:dyDescent="0.25">
      <c r="A255">
        <v>254</v>
      </c>
      <c r="B255">
        <v>196</v>
      </c>
      <c r="C255" t="s">
        <v>45</v>
      </c>
      <c r="D255" t="s">
        <v>35</v>
      </c>
      <c r="E255" t="s">
        <v>107</v>
      </c>
      <c r="F255" t="s">
        <v>19</v>
      </c>
      <c r="G255" t="s">
        <v>90</v>
      </c>
      <c r="H255" t="s">
        <v>21</v>
      </c>
      <c r="I255" t="s">
        <v>93</v>
      </c>
      <c r="J255" t="s">
        <v>148</v>
      </c>
      <c r="K255" t="s">
        <v>92</v>
      </c>
      <c r="L255">
        <v>4057</v>
      </c>
      <c r="M255">
        <v>50.774973699999997</v>
      </c>
      <c r="N255">
        <v>980.4611885529315</v>
      </c>
      <c r="O255">
        <v>0.73503776385960096</v>
      </c>
      <c r="P255" s="1" t="str">
        <f>HYPERLINK(".\sm_car_250817_2235\sm_car_250817_2235_254_Ca196TrN_MaDC1_DrSt_daessc_1.png","figure")</f>
        <v>figure</v>
      </c>
      <c r="Q255" t="s">
        <v>15</v>
      </c>
    </row>
    <row r="256" spans="1:17" x14ac:dyDescent="0.25">
      <c r="A256">
        <v>255</v>
      </c>
      <c r="B256">
        <v>179</v>
      </c>
      <c r="C256" t="s">
        <v>45</v>
      </c>
      <c r="D256" t="s">
        <v>57</v>
      </c>
      <c r="E256" t="s">
        <v>18</v>
      </c>
      <c r="F256" t="s">
        <v>19</v>
      </c>
      <c r="G256" t="s">
        <v>26</v>
      </c>
      <c r="H256" t="s">
        <v>21</v>
      </c>
      <c r="I256" t="s">
        <v>22</v>
      </c>
      <c r="J256" t="s">
        <v>148</v>
      </c>
      <c r="K256" t="s">
        <v>23</v>
      </c>
      <c r="L256">
        <v>469</v>
      </c>
      <c r="M256">
        <v>5.2254227999999996</v>
      </c>
      <c r="N256">
        <v>147.79577462033984</v>
      </c>
      <c r="O256">
        <v>9.6896843636243471E-2</v>
      </c>
      <c r="P256" s="1" t="str">
        <f>HYPERLINK(".\sm_car_250817_2235\sm_car_250817_2235_255_Ca179TrN_MaWOT_DrSt_ode23t_1.png","figure")</f>
        <v>figure</v>
      </c>
      <c r="Q256" t="s">
        <v>15</v>
      </c>
    </row>
    <row r="257" spans="1:17" x14ac:dyDescent="0.25">
      <c r="A257">
        <v>256</v>
      </c>
      <c r="B257">
        <v>180</v>
      </c>
      <c r="C257" t="s">
        <v>45</v>
      </c>
      <c r="D257" t="s">
        <v>57</v>
      </c>
      <c r="E257" t="s">
        <v>49</v>
      </c>
      <c r="F257" t="s">
        <v>19</v>
      </c>
      <c r="G257" t="s">
        <v>26</v>
      </c>
      <c r="H257" t="s">
        <v>21</v>
      </c>
      <c r="I257" t="s">
        <v>22</v>
      </c>
      <c r="J257" t="s">
        <v>148</v>
      </c>
      <c r="K257" t="s">
        <v>23</v>
      </c>
      <c r="L257">
        <v>508</v>
      </c>
      <c r="M257">
        <v>7.3849482999999996</v>
      </c>
      <c r="N257">
        <v>147.84980388293806</v>
      </c>
      <c r="O257">
        <v>9.6056388603589504E-2</v>
      </c>
      <c r="P257" s="1" t="str">
        <f>HYPERLINK(".\sm_car_250817_2235\sm_car_250817_2235_256_Ca180TrN_MaWOT_DrSt_ode23t_1.png","figure")</f>
        <v>figure</v>
      </c>
      <c r="Q257" t="s">
        <v>15</v>
      </c>
    </row>
    <row r="258" spans="1:17" x14ac:dyDescent="0.25">
      <c r="A258">
        <v>257</v>
      </c>
      <c r="B258">
        <v>197</v>
      </c>
      <c r="C258" t="s">
        <v>45</v>
      </c>
      <c r="D258" t="s">
        <v>57</v>
      </c>
      <c r="E258" t="s">
        <v>107</v>
      </c>
      <c r="F258" t="s">
        <v>19</v>
      </c>
      <c r="G258" t="s">
        <v>26</v>
      </c>
      <c r="H258" t="s">
        <v>21</v>
      </c>
      <c r="I258" t="s">
        <v>22</v>
      </c>
      <c r="J258" t="s">
        <v>148</v>
      </c>
      <c r="K258" t="s">
        <v>23</v>
      </c>
      <c r="L258">
        <v>458</v>
      </c>
      <c r="M258">
        <v>2.5559690000000002</v>
      </c>
      <c r="N258">
        <v>147.84410192199061</v>
      </c>
      <c r="O258">
        <v>9.6083867831797176E-2</v>
      </c>
      <c r="P258" s="1" t="str">
        <f>HYPERLINK(".\sm_car_250817_2235\sm_car_250817_2235_257_Ca197TrN_MaWOT_DrSt_ode23t_1.png","figure")</f>
        <v>figure</v>
      </c>
      <c r="Q258" t="s">
        <v>15</v>
      </c>
    </row>
    <row r="259" spans="1:17" x14ac:dyDescent="0.25">
      <c r="A259">
        <v>258</v>
      </c>
      <c r="B259">
        <v>182</v>
      </c>
      <c r="C259" t="s">
        <v>45</v>
      </c>
      <c r="D259" t="s">
        <v>17</v>
      </c>
      <c r="E259" t="s">
        <v>49</v>
      </c>
      <c r="F259" t="s">
        <v>19</v>
      </c>
      <c r="G259" t="s">
        <v>26</v>
      </c>
      <c r="H259" t="s">
        <v>21</v>
      </c>
      <c r="I259" t="s">
        <v>64</v>
      </c>
      <c r="J259" t="s">
        <v>148</v>
      </c>
      <c r="K259" t="s">
        <v>23</v>
      </c>
      <c r="L259">
        <v>432</v>
      </c>
      <c r="M259">
        <v>13.0774626</v>
      </c>
      <c r="N259">
        <v>61.834885539466271</v>
      </c>
      <c r="O259">
        <v>-24.150305155580263</v>
      </c>
      <c r="P259" s="1" t="str">
        <f>HYPERLINK(".\sm_car_250817_2235\sm_car_250817_2235_258_Ca182TrN_MaTUR_DrSt_ode23t_1.png","figure")</f>
        <v>figure</v>
      </c>
      <c r="Q259" t="s">
        <v>15</v>
      </c>
    </row>
    <row r="260" spans="1:17" x14ac:dyDescent="0.25">
      <c r="A260">
        <v>259</v>
      </c>
      <c r="B260">
        <v>203</v>
      </c>
      <c r="C260" t="s">
        <v>45</v>
      </c>
      <c r="D260" t="s">
        <v>17</v>
      </c>
      <c r="E260" t="s">
        <v>107</v>
      </c>
      <c r="F260" t="s">
        <v>19</v>
      </c>
      <c r="G260" t="s">
        <v>26</v>
      </c>
      <c r="H260" t="s">
        <v>21</v>
      </c>
      <c r="I260" t="s">
        <v>64</v>
      </c>
      <c r="J260" t="s">
        <v>148</v>
      </c>
      <c r="K260" t="s">
        <v>23</v>
      </c>
      <c r="L260">
        <v>369</v>
      </c>
      <c r="M260">
        <v>4.8218544999999997</v>
      </c>
      <c r="N260">
        <v>61.848255627251518</v>
      </c>
      <c r="O260">
        <v>-24.169725154647598</v>
      </c>
      <c r="P260" s="1" t="str">
        <f>HYPERLINK(".\sm_car_250817_2235\sm_car_250817_2235_259_Ca203TrN_MaTUR_DrSt_ode23t_1.png","figure")</f>
        <v>figure</v>
      </c>
      <c r="Q260" t="s">
        <v>15</v>
      </c>
    </row>
    <row r="261" spans="1:17" x14ac:dyDescent="0.25">
      <c r="A261">
        <v>260</v>
      </c>
      <c r="B261">
        <v>185</v>
      </c>
      <c r="C261" t="s">
        <v>45</v>
      </c>
      <c r="D261" t="s">
        <v>17</v>
      </c>
      <c r="E261" t="s">
        <v>18</v>
      </c>
      <c r="F261" t="s">
        <v>19</v>
      </c>
      <c r="G261" t="s">
        <v>26</v>
      </c>
      <c r="H261" t="s">
        <v>21</v>
      </c>
      <c r="I261" t="s">
        <v>64</v>
      </c>
      <c r="J261" t="s">
        <v>148</v>
      </c>
      <c r="K261" t="s">
        <v>23</v>
      </c>
      <c r="L261">
        <v>523</v>
      </c>
      <c r="M261">
        <v>21.4518111</v>
      </c>
      <c r="N261">
        <v>111.99610287398829</v>
      </c>
      <c r="O261">
        <v>-78.469977328328028</v>
      </c>
      <c r="P261" s="1" t="str">
        <f>HYPERLINK(".\sm_car_250817_2235\sm_car_250817_2235_260_Ca185TrN_MaTUR_DrSt_ode23t_1.png","figure")</f>
        <v>figure</v>
      </c>
      <c r="Q261" t="s">
        <v>15</v>
      </c>
    </row>
    <row r="262" spans="1:17" x14ac:dyDescent="0.25">
      <c r="A262">
        <v>261</v>
      </c>
      <c r="B262">
        <v>188</v>
      </c>
      <c r="C262" t="s">
        <v>45</v>
      </c>
      <c r="D262" t="s">
        <v>113</v>
      </c>
      <c r="E262" t="s">
        <v>49</v>
      </c>
      <c r="F262" t="s">
        <v>19</v>
      </c>
      <c r="G262" t="s">
        <v>26</v>
      </c>
      <c r="H262" t="s">
        <v>21</v>
      </c>
      <c r="I262" t="s">
        <v>64</v>
      </c>
      <c r="J262" t="s">
        <v>148</v>
      </c>
      <c r="K262" t="s">
        <v>23</v>
      </c>
      <c r="L262">
        <v>538</v>
      </c>
      <c r="M262">
        <v>7.9597601999999998</v>
      </c>
      <c r="N262">
        <v>140.60859017668929</v>
      </c>
      <c r="O262">
        <v>-71.740086664623803</v>
      </c>
      <c r="P262" s="1" t="str">
        <f>HYPERLINK(".\sm_car_250817_2235\sm_car_250817_2235_261_Ca188TrN_MaTUR_DrSt_ode23t_1.png","figure")</f>
        <v>figure</v>
      </c>
      <c r="Q262" t="s">
        <v>15</v>
      </c>
    </row>
    <row r="263" spans="1:17" x14ac:dyDescent="0.25">
      <c r="A263">
        <v>262</v>
      </c>
      <c r="B263" t="s">
        <v>94</v>
      </c>
      <c r="C263" t="s">
        <v>95</v>
      </c>
      <c r="D263" t="s">
        <v>35</v>
      </c>
      <c r="E263" t="s">
        <v>18</v>
      </c>
      <c r="F263" t="s">
        <v>19</v>
      </c>
      <c r="G263" t="s">
        <v>96</v>
      </c>
      <c r="H263" t="s">
        <v>21</v>
      </c>
      <c r="I263" t="s">
        <v>22</v>
      </c>
      <c r="J263" t="s">
        <v>148</v>
      </c>
      <c r="K263" t="s">
        <v>23</v>
      </c>
      <c r="L263">
        <v>441</v>
      </c>
      <c r="M263">
        <v>14.8009676</v>
      </c>
      <c r="N263">
        <v>79.220922629445354</v>
      </c>
      <c r="O263">
        <v>-0.33365900389598846</v>
      </c>
      <c r="P263" s="1" t="str">
        <f>HYPERLINK(".\sm_car_250817_2235\sm_car_Axle3_250817_2235_262_CaAxle3_000TrN_MaWOT_DrSt_ode23t_1.png","figure")</f>
        <v>figure</v>
      </c>
      <c r="Q263" t="s">
        <v>15</v>
      </c>
    </row>
    <row r="264" spans="1:17" x14ac:dyDescent="0.25">
      <c r="A264">
        <v>263</v>
      </c>
      <c r="B264" t="s">
        <v>99</v>
      </c>
      <c r="C264" t="s">
        <v>100</v>
      </c>
      <c r="D264" t="s">
        <v>35</v>
      </c>
      <c r="E264" t="s">
        <v>18</v>
      </c>
      <c r="F264" t="s">
        <v>19</v>
      </c>
      <c r="G264" t="s">
        <v>96</v>
      </c>
      <c r="H264" t="s">
        <v>21</v>
      </c>
      <c r="I264" t="s">
        <v>22</v>
      </c>
      <c r="J264" t="s">
        <v>148</v>
      </c>
      <c r="K264" t="s">
        <v>23</v>
      </c>
      <c r="L264">
        <v>550</v>
      </c>
      <c r="M264">
        <v>16.986898199999999</v>
      </c>
      <c r="N264">
        <v>61.779965246863227</v>
      </c>
      <c r="O264">
        <v>-7.8806101538501441E-2</v>
      </c>
      <c r="P264" s="1" t="str">
        <f>HYPERLINK(".\sm_car_250817_2235\sm_car_Axle3_250817_2235_263_CaAxle3_008TrN_MaWOT_DrSt_ode23t_1.png","figure")</f>
        <v>figure</v>
      </c>
      <c r="Q264" t="s">
        <v>15</v>
      </c>
    </row>
    <row r="265" spans="1:17" x14ac:dyDescent="0.25">
      <c r="A265">
        <v>264</v>
      </c>
      <c r="B265" t="s">
        <v>97</v>
      </c>
      <c r="C265" t="s">
        <v>95</v>
      </c>
      <c r="D265" t="s">
        <v>35</v>
      </c>
      <c r="E265" t="s">
        <v>49</v>
      </c>
      <c r="F265" t="s">
        <v>19</v>
      </c>
      <c r="G265" t="s">
        <v>98</v>
      </c>
      <c r="H265" t="s">
        <v>21</v>
      </c>
      <c r="I265" t="s">
        <v>22</v>
      </c>
      <c r="J265" t="s">
        <v>148</v>
      </c>
      <c r="K265" t="s">
        <v>23</v>
      </c>
      <c r="L265">
        <v>425</v>
      </c>
      <c r="M265">
        <v>13.872834900000001</v>
      </c>
      <c r="N265">
        <v>79.267785357633912</v>
      </c>
      <c r="O265">
        <v>-0.31325812773398548</v>
      </c>
      <c r="P265" s="1" t="str">
        <f>HYPERLINK(".\sm_car_250817_2235\sm_car_Axle3_250817_2235_264_CaAxle3_003TrN_MaWOT_DrSt_ode23t_1.png","figure")</f>
        <v>figure</v>
      </c>
      <c r="Q265" t="s">
        <v>15</v>
      </c>
    </row>
    <row r="266" spans="1:17" x14ac:dyDescent="0.25">
      <c r="A266">
        <v>265</v>
      </c>
      <c r="B266" t="s">
        <v>114</v>
      </c>
      <c r="C266" t="s">
        <v>95</v>
      </c>
      <c r="D266" t="s">
        <v>35</v>
      </c>
      <c r="E266" t="s">
        <v>107</v>
      </c>
      <c r="F266" t="s">
        <v>19</v>
      </c>
      <c r="G266" t="s">
        <v>98</v>
      </c>
      <c r="H266" t="s">
        <v>21</v>
      </c>
      <c r="I266" t="s">
        <v>22</v>
      </c>
      <c r="J266" t="s">
        <v>148</v>
      </c>
      <c r="K266" t="s">
        <v>23</v>
      </c>
      <c r="L266">
        <v>427</v>
      </c>
      <c r="M266">
        <v>2.3963926999999998</v>
      </c>
      <c r="N266">
        <v>80.145520056216895</v>
      </c>
      <c r="O266">
        <v>-0.31945069771391377</v>
      </c>
      <c r="P266" s="1" t="str">
        <f>HYPERLINK(".\sm_car_250817_2235\sm_car_Axle3_250817_2235_265_CaAxle3_017TrN_MaWOT_DrSt_ode23t_1.png","figure")</f>
        <v>figure</v>
      </c>
      <c r="Q266" t="s">
        <v>15</v>
      </c>
    </row>
    <row r="267" spans="1:17" x14ac:dyDescent="0.25">
      <c r="A267">
        <v>266</v>
      </c>
      <c r="B267" t="s">
        <v>101</v>
      </c>
      <c r="C267" t="s">
        <v>100</v>
      </c>
      <c r="D267" t="s">
        <v>35</v>
      </c>
      <c r="E267" t="s">
        <v>49</v>
      </c>
      <c r="F267" t="s">
        <v>19</v>
      </c>
      <c r="G267" t="s">
        <v>96</v>
      </c>
      <c r="H267" t="s">
        <v>102</v>
      </c>
      <c r="I267" t="s">
        <v>22</v>
      </c>
      <c r="J267" t="s">
        <v>148</v>
      </c>
      <c r="K267" t="s">
        <v>23</v>
      </c>
      <c r="L267">
        <v>393</v>
      </c>
      <c r="M267">
        <v>36.510021100000003</v>
      </c>
      <c r="N267">
        <v>44.215687696567301</v>
      </c>
      <c r="O267">
        <v>2.2703786629762572E-2</v>
      </c>
      <c r="P267" s="1" t="str">
        <f>HYPERLINK(".\sm_car_250817_2235\sm_car_Axle3_250817_2235_266_CaAxle3_010TrK_MaWOT_DrSt_ode23t_1.png","figure")</f>
        <v>figure</v>
      </c>
      <c r="Q267" t="s">
        <v>15</v>
      </c>
    </row>
    <row r="268" spans="1:17" x14ac:dyDescent="0.25">
      <c r="A268">
        <v>267</v>
      </c>
      <c r="B268" t="s">
        <v>101</v>
      </c>
      <c r="C268" t="s">
        <v>100</v>
      </c>
      <c r="D268" t="s">
        <v>35</v>
      </c>
      <c r="E268" t="s">
        <v>49</v>
      </c>
      <c r="F268" t="s">
        <v>19</v>
      </c>
      <c r="G268" t="s">
        <v>96</v>
      </c>
      <c r="H268" t="s">
        <v>102</v>
      </c>
      <c r="I268" t="s">
        <v>22</v>
      </c>
      <c r="J268" t="s">
        <v>148</v>
      </c>
      <c r="K268" t="s">
        <v>23</v>
      </c>
      <c r="L268">
        <v>406</v>
      </c>
      <c r="M268">
        <v>36.4671649</v>
      </c>
      <c r="N268">
        <v>44.315323063646517</v>
      </c>
      <c r="O268">
        <v>2.2834604036157842E-2</v>
      </c>
      <c r="P268" s="1" t="str">
        <f>HYPERLINK(".\sm_car_250817_2235\sm_car_Axle3_250817_2235_267_CaAxle3_010TrK_MaWOT_DrSt_ode23t_1.png","figure")</f>
        <v>figure</v>
      </c>
      <c r="Q268" t="s">
        <v>15</v>
      </c>
    </row>
    <row r="269" spans="1:17" x14ac:dyDescent="0.25">
      <c r="A269">
        <v>268</v>
      </c>
      <c r="B269" t="s">
        <v>115</v>
      </c>
      <c r="C269" t="s">
        <v>100</v>
      </c>
      <c r="D269" t="s">
        <v>35</v>
      </c>
      <c r="E269" t="s">
        <v>107</v>
      </c>
      <c r="F269" t="s">
        <v>19</v>
      </c>
      <c r="G269" t="s">
        <v>96</v>
      </c>
      <c r="H269" t="s">
        <v>102</v>
      </c>
      <c r="I269" t="s">
        <v>22</v>
      </c>
      <c r="J269" t="s">
        <v>148</v>
      </c>
      <c r="K269" t="s">
        <v>23</v>
      </c>
      <c r="L269">
        <v>398</v>
      </c>
      <c r="M269">
        <v>3.4161826999999998</v>
      </c>
      <c r="N269">
        <v>48.1835066105021</v>
      </c>
      <c r="O269">
        <v>2.6474473560836397E-2</v>
      </c>
      <c r="P269" s="1" t="str">
        <f>HYPERLINK(".\sm_car_250817_2235\sm_car_Axle3_250817_2235_268_CaAxle3_019TrK_MaWOT_DrSt_ode23t_1.png","figure")</f>
        <v>figure</v>
      </c>
      <c r="Q269" t="s">
        <v>15</v>
      </c>
    </row>
    <row r="270" spans="1:17" x14ac:dyDescent="0.25">
      <c r="A270">
        <v>269</v>
      </c>
      <c r="B270" t="s">
        <v>115</v>
      </c>
      <c r="C270" t="s">
        <v>100</v>
      </c>
      <c r="D270" t="s">
        <v>35</v>
      </c>
      <c r="E270" t="s">
        <v>107</v>
      </c>
      <c r="F270" t="s">
        <v>19</v>
      </c>
      <c r="G270" t="s">
        <v>96</v>
      </c>
      <c r="H270" t="s">
        <v>102</v>
      </c>
      <c r="I270" t="s">
        <v>22</v>
      </c>
      <c r="J270" t="s">
        <v>148</v>
      </c>
      <c r="K270" t="s">
        <v>23</v>
      </c>
      <c r="L270">
        <v>401</v>
      </c>
      <c r="M270">
        <v>3.3603572000000002</v>
      </c>
      <c r="N270">
        <v>48.113113515806859</v>
      </c>
      <c r="O270">
        <v>2.6374438288324573E-2</v>
      </c>
      <c r="P270" s="1" t="str">
        <f>HYPERLINK(".\sm_car_250817_2235\sm_car_Axle3_250817_2235_269_CaAxle3_019TrK_MaWOT_DrSt_ode23t_1.png","figure")</f>
        <v>figure</v>
      </c>
      <c r="Q270" t="s">
        <v>15</v>
      </c>
    </row>
    <row r="271" spans="1:17" x14ac:dyDescent="0.25">
      <c r="A271">
        <v>270</v>
      </c>
      <c r="B271" t="s">
        <v>115</v>
      </c>
      <c r="C271" t="s">
        <v>100</v>
      </c>
      <c r="D271" t="s">
        <v>35</v>
      </c>
      <c r="E271" t="s">
        <v>107</v>
      </c>
      <c r="F271" t="s">
        <v>19</v>
      </c>
      <c r="G271" t="s">
        <v>96</v>
      </c>
      <c r="H271" t="s">
        <v>102</v>
      </c>
      <c r="I271" t="s">
        <v>53</v>
      </c>
      <c r="J271" t="s">
        <v>148</v>
      </c>
      <c r="K271" t="s">
        <v>23</v>
      </c>
      <c r="L271">
        <v>648</v>
      </c>
      <c r="M271">
        <v>5.0072577000000003</v>
      </c>
      <c r="N271">
        <v>253.28174581125006</v>
      </c>
      <c r="O271">
        <v>-0.10904424990563966</v>
      </c>
      <c r="P271" s="1" t="str">
        <f>HYPERLINK(".\sm_car_250817_2235\sm_car_Axle3_250817_2235_270_CaAxle3_019TrK_MaDLC_DrSt_ode23t_1.png","figure")</f>
        <v>figure</v>
      </c>
      <c r="Q271" t="s">
        <v>15</v>
      </c>
    </row>
    <row r="272" spans="1:17" x14ac:dyDescent="0.25">
      <c r="A272">
        <v>271</v>
      </c>
      <c r="B272" t="s">
        <v>115</v>
      </c>
      <c r="C272" t="s">
        <v>100</v>
      </c>
      <c r="D272" t="s">
        <v>35</v>
      </c>
      <c r="E272" t="s">
        <v>107</v>
      </c>
      <c r="F272" t="s">
        <v>19</v>
      </c>
      <c r="G272" t="s">
        <v>96</v>
      </c>
      <c r="H272" t="s">
        <v>102</v>
      </c>
      <c r="I272" t="s">
        <v>53</v>
      </c>
      <c r="J272" t="s">
        <v>148</v>
      </c>
      <c r="K272" t="s">
        <v>23</v>
      </c>
      <c r="L272">
        <v>786</v>
      </c>
      <c r="M272">
        <v>5.0312685000000004</v>
      </c>
      <c r="N272">
        <v>254.37503725174702</v>
      </c>
      <c r="O272">
        <v>-0.11530575910884178</v>
      </c>
      <c r="P272" s="1" t="str">
        <f>HYPERLINK(".\sm_car_250817_2235\sm_car_Axle3_250817_2235_271_CaAxle3_019TrK_MaDLC_DrSt_ode23t_1.png","figure")</f>
        <v>figure</v>
      </c>
      <c r="Q272" t="s">
        <v>15</v>
      </c>
    </row>
    <row r="273" spans="1:17" x14ac:dyDescent="0.25">
      <c r="A273">
        <v>272</v>
      </c>
      <c r="B273" t="s">
        <v>115</v>
      </c>
      <c r="C273" t="s">
        <v>100</v>
      </c>
      <c r="D273" t="s">
        <v>35</v>
      </c>
      <c r="E273" t="s">
        <v>107</v>
      </c>
      <c r="F273" t="s">
        <v>19</v>
      </c>
      <c r="G273" t="s">
        <v>96</v>
      </c>
      <c r="H273" t="s">
        <v>102</v>
      </c>
      <c r="I273" t="s">
        <v>53</v>
      </c>
      <c r="J273" t="s">
        <v>148</v>
      </c>
      <c r="K273" t="s">
        <v>23</v>
      </c>
      <c r="L273">
        <v>632</v>
      </c>
      <c r="M273">
        <v>4.9017955999999998</v>
      </c>
      <c r="N273">
        <v>255.70186471592717</v>
      </c>
      <c r="O273">
        <v>-0.11654404198512802</v>
      </c>
      <c r="P273" s="1" t="str">
        <f>HYPERLINK(".\sm_car_250817_2235\sm_car_Axle3_250817_2235_272_CaAxle3_019TrK_MaDLC_DrSt_ode23t_1.png","figure")</f>
        <v>figure</v>
      </c>
      <c r="Q273" t="s">
        <v>15</v>
      </c>
    </row>
    <row r="274" spans="1:17" x14ac:dyDescent="0.25">
      <c r="A274">
        <v>273</v>
      </c>
      <c r="B274" t="s">
        <v>115</v>
      </c>
      <c r="C274" t="s">
        <v>100</v>
      </c>
      <c r="D274" t="s">
        <v>35</v>
      </c>
      <c r="E274" t="s">
        <v>107</v>
      </c>
      <c r="F274" t="s">
        <v>19</v>
      </c>
      <c r="G274" t="s">
        <v>96</v>
      </c>
      <c r="H274" t="s">
        <v>102</v>
      </c>
      <c r="I274" t="s">
        <v>53</v>
      </c>
      <c r="J274" t="s">
        <v>148</v>
      </c>
      <c r="K274" t="s">
        <v>23</v>
      </c>
      <c r="L274">
        <v>826</v>
      </c>
      <c r="M274">
        <v>5.3034942999999997</v>
      </c>
      <c r="N274">
        <v>253.29699687112469</v>
      </c>
      <c r="O274">
        <v>-0.10529592098726015</v>
      </c>
      <c r="P274" s="1" t="str">
        <f>HYPERLINK(".\sm_car_250817_2235\sm_car_Axle3_250817_2235_273_CaAxle3_019TrK_MaDLC_DrSt_ode23t_1.png","figure")</f>
        <v>figure</v>
      </c>
      <c r="Q274" t="s">
        <v>15</v>
      </c>
    </row>
    <row r="275" spans="1:17" x14ac:dyDescent="0.25">
      <c r="A275">
        <v>274</v>
      </c>
      <c r="B275" t="s">
        <v>138</v>
      </c>
      <c r="C275" t="s">
        <v>139</v>
      </c>
      <c r="D275" t="s">
        <v>35</v>
      </c>
      <c r="E275" t="s">
        <v>49</v>
      </c>
      <c r="F275" t="s">
        <v>19</v>
      </c>
      <c r="G275" t="s">
        <v>96</v>
      </c>
      <c r="H275" t="s">
        <v>102</v>
      </c>
      <c r="I275" t="s">
        <v>22</v>
      </c>
      <c r="J275" t="s">
        <v>148</v>
      </c>
      <c r="K275" t="s">
        <v>23</v>
      </c>
      <c r="L275">
        <v>375</v>
      </c>
      <c r="M275">
        <v>3.1046425000000002</v>
      </c>
      <c r="N275">
        <v>136.82772368936205</v>
      </c>
      <c r="O275">
        <v>0.19635776389535528</v>
      </c>
      <c r="P275" s="1" t="str">
        <f>HYPERLINK(".\sm_car_250817_2235\sm_car_Axle3_250817_2235_274_CaAxle3_023TrK_MaWOT_DrSt_ode23t_1.png","figure")</f>
        <v>figure</v>
      </c>
      <c r="Q275" t="s">
        <v>15</v>
      </c>
    </row>
  </sheetData>
  <autoFilter ref="A1:Q275" xr:uid="{CD24B9D6-B028-42EC-B7D7-099D3167312C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ED754-E464-478A-8A0D-DEE566328395}">
  <dimension ref="A1:S275"/>
  <sheetViews>
    <sheetView zoomScale="108" zoomScaleNormal="108" workbookViewId="0">
      <pane ySplit="1" topLeftCell="A2" activePane="bottomLeft" state="frozen"/>
      <selection pane="bottomLeft" activeCell="M2" sqref="M2"/>
    </sheetView>
  </sheetViews>
  <sheetFormatPr defaultRowHeight="15" x14ac:dyDescent="0.25"/>
  <cols>
    <col min="1" max="1" width="6.28515625" bestFit="1" customWidth="1"/>
    <col min="2" max="2" width="9.42578125" bestFit="1" customWidth="1"/>
    <col min="3" max="3" width="12.5703125" bestFit="1" customWidth="1"/>
    <col min="4" max="4" width="12" bestFit="1" customWidth="1"/>
    <col min="5" max="5" width="11.140625" bestFit="1" customWidth="1"/>
    <col min="6" max="6" width="11" bestFit="1" customWidth="1"/>
    <col min="7" max="7" width="15.42578125" bestFit="1" customWidth="1"/>
    <col min="8" max="8" width="7.7109375" bestFit="1" customWidth="1"/>
    <col min="9" max="9" width="25.140625" bestFit="1" customWidth="1"/>
    <col min="10" max="10" width="11.28515625" bestFit="1" customWidth="1"/>
    <col min="11" max="11" width="6.7109375" bestFit="1" customWidth="1"/>
    <col min="12" max="12" width="9" bestFit="1" customWidth="1"/>
    <col min="13" max="13" width="7.28515625" bestFit="1" customWidth="1"/>
    <col min="14" max="14" width="7.85546875" bestFit="1" customWidth="1"/>
    <col min="15" max="15" width="8.28515625" bestFit="1" customWidth="1"/>
    <col min="16" max="16" width="8.140625" bestFit="1" customWidth="1"/>
    <col min="17" max="17" width="6.7109375" bestFit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6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S1" s="2" t="s">
        <v>168</v>
      </c>
    </row>
    <row r="2" spans="1:19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148</v>
      </c>
      <c r="K2" t="s">
        <v>23</v>
      </c>
      <c r="L2">
        <v>416</v>
      </c>
      <c r="M2" s="10">
        <v>6.7898092999999999</v>
      </c>
      <c r="N2" s="10">
        <v>230.11045501013601</v>
      </c>
      <c r="O2" s="10">
        <v>-6.4069828188937777E-3</v>
      </c>
      <c r="P2" s="1" t="str">
        <f>HYPERLINK(".\sm_car_250819_0008\sm_car_250819_0008_001_Ca000TrN_MaWOT_DrSt_ode23t.png","figure")</f>
        <v>figure</v>
      </c>
      <c r="Q2" t="s">
        <v>15</v>
      </c>
      <c r="S2" s="2" t="s">
        <v>116</v>
      </c>
    </row>
    <row r="3" spans="1:19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24</v>
      </c>
      <c r="J3" t="s">
        <v>148</v>
      </c>
      <c r="K3" t="s">
        <v>23</v>
      </c>
      <c r="L3">
        <v>536</v>
      </c>
      <c r="M3" s="10">
        <v>7.6174416999999996</v>
      </c>
      <c r="N3" s="10">
        <v>70.870636032636526</v>
      </c>
      <c r="O3" s="10">
        <v>-0.53444607256030063</v>
      </c>
      <c r="P3" s="1" t="str">
        <f>HYPERLINK(".\sm_car_250819_0008\sm_car_250819_0008_002_Ca000TrN_MaLSS_DrSt_ode23t.png","figure")</f>
        <v>figure</v>
      </c>
      <c r="Q3" t="s">
        <v>15</v>
      </c>
      <c r="S3" s="2" t="s">
        <v>117</v>
      </c>
    </row>
    <row r="4" spans="1:19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21</v>
      </c>
      <c r="I4" t="s">
        <v>22</v>
      </c>
      <c r="J4" t="s">
        <v>148</v>
      </c>
      <c r="K4" t="s">
        <v>23</v>
      </c>
      <c r="L4">
        <v>403</v>
      </c>
      <c r="M4" s="10">
        <v>7.4497952999999999</v>
      </c>
      <c r="N4" s="10">
        <v>229.2023361390462</v>
      </c>
      <c r="O4" s="10">
        <v>-1.6726552398236498E-2</v>
      </c>
      <c r="P4" s="1" t="str">
        <f>HYPERLINK(".\sm_car_250819_0008\sm_car_250819_0008_003_Ca001TrN_MaWOT_DrSt_ode23t.png","figure")</f>
        <v>figure</v>
      </c>
      <c r="Q4" t="s">
        <v>15</v>
      </c>
      <c r="S4" s="2" t="s">
        <v>164</v>
      </c>
    </row>
    <row r="5" spans="1:19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25</v>
      </c>
      <c r="H5" t="s">
        <v>21</v>
      </c>
      <c r="I5" t="s">
        <v>24</v>
      </c>
      <c r="J5" t="s">
        <v>148</v>
      </c>
      <c r="K5" t="s">
        <v>23</v>
      </c>
      <c r="L5">
        <v>505</v>
      </c>
      <c r="M5" s="10">
        <v>8.5236664999999991</v>
      </c>
      <c r="N5" s="10">
        <v>70.602052477448424</v>
      </c>
      <c r="O5" s="10">
        <v>-0.52933590327780344</v>
      </c>
      <c r="P5" s="1" t="str">
        <f>HYPERLINK(".\sm_car_250819_0008\sm_car_250819_0008_004_Ca001TrN_MaLSS_DrSt_ode23t.png","figure")</f>
        <v>figure</v>
      </c>
      <c r="Q5" t="s">
        <v>15</v>
      </c>
      <c r="S5" t="s">
        <v>169</v>
      </c>
    </row>
    <row r="6" spans="1:19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26</v>
      </c>
      <c r="H6" t="s">
        <v>21</v>
      </c>
      <c r="I6" t="s">
        <v>22</v>
      </c>
      <c r="J6" t="s">
        <v>148</v>
      </c>
      <c r="K6" t="s">
        <v>23</v>
      </c>
      <c r="L6">
        <v>441</v>
      </c>
      <c r="M6" s="10">
        <v>11.6151798</v>
      </c>
      <c r="N6" s="10">
        <v>229.14618664616387</v>
      </c>
      <c r="O6" s="10">
        <v>4.9843218616042025E-2</v>
      </c>
      <c r="P6" s="1" t="str">
        <f>HYPERLINK(".\sm_car_250819_0008\sm_car_250819_0008_005_Ca002TrN_MaWOT_DrSt_ode23t.png","figure")</f>
        <v>figure</v>
      </c>
      <c r="Q6" t="s">
        <v>15</v>
      </c>
    </row>
    <row r="7" spans="1:19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26</v>
      </c>
      <c r="H7" t="s">
        <v>21</v>
      </c>
      <c r="I7" t="s">
        <v>24</v>
      </c>
      <c r="J7" t="s">
        <v>148</v>
      </c>
      <c r="K7" t="s">
        <v>23</v>
      </c>
      <c r="L7">
        <v>533</v>
      </c>
      <c r="M7" s="10">
        <v>11.2267578</v>
      </c>
      <c r="N7" s="10">
        <v>70.582574800098868</v>
      </c>
      <c r="O7" s="10">
        <v>-0.5225752399123339</v>
      </c>
      <c r="P7" s="1" t="str">
        <f>HYPERLINK(".\sm_car_250819_0008\sm_car_250819_0008_006_Ca002TrN_MaLSS_DrSt_ode23t.png","figure")</f>
        <v>figure</v>
      </c>
      <c r="Q7" t="s">
        <v>15</v>
      </c>
    </row>
    <row r="8" spans="1:19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27</v>
      </c>
      <c r="H8" t="s">
        <v>21</v>
      </c>
      <c r="I8" t="s">
        <v>22</v>
      </c>
      <c r="J8" t="s">
        <v>148</v>
      </c>
      <c r="K8" t="s">
        <v>23</v>
      </c>
      <c r="L8">
        <v>480</v>
      </c>
      <c r="M8" s="10">
        <v>12.555790500000001</v>
      </c>
      <c r="N8" s="10">
        <v>228.66807335611335</v>
      </c>
      <c r="O8" s="10">
        <v>4.9135838966006311E-2</v>
      </c>
      <c r="P8" s="1" t="str">
        <f>HYPERLINK(".\sm_car_250819_0008\sm_car_250819_0008_007_Ca003TrN_MaWOT_DrSt_ode23t.png","figure")</f>
        <v>figure</v>
      </c>
      <c r="Q8" t="s">
        <v>15</v>
      </c>
    </row>
    <row r="9" spans="1:19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27</v>
      </c>
      <c r="H9" t="s">
        <v>21</v>
      </c>
      <c r="I9" t="s">
        <v>24</v>
      </c>
      <c r="J9" t="s">
        <v>148</v>
      </c>
      <c r="K9" t="s">
        <v>23</v>
      </c>
      <c r="L9">
        <v>541</v>
      </c>
      <c r="M9" s="10">
        <v>12.0933045</v>
      </c>
      <c r="N9" s="10">
        <v>70.458171650248374</v>
      </c>
      <c r="O9" s="10">
        <v>-0.52119416231414462</v>
      </c>
      <c r="P9" s="1" t="str">
        <f>HYPERLINK(".\sm_car_250819_0008\sm_car_250819_0008_008_Ca003TrN_MaLSS_DrSt_ode23t.png","figure")</f>
        <v>figure</v>
      </c>
      <c r="Q9" t="s">
        <v>15</v>
      </c>
    </row>
    <row r="10" spans="1:19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20</v>
      </c>
      <c r="H10" t="s">
        <v>21</v>
      </c>
      <c r="I10" t="s">
        <v>22</v>
      </c>
      <c r="J10" t="s">
        <v>148</v>
      </c>
      <c r="K10" t="s">
        <v>23</v>
      </c>
      <c r="L10">
        <v>1102</v>
      </c>
      <c r="M10" s="10">
        <v>11.290494300000001</v>
      </c>
      <c r="N10" s="10">
        <v>230.06991908943164</v>
      </c>
      <c r="O10" s="10">
        <v>-1.1791141717215226E-2</v>
      </c>
      <c r="P10" s="1" t="str">
        <f>HYPERLINK(".\sm_car_250819_0008\sm_car_250819_0008_009_Ca004TrN_MaWOT_DrSt_ode23t.png","figure")</f>
        <v>figure</v>
      </c>
      <c r="Q10" t="s">
        <v>15</v>
      </c>
    </row>
    <row r="11" spans="1:19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20</v>
      </c>
      <c r="H11" t="s">
        <v>21</v>
      </c>
      <c r="I11" t="s">
        <v>24</v>
      </c>
      <c r="J11" t="s">
        <v>148</v>
      </c>
      <c r="K11" t="s">
        <v>23</v>
      </c>
      <c r="L11">
        <v>1231</v>
      </c>
      <c r="M11" s="10">
        <v>12.750100700000001</v>
      </c>
      <c r="N11" s="10">
        <v>70.885260269211827</v>
      </c>
      <c r="O11" s="10">
        <v>-0.53750320931050044</v>
      </c>
      <c r="P11" s="1" t="str">
        <f>HYPERLINK(".\sm_car_250819_0008\sm_car_250819_0008_010_Ca004TrN_MaLSS_DrSt_ode23t.png","figure")</f>
        <v>figure</v>
      </c>
      <c r="Q11" t="s">
        <v>15</v>
      </c>
    </row>
    <row r="12" spans="1:19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25</v>
      </c>
      <c r="H12" t="s">
        <v>21</v>
      </c>
      <c r="I12" t="s">
        <v>22</v>
      </c>
      <c r="J12" t="s">
        <v>148</v>
      </c>
      <c r="K12" t="s">
        <v>23</v>
      </c>
      <c r="L12">
        <v>1088</v>
      </c>
      <c r="M12" s="10">
        <v>12.393153399999999</v>
      </c>
      <c r="N12" s="10">
        <v>228.74756262871091</v>
      </c>
      <c r="O12" s="10">
        <v>-1.2898904690793623E-2</v>
      </c>
      <c r="P12" s="1" t="str">
        <f>HYPERLINK(".\sm_car_250819_0008\sm_car_250819_0008_011_Ca005TrN_MaWOT_DrSt_ode23t.png","figure")</f>
        <v>figure</v>
      </c>
      <c r="Q12" t="s">
        <v>15</v>
      </c>
    </row>
    <row r="13" spans="1:19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25</v>
      </c>
      <c r="H13" t="s">
        <v>21</v>
      </c>
      <c r="I13" t="s">
        <v>24</v>
      </c>
      <c r="J13" t="s">
        <v>148</v>
      </c>
      <c r="K13" t="s">
        <v>23</v>
      </c>
      <c r="L13">
        <v>1214</v>
      </c>
      <c r="M13" s="10">
        <v>14.2682967</v>
      </c>
      <c r="N13" s="10">
        <v>70.596546137576425</v>
      </c>
      <c r="O13" s="10">
        <v>-0.5314056639892103</v>
      </c>
      <c r="P13" s="1" t="str">
        <f>HYPERLINK(".\sm_car_250819_0008\sm_car_250819_0008_012_Ca005TrN_MaLSS_DrSt_ode23t.png","figure")</f>
        <v>figure</v>
      </c>
      <c r="Q13" t="s">
        <v>15</v>
      </c>
    </row>
    <row r="14" spans="1:19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26</v>
      </c>
      <c r="H14" t="s">
        <v>21</v>
      </c>
      <c r="I14" t="s">
        <v>22</v>
      </c>
      <c r="J14" t="s">
        <v>148</v>
      </c>
      <c r="K14" t="s">
        <v>23</v>
      </c>
      <c r="L14">
        <v>1215</v>
      </c>
      <c r="M14" s="10">
        <v>16.920683</v>
      </c>
      <c r="N14" s="10">
        <v>229.07836669584987</v>
      </c>
      <c r="O14" s="10">
        <v>4.6848233913051984E-2</v>
      </c>
      <c r="P14" s="1" t="str">
        <f>HYPERLINK(".\sm_car_250819_0008\sm_car_250819_0008_013_Ca006TrN_MaWOT_DrSt_ode23t.png","figure")</f>
        <v>figure</v>
      </c>
      <c r="Q14" t="s">
        <v>15</v>
      </c>
    </row>
    <row r="15" spans="1:19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26</v>
      </c>
      <c r="H15" t="s">
        <v>21</v>
      </c>
      <c r="I15" t="s">
        <v>24</v>
      </c>
      <c r="J15" t="s">
        <v>148</v>
      </c>
      <c r="K15" t="s">
        <v>23</v>
      </c>
      <c r="L15">
        <v>1286</v>
      </c>
      <c r="M15" s="10">
        <v>14.928428800000001</v>
      </c>
      <c r="N15" s="10">
        <v>70.592194421357917</v>
      </c>
      <c r="O15" s="10">
        <v>-0.52829649999610007</v>
      </c>
      <c r="P15" s="1" t="str">
        <f>HYPERLINK(".\sm_car_250819_0008\sm_car_250819_0008_014_Ca006TrN_MaLSS_DrSt_ode23t.png","figure")</f>
        <v>figure</v>
      </c>
      <c r="Q15" t="s">
        <v>15</v>
      </c>
    </row>
    <row r="16" spans="1:19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27</v>
      </c>
      <c r="H16" t="s">
        <v>21</v>
      </c>
      <c r="I16" t="s">
        <v>22</v>
      </c>
      <c r="J16" t="s">
        <v>148</v>
      </c>
      <c r="K16" t="s">
        <v>23</v>
      </c>
      <c r="L16">
        <v>1166</v>
      </c>
      <c r="M16" s="10">
        <v>13.9779795</v>
      </c>
      <c r="N16" s="10">
        <v>228.5243468678357</v>
      </c>
      <c r="O16" s="10">
        <v>4.5076339614135381E-2</v>
      </c>
      <c r="P16" s="1" t="str">
        <f>HYPERLINK(".\sm_car_250819_0008\sm_car_250819_0008_015_Ca007TrN_MaWOT_DrSt_ode23t.png","figure")</f>
        <v>figure</v>
      </c>
      <c r="Q16" t="s">
        <v>15</v>
      </c>
    </row>
    <row r="17" spans="1:17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27</v>
      </c>
      <c r="H17" t="s">
        <v>21</v>
      </c>
      <c r="I17" t="s">
        <v>24</v>
      </c>
      <c r="J17" t="s">
        <v>148</v>
      </c>
      <c r="K17" t="s">
        <v>23</v>
      </c>
      <c r="L17">
        <v>1270</v>
      </c>
      <c r="M17" s="10">
        <v>16.578649599999999</v>
      </c>
      <c r="N17" s="10">
        <v>70.462921737557778</v>
      </c>
      <c r="O17" s="10">
        <v>-0.52297546253415805</v>
      </c>
      <c r="P17" s="1" t="str">
        <f>HYPERLINK(".\sm_car_250819_0008\sm_car_250819_0008_016_Ca007TrN_MaLSS_DrSt_ode23t.png","figure")</f>
        <v>figure</v>
      </c>
      <c r="Q17" t="s">
        <v>15</v>
      </c>
    </row>
    <row r="18" spans="1:17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148</v>
      </c>
      <c r="K18" t="s">
        <v>23</v>
      </c>
      <c r="L18">
        <v>407</v>
      </c>
      <c r="M18" s="10">
        <v>5.5899055000000004</v>
      </c>
      <c r="N18" s="10">
        <v>230.72588787159594</v>
      </c>
      <c r="O18" s="10">
        <v>-7.4083687681159943E-2</v>
      </c>
      <c r="P18" s="1" t="str">
        <f>HYPERLINK(".\sm_car_250819_0008\sm_car_250819_0008_017_Ca016TrN_MaWOT_DrSt_ode23t.png","figure")</f>
        <v>figure</v>
      </c>
      <c r="Q18" t="s">
        <v>15</v>
      </c>
    </row>
    <row r="19" spans="1:17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20</v>
      </c>
      <c r="H19" t="s">
        <v>21</v>
      </c>
      <c r="I19" t="s">
        <v>24</v>
      </c>
      <c r="J19" t="s">
        <v>148</v>
      </c>
      <c r="K19" t="s">
        <v>23</v>
      </c>
      <c r="L19">
        <v>497</v>
      </c>
      <c r="M19" s="10">
        <v>5.6382139000000002</v>
      </c>
      <c r="N19" s="10">
        <v>71.1446454734604</v>
      </c>
      <c r="O19" s="10">
        <v>-2.1754912716215807E-2</v>
      </c>
      <c r="P19" s="1" t="str">
        <f>HYPERLINK(".\sm_car_250819_0008\sm_car_250819_0008_018_Ca016TrN_MaLSS_DrSt_ode23t.png","figure")</f>
        <v>figure</v>
      </c>
      <c r="Q19" t="s">
        <v>15</v>
      </c>
    </row>
    <row r="20" spans="1:17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148</v>
      </c>
      <c r="K20" t="s">
        <v>23</v>
      </c>
      <c r="L20">
        <v>406</v>
      </c>
      <c r="M20" s="10">
        <v>6.9298833999999996</v>
      </c>
      <c r="N20" s="10">
        <v>230.03027069408438</v>
      </c>
      <c r="O20" s="10">
        <v>4.547350097684563E-3</v>
      </c>
      <c r="P20" s="1" t="str">
        <f>HYPERLINK(".\sm_car_250819_0008\sm_car_250819_0008_019_Ca032TrN_MaWOT_DrSt_ode23t.png","figure")</f>
        <v>figure</v>
      </c>
      <c r="Q20" t="s">
        <v>15</v>
      </c>
    </row>
    <row r="21" spans="1:17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20</v>
      </c>
      <c r="H21" t="s">
        <v>21</v>
      </c>
      <c r="I21" t="s">
        <v>24</v>
      </c>
      <c r="J21" t="s">
        <v>148</v>
      </c>
      <c r="K21" t="s">
        <v>23</v>
      </c>
      <c r="L21">
        <v>528</v>
      </c>
      <c r="M21" s="10">
        <v>7.8313297999999998</v>
      </c>
      <c r="N21" s="10">
        <v>70.885847502650094</v>
      </c>
      <c r="O21" s="10">
        <v>-0.51602338166764228</v>
      </c>
      <c r="P21" s="1" t="str">
        <f>HYPERLINK(".\sm_car_250819_0008\sm_car_250819_0008_020_Ca032TrN_MaLSS_DrSt_ode23t.png","figure")</f>
        <v>figure</v>
      </c>
      <c r="Q21" t="s">
        <v>15</v>
      </c>
    </row>
    <row r="22" spans="1:17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148</v>
      </c>
      <c r="K22" t="s">
        <v>23</v>
      </c>
      <c r="L22">
        <v>413</v>
      </c>
      <c r="M22" s="10">
        <v>7.9339034000000002</v>
      </c>
      <c r="N22" s="10">
        <v>229.79925175338818</v>
      </c>
      <c r="O22" s="10">
        <v>-2.1690564370559363E-2</v>
      </c>
      <c r="P22" s="1" t="str">
        <f>HYPERLINK(".\sm_car_250819_0008\sm_car_250819_0008_021_Ca048TrN_MaWOT_DrSt_ode23t.png","figure")</f>
        <v>figure</v>
      </c>
      <c r="Q22" t="s">
        <v>15</v>
      </c>
    </row>
    <row r="23" spans="1:17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20</v>
      </c>
      <c r="H23" t="s">
        <v>21</v>
      </c>
      <c r="I23" t="s">
        <v>24</v>
      </c>
      <c r="J23" t="s">
        <v>148</v>
      </c>
      <c r="K23" t="s">
        <v>23</v>
      </c>
      <c r="L23">
        <v>523</v>
      </c>
      <c r="M23" s="10">
        <v>26.3841337</v>
      </c>
      <c r="N23" s="10">
        <v>70.863163512362746</v>
      </c>
      <c r="O23" s="10">
        <v>-0.52228485212698739</v>
      </c>
      <c r="P23" s="1" t="str">
        <f>HYPERLINK(".\sm_car_250819_0008\sm_car_250819_0008_022_Ca048TrN_MaLSS_DrSt_ode23t.png","figure")</f>
        <v>figure</v>
      </c>
      <c r="Q23" t="s">
        <v>15</v>
      </c>
    </row>
    <row r="24" spans="1:17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 t="s">
        <v>148</v>
      </c>
      <c r="K24" t="s">
        <v>23</v>
      </c>
      <c r="L24">
        <v>393</v>
      </c>
      <c r="M24" s="10">
        <v>23.746409400000001</v>
      </c>
      <c r="N24" s="10">
        <v>229.8026064627112</v>
      </c>
      <c r="O24" s="10">
        <v>6.0962953253249031E-3</v>
      </c>
      <c r="P24" s="1" t="str">
        <f>HYPERLINK(".\sm_car_250819_0008\sm_car_250819_0008_023_Ca064TrN_MaWOT_DrSt_ode23t.png","figure")</f>
        <v>figure</v>
      </c>
      <c r="Q24" t="s">
        <v>15</v>
      </c>
    </row>
    <row r="25" spans="1:17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20</v>
      </c>
      <c r="H25" t="s">
        <v>21</v>
      </c>
      <c r="I25" t="s">
        <v>24</v>
      </c>
      <c r="J25" t="s">
        <v>148</v>
      </c>
      <c r="K25" t="s">
        <v>23</v>
      </c>
      <c r="L25">
        <v>516</v>
      </c>
      <c r="M25" s="10">
        <v>25.871793799999999</v>
      </c>
      <c r="N25" s="10">
        <v>70.9020837285737</v>
      </c>
      <c r="O25" s="10">
        <v>-0.50910970915887299</v>
      </c>
      <c r="P25" s="1" t="str">
        <f>HYPERLINK(".\sm_car_250819_0008\sm_car_250819_0008_024_Ca064TrN_MaLSS_DrSt_ode23t.png","figure")</f>
        <v>figure</v>
      </c>
      <c r="Q25" t="s">
        <v>15</v>
      </c>
    </row>
    <row r="26" spans="1:17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148</v>
      </c>
      <c r="K26" t="s">
        <v>23</v>
      </c>
      <c r="L26">
        <v>409</v>
      </c>
      <c r="M26" s="10">
        <v>24.867453600000001</v>
      </c>
      <c r="N26" s="10">
        <v>229.82358304714037</v>
      </c>
      <c r="O26" s="10">
        <v>-2.4472098816911116E-2</v>
      </c>
      <c r="P26" s="1" t="str">
        <f>HYPERLINK(".\sm_car_250819_0008\sm_car_250819_0008_025_Ca080TrN_MaWOT_DrSt_ode23t.png","figure")</f>
        <v>figure</v>
      </c>
      <c r="Q26" t="s">
        <v>15</v>
      </c>
    </row>
    <row r="27" spans="1:17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20</v>
      </c>
      <c r="H27" t="s">
        <v>21</v>
      </c>
      <c r="I27" t="s">
        <v>24</v>
      </c>
      <c r="J27" t="s">
        <v>148</v>
      </c>
      <c r="K27" t="s">
        <v>23</v>
      </c>
      <c r="L27">
        <v>533</v>
      </c>
      <c r="M27" s="10">
        <v>26.669749899999999</v>
      </c>
      <c r="N27" s="10">
        <v>70.869728983456937</v>
      </c>
      <c r="O27" s="10">
        <v>-0.52043555953802989</v>
      </c>
      <c r="P27" s="1" t="str">
        <f>HYPERLINK(".\sm_car_250819_0008\sm_car_250819_0008_026_Ca080TrN_MaLSS_DrSt_ode23t.png","figure")</f>
        <v>figure</v>
      </c>
      <c r="Q27" t="s">
        <v>15</v>
      </c>
    </row>
    <row r="28" spans="1:17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148</v>
      </c>
      <c r="K28" t="s">
        <v>23</v>
      </c>
      <c r="L28">
        <v>399</v>
      </c>
      <c r="M28" s="10">
        <v>18.515142000000001</v>
      </c>
      <c r="N28" s="10">
        <v>231.5613580141526</v>
      </c>
      <c r="O28" s="10">
        <v>1.8423419510803583E-2</v>
      </c>
      <c r="P28" s="1" t="str">
        <f>HYPERLINK(".\sm_car_250819_0008\sm_car_250819_0008_027_Ca096TrN_MaWOT_DrSt_ode23t.png","figure")</f>
        <v>figure</v>
      </c>
      <c r="Q28" t="s">
        <v>15</v>
      </c>
    </row>
    <row r="29" spans="1:17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20</v>
      </c>
      <c r="H29" t="s">
        <v>21</v>
      </c>
      <c r="I29" t="s">
        <v>24</v>
      </c>
      <c r="J29" t="s">
        <v>148</v>
      </c>
      <c r="K29" t="s">
        <v>23</v>
      </c>
      <c r="L29">
        <v>518</v>
      </c>
      <c r="M29" s="10">
        <v>20.183032799999999</v>
      </c>
      <c r="N29" s="10">
        <v>71.376614032968362</v>
      </c>
      <c r="O29" s="10">
        <v>-0.52122989114972951</v>
      </c>
      <c r="P29" s="1" t="str">
        <f>HYPERLINK(".\sm_car_250819_0008\sm_car_250819_0008_028_Ca096TrN_MaLSS_DrSt_ode23t.png","figure")</f>
        <v>figure</v>
      </c>
      <c r="Q29" t="s">
        <v>15</v>
      </c>
    </row>
    <row r="30" spans="1:17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 t="s">
        <v>148</v>
      </c>
      <c r="K30" t="s">
        <v>23</v>
      </c>
      <c r="L30">
        <v>371</v>
      </c>
      <c r="M30" s="10">
        <v>7.7648380000000001</v>
      </c>
      <c r="N30" s="10">
        <v>242.6385086934819</v>
      </c>
      <c r="O30" s="10">
        <v>0.23540517481115167</v>
      </c>
      <c r="P30" s="1" t="str">
        <f>HYPERLINK(".\sm_car_250819_0008\sm_car_250819_0008_029_Ca112TrN_MaWOT_DrSt_ode23t.png","figure")</f>
        <v>figure</v>
      </c>
      <c r="Q30" t="s">
        <v>15</v>
      </c>
    </row>
    <row r="31" spans="1:17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20</v>
      </c>
      <c r="H31" t="s">
        <v>21</v>
      </c>
      <c r="I31" t="s">
        <v>24</v>
      </c>
      <c r="J31" t="s">
        <v>148</v>
      </c>
      <c r="K31" t="s">
        <v>23</v>
      </c>
      <c r="L31">
        <v>484</v>
      </c>
      <c r="M31" s="10">
        <v>8.5422466000000004</v>
      </c>
      <c r="N31" s="10">
        <v>74.671083334168515</v>
      </c>
      <c r="O31" s="10">
        <v>-0.3369934257717313</v>
      </c>
      <c r="P31" s="1" t="str">
        <f>HYPERLINK(".\sm_car_250819_0008\sm_car_250819_0008_030_Ca112TrN_MaLSS_DrSt_ode23t.png","figure")</f>
        <v>figure</v>
      </c>
      <c r="Q31" t="s">
        <v>15</v>
      </c>
    </row>
    <row r="32" spans="1:17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25</v>
      </c>
      <c r="H32" t="s">
        <v>21</v>
      </c>
      <c r="I32" t="s">
        <v>22</v>
      </c>
      <c r="J32" t="s">
        <v>148</v>
      </c>
      <c r="K32" t="s">
        <v>23</v>
      </c>
      <c r="L32">
        <v>376</v>
      </c>
      <c r="M32" s="10">
        <v>9.3981624999999998</v>
      </c>
      <c r="N32" s="10">
        <v>241.62953780953444</v>
      </c>
      <c r="O32" s="10">
        <v>0.23230223293694249</v>
      </c>
      <c r="P32" s="1" t="str">
        <f>HYPERLINK(".\sm_car_250819_0008\sm_car_250819_0008_031_Ca113TrN_MaWOT_DrSt_ode23t.png","figure")</f>
        <v>figure</v>
      </c>
      <c r="Q32" t="s">
        <v>15</v>
      </c>
    </row>
    <row r="33" spans="1:17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25</v>
      </c>
      <c r="H33" t="s">
        <v>21</v>
      </c>
      <c r="I33" t="s">
        <v>24</v>
      </c>
      <c r="J33" t="s">
        <v>148</v>
      </c>
      <c r="K33" t="s">
        <v>23</v>
      </c>
      <c r="L33">
        <v>484</v>
      </c>
      <c r="M33" s="10">
        <v>11.1208996</v>
      </c>
      <c r="N33" s="10">
        <v>74.340098687509567</v>
      </c>
      <c r="O33" s="10">
        <v>-0.33372692734011278</v>
      </c>
      <c r="P33" s="1" t="str">
        <f>HYPERLINK(".\sm_car_250819_0008\sm_car_250819_0008_032_Ca113TrN_MaLSS_DrSt_ode23t.png","figure")</f>
        <v>figure</v>
      </c>
      <c r="Q33" t="s">
        <v>15</v>
      </c>
    </row>
    <row r="34" spans="1:17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26</v>
      </c>
      <c r="H34" t="s">
        <v>21</v>
      </c>
      <c r="I34" t="s">
        <v>22</v>
      </c>
      <c r="J34" t="s">
        <v>148</v>
      </c>
      <c r="K34" t="s">
        <v>23</v>
      </c>
      <c r="L34">
        <v>365</v>
      </c>
      <c r="M34" s="10">
        <v>9.0069710999999995</v>
      </c>
      <c r="N34" s="10">
        <v>241.54135549521669</v>
      </c>
      <c r="O34" s="10">
        <v>0.23257023722638706</v>
      </c>
      <c r="P34" s="1" t="str">
        <f>HYPERLINK(".\sm_car_250819_0008\sm_car_250819_0008_033_Ca114TrN_MaWOT_DrSt_ode23t.png","figure")</f>
        <v>figure</v>
      </c>
      <c r="Q34" t="s">
        <v>15</v>
      </c>
    </row>
    <row r="35" spans="1:17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26</v>
      </c>
      <c r="H35" t="s">
        <v>21</v>
      </c>
      <c r="I35" t="s">
        <v>24</v>
      </c>
      <c r="J35" t="s">
        <v>148</v>
      </c>
      <c r="K35" t="s">
        <v>23</v>
      </c>
      <c r="L35">
        <v>474</v>
      </c>
      <c r="M35" s="10">
        <v>10.414750400000001</v>
      </c>
      <c r="N35" s="10">
        <v>74.357376080465997</v>
      </c>
      <c r="O35" s="10">
        <v>-0.33401217897315755</v>
      </c>
      <c r="P35" s="1" t="str">
        <f>HYPERLINK(".\sm_car_250819_0008\sm_car_250819_0008_034_Ca114TrN_MaLSS_DrSt_ode23t.png","figure")</f>
        <v>figure</v>
      </c>
      <c r="Q35" t="s">
        <v>15</v>
      </c>
    </row>
    <row r="36" spans="1:17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27</v>
      </c>
      <c r="H36" t="s">
        <v>21</v>
      </c>
      <c r="I36" t="s">
        <v>22</v>
      </c>
      <c r="J36" t="s">
        <v>148</v>
      </c>
      <c r="K36" t="s">
        <v>23</v>
      </c>
      <c r="L36">
        <v>402</v>
      </c>
      <c r="M36" s="10">
        <v>9.5697498000000003</v>
      </c>
      <c r="N36" s="10">
        <v>241.25491004899072</v>
      </c>
      <c r="O36" s="10">
        <v>0.23086755550324103</v>
      </c>
      <c r="P36" s="1" t="str">
        <f>HYPERLINK(".\sm_car_250819_0008\sm_car_250819_0008_035_Ca115TrN_MaWOT_DrSt_ode23t.png","figure")</f>
        <v>figure</v>
      </c>
      <c r="Q36" t="s">
        <v>15</v>
      </c>
    </row>
    <row r="37" spans="1:17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27</v>
      </c>
      <c r="H37" t="s">
        <v>21</v>
      </c>
      <c r="I37" t="s">
        <v>24</v>
      </c>
      <c r="J37" t="s">
        <v>148</v>
      </c>
      <c r="K37" t="s">
        <v>23</v>
      </c>
      <c r="L37">
        <v>505</v>
      </c>
      <c r="M37" s="10">
        <v>10.0683524</v>
      </c>
      <c r="N37" s="10">
        <v>74.216397484708779</v>
      </c>
      <c r="O37" s="10">
        <v>-0.33149412046077237</v>
      </c>
      <c r="P37" s="1" t="str">
        <f>HYPERLINK(".\sm_car_250819_0008\sm_car_250819_0008_036_Ca115TrN_MaLSS_DrSt_ode23t.png","figure")</f>
        <v>figure</v>
      </c>
      <c r="Q37" t="s">
        <v>15</v>
      </c>
    </row>
    <row r="38" spans="1:17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20</v>
      </c>
      <c r="H38" t="s">
        <v>21</v>
      </c>
      <c r="I38" t="s">
        <v>22</v>
      </c>
      <c r="J38" t="s">
        <v>148</v>
      </c>
      <c r="K38" t="s">
        <v>23</v>
      </c>
      <c r="L38">
        <v>917</v>
      </c>
      <c r="M38" s="10">
        <v>13.1761737</v>
      </c>
      <c r="N38" s="10">
        <v>242.55284377109695</v>
      </c>
      <c r="O38" s="10">
        <v>0.23659137482604095</v>
      </c>
      <c r="P38" s="1" t="str">
        <f>HYPERLINK(".\sm_car_250819_0008\sm_car_250819_0008_037_Ca116TrN_MaWOT_DrSt_ode23t.png","figure")</f>
        <v>figure</v>
      </c>
      <c r="Q38" t="s">
        <v>15</v>
      </c>
    </row>
    <row r="39" spans="1:17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20</v>
      </c>
      <c r="H39" t="s">
        <v>21</v>
      </c>
      <c r="I39" t="s">
        <v>24</v>
      </c>
      <c r="J39" t="s">
        <v>148</v>
      </c>
      <c r="K39" t="s">
        <v>23</v>
      </c>
      <c r="L39">
        <v>1057</v>
      </c>
      <c r="M39" s="10">
        <v>15.105408799999999</v>
      </c>
      <c r="N39" s="10">
        <v>74.662659723869751</v>
      </c>
      <c r="O39" s="10">
        <v>-0.3401055901651473</v>
      </c>
      <c r="P39" s="1" t="str">
        <f>HYPERLINK(".\sm_car_250819_0008\sm_car_250819_0008_038_Ca116TrN_MaLSS_DrSt_ode23t.png","figure")</f>
        <v>figure</v>
      </c>
      <c r="Q39" t="s">
        <v>15</v>
      </c>
    </row>
    <row r="40" spans="1:17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25</v>
      </c>
      <c r="H40" t="s">
        <v>21</v>
      </c>
      <c r="I40" t="s">
        <v>22</v>
      </c>
      <c r="J40" t="s">
        <v>148</v>
      </c>
      <c r="K40" t="s">
        <v>23</v>
      </c>
      <c r="L40">
        <v>963</v>
      </c>
      <c r="M40" s="10">
        <v>17.405521100000001</v>
      </c>
      <c r="N40" s="10">
        <v>241.50229099389202</v>
      </c>
      <c r="O40" s="10">
        <v>0.23261616238238711</v>
      </c>
      <c r="P40" s="1" t="str">
        <f>HYPERLINK(".\sm_car_250819_0008\sm_car_250819_0008_039_Ca117TrN_MaWOT_DrSt_ode23t.png","figure")</f>
        <v>figure</v>
      </c>
      <c r="Q40" t="s">
        <v>15</v>
      </c>
    </row>
    <row r="41" spans="1:17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25</v>
      </c>
      <c r="H41" t="s">
        <v>21</v>
      </c>
      <c r="I41" t="s">
        <v>24</v>
      </c>
      <c r="J41" t="s">
        <v>148</v>
      </c>
      <c r="K41" t="s">
        <v>23</v>
      </c>
      <c r="L41">
        <v>1063</v>
      </c>
      <c r="M41" s="10">
        <v>20.637409699999999</v>
      </c>
      <c r="N41" s="10">
        <v>74.339005108528042</v>
      </c>
      <c r="O41" s="10">
        <v>-0.33658754453363837</v>
      </c>
      <c r="P41" s="1" t="str">
        <f>HYPERLINK(".\sm_car_250819_0008\sm_car_250819_0008_040_Ca117TrN_MaLSS_DrSt_ode23t.png","figure")</f>
        <v>figure</v>
      </c>
      <c r="Q41" t="s">
        <v>15</v>
      </c>
    </row>
    <row r="42" spans="1:17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26</v>
      </c>
      <c r="H42" t="s">
        <v>21</v>
      </c>
      <c r="I42" t="s">
        <v>22</v>
      </c>
      <c r="J42" t="s">
        <v>148</v>
      </c>
      <c r="K42" t="s">
        <v>23</v>
      </c>
      <c r="L42">
        <v>947</v>
      </c>
      <c r="M42" s="10">
        <v>15.190501299999999</v>
      </c>
      <c r="N42" s="10">
        <v>241.23064820859912</v>
      </c>
      <c r="O42" s="10">
        <v>0.23252480072032861</v>
      </c>
      <c r="P42" s="1" t="str">
        <f>HYPERLINK(".\sm_car_250819_0008\sm_car_250819_0008_041_Ca118TrN_MaWOT_DrSt_ode23t.png","figure")</f>
        <v>figure</v>
      </c>
      <c r="Q42" t="s">
        <v>15</v>
      </c>
    </row>
    <row r="43" spans="1:17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26</v>
      </c>
      <c r="H43" t="s">
        <v>21</v>
      </c>
      <c r="I43" t="s">
        <v>24</v>
      </c>
      <c r="J43" t="s">
        <v>148</v>
      </c>
      <c r="K43" t="s">
        <v>23</v>
      </c>
      <c r="L43">
        <v>1083</v>
      </c>
      <c r="M43" s="10">
        <v>17.9279744</v>
      </c>
      <c r="N43" s="10">
        <v>74.337064431350825</v>
      </c>
      <c r="O43" s="10">
        <v>-0.33611418080232897</v>
      </c>
      <c r="P43" s="1" t="str">
        <f>HYPERLINK(".\sm_car_250819_0008\sm_car_250819_0008_042_Ca118TrN_MaLSS_DrSt_ode23t.png","figure")</f>
        <v>figure</v>
      </c>
      <c r="Q43" t="s">
        <v>15</v>
      </c>
    </row>
    <row r="44" spans="1:17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27</v>
      </c>
      <c r="H44" t="s">
        <v>21</v>
      </c>
      <c r="I44" t="s">
        <v>22</v>
      </c>
      <c r="J44" t="s">
        <v>148</v>
      </c>
      <c r="K44" t="s">
        <v>23</v>
      </c>
      <c r="L44">
        <v>996</v>
      </c>
      <c r="M44" s="10">
        <v>16.571981099999999</v>
      </c>
      <c r="N44" s="10">
        <v>240.99456068308641</v>
      </c>
      <c r="O44" s="10">
        <v>0.23171030835918666</v>
      </c>
      <c r="P44" s="1" t="str">
        <f>HYPERLINK(".\sm_car_250819_0008\sm_car_250819_0008_043_Ca119TrN_MaWOT_DrSt_ode23t.png","figure")</f>
        <v>figure</v>
      </c>
      <c r="Q44" t="s">
        <v>15</v>
      </c>
    </row>
    <row r="45" spans="1:17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27</v>
      </c>
      <c r="H45" t="s">
        <v>21</v>
      </c>
      <c r="I45" t="s">
        <v>24</v>
      </c>
      <c r="J45" t="s">
        <v>148</v>
      </c>
      <c r="K45" t="s">
        <v>23</v>
      </c>
      <c r="L45">
        <v>1100</v>
      </c>
      <c r="M45" s="10">
        <v>18.126632399999998</v>
      </c>
      <c r="N45" s="10">
        <v>74.191759012097194</v>
      </c>
      <c r="O45" s="10">
        <v>-0.33397949475133454</v>
      </c>
      <c r="P45" s="1" t="str">
        <f>HYPERLINK(".\sm_car_250819_0008\sm_car_250819_0008_044_Ca119TrN_MaLSS_DrSt_ode23t.png","figure")</f>
        <v>figure</v>
      </c>
      <c r="Q45" t="s">
        <v>15</v>
      </c>
    </row>
    <row r="46" spans="1:17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148</v>
      </c>
      <c r="K46" t="s">
        <v>23</v>
      </c>
      <c r="L46">
        <v>326</v>
      </c>
      <c r="M46" s="10">
        <v>16.7834228</v>
      </c>
      <c r="N46" s="10">
        <v>98.945575850525998</v>
      </c>
      <c r="O46" s="10">
        <v>-1.8582083737113907E-2</v>
      </c>
      <c r="P46" s="1" t="str">
        <f>HYPERLINK(".\sm_car_250819_0008\sm_car_250819_0008_045_Ca128TrN_MaWOT_DrSt_ode23t.png","figure")</f>
        <v>figure</v>
      </c>
      <c r="Q46" t="s">
        <v>15</v>
      </c>
    </row>
    <row r="47" spans="1:17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148</v>
      </c>
      <c r="K47" t="s">
        <v>23</v>
      </c>
      <c r="L47">
        <v>456</v>
      </c>
      <c r="M47" s="10">
        <v>22.2930633</v>
      </c>
      <c r="N47" s="10">
        <v>36.723347994776852</v>
      </c>
      <c r="O47" s="10">
        <v>-0.12840575905936971</v>
      </c>
      <c r="P47" s="1" t="str">
        <f>HYPERLINK(".\sm_car_250819_0008\sm_car_250819_0008_046_Ca128TrN_MaLSS_DrSt_ode23t.png","figure")</f>
        <v>figure</v>
      </c>
      <c r="Q47" t="s">
        <v>15</v>
      </c>
    </row>
    <row r="48" spans="1:17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148</v>
      </c>
      <c r="K48" t="s">
        <v>23</v>
      </c>
      <c r="L48">
        <v>338</v>
      </c>
      <c r="M48" s="10">
        <v>20.145093299999999</v>
      </c>
      <c r="N48" s="10">
        <v>228.28820432524117</v>
      </c>
      <c r="O48" s="10">
        <v>5.8888517993392453E-2</v>
      </c>
      <c r="P48" s="1" t="str">
        <f>HYPERLINK(".\sm_car_250819_0008\sm_car_250819_0008_047_Ca129TrN_MaWOT_DrSt_ode23t.png","figure")</f>
        <v>figure</v>
      </c>
      <c r="Q48" t="s">
        <v>15</v>
      </c>
    </row>
    <row r="49" spans="1:17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148</v>
      </c>
      <c r="K49" t="s">
        <v>23</v>
      </c>
      <c r="L49">
        <v>475</v>
      </c>
      <c r="M49" s="10">
        <v>26.5906886</v>
      </c>
      <c r="N49" s="10">
        <v>70.379917960616936</v>
      </c>
      <c r="O49" s="10">
        <v>-0.52129796522691219</v>
      </c>
      <c r="P49" s="1" t="str">
        <f>HYPERLINK(".\sm_car_250819_0008\sm_car_250819_0008_048_Ca129TrN_MaLSS_DrSt_ode23t.png","figure")</f>
        <v>figure</v>
      </c>
      <c r="Q49" t="s">
        <v>15</v>
      </c>
    </row>
    <row r="50" spans="1:17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148</v>
      </c>
      <c r="K50" t="s">
        <v>23</v>
      </c>
      <c r="L50">
        <v>804</v>
      </c>
      <c r="M50" s="10">
        <v>71.055070099999995</v>
      </c>
      <c r="N50" s="10">
        <v>215.61687038766246</v>
      </c>
      <c r="O50" s="10">
        <v>-1.5784471575431833</v>
      </c>
      <c r="P50" s="1" t="str">
        <f>HYPERLINK(".\sm_car_250819_0008\sm_car_250819_0008_049_Ca130TrN_MaWOT_DrSt_ode23t.png","figure")</f>
        <v>figure</v>
      </c>
      <c r="Q50" t="s">
        <v>15</v>
      </c>
    </row>
    <row r="51" spans="1:17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148</v>
      </c>
      <c r="K51" t="s">
        <v>23</v>
      </c>
      <c r="L51">
        <v>778</v>
      </c>
      <c r="M51" s="10">
        <v>66.895140799999993</v>
      </c>
      <c r="N51" s="10">
        <v>68.383086165648933</v>
      </c>
      <c r="O51" s="10">
        <v>-0.54061422187657349</v>
      </c>
      <c r="P51" s="1" t="str">
        <f>HYPERLINK(".\sm_car_250819_0008\sm_car_250819_0008_050_Ca130TrN_MaLSS_DrSt_ode23t.png","figure")</f>
        <v>figure</v>
      </c>
      <c r="Q51" t="s">
        <v>15</v>
      </c>
    </row>
    <row r="52" spans="1:17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148</v>
      </c>
      <c r="K52" t="s">
        <v>23</v>
      </c>
      <c r="L52">
        <v>343</v>
      </c>
      <c r="M52" s="10">
        <v>12.965202100000001</v>
      </c>
      <c r="N52" s="10">
        <v>229.16135903416696</v>
      </c>
      <c r="O52" s="10">
        <v>-4.5875075565293182E-2</v>
      </c>
      <c r="P52" s="1" t="str">
        <f>HYPERLINK(".\sm_car_250819_0008\sm_car_250819_0008_051_Ca131TrN_MaWOT_DrSt_ode23t.png","figure")</f>
        <v>figure</v>
      </c>
      <c r="Q52" t="s">
        <v>15</v>
      </c>
    </row>
    <row r="53" spans="1:17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148</v>
      </c>
      <c r="K53" t="s">
        <v>23</v>
      </c>
      <c r="L53">
        <v>491</v>
      </c>
      <c r="M53" s="10">
        <v>16.351545600000001</v>
      </c>
      <c r="N53" s="10">
        <v>70.603093904910537</v>
      </c>
      <c r="O53" s="10">
        <v>-0.5316473280265227</v>
      </c>
      <c r="P53" s="1" t="str">
        <f>HYPERLINK(".\sm_car_250819_0008\sm_car_250819_0008_052_Ca131TrN_MaLSS_DrSt_ode23t.png","figure")</f>
        <v>figure</v>
      </c>
      <c r="Q53" t="s">
        <v>15</v>
      </c>
    </row>
    <row r="54" spans="1:17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148</v>
      </c>
      <c r="K54" t="s">
        <v>23</v>
      </c>
      <c r="L54">
        <v>347</v>
      </c>
      <c r="M54" s="10">
        <v>12.7225854</v>
      </c>
      <c r="N54" s="10">
        <v>229.12707859939488</v>
      </c>
      <c r="O54" s="10">
        <v>-1.3473405779730963E-2</v>
      </c>
      <c r="P54" s="1" t="str">
        <f>HYPERLINK(".\sm_car_250819_0008\sm_car_250819_0008_053_Ca132TrN_MaWOT_DrSt_ode23t.png","figure")</f>
        <v>figure</v>
      </c>
      <c r="Q54" t="s">
        <v>15</v>
      </c>
    </row>
    <row r="55" spans="1:17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148</v>
      </c>
      <c r="K55" t="s">
        <v>23</v>
      </c>
      <c r="L55">
        <v>493</v>
      </c>
      <c r="M55" s="10">
        <v>15.756616299999999</v>
      </c>
      <c r="N55" s="10">
        <v>70.589378565263019</v>
      </c>
      <c r="O55" s="10">
        <v>-0.52930678649246732</v>
      </c>
      <c r="P55" s="1" t="str">
        <f>HYPERLINK(".\sm_car_250819_0008\sm_car_250819_0008_054_Ca132TrN_MaLSS_DrSt_ode23t.png","figure")</f>
        <v>figure</v>
      </c>
      <c r="Q55" t="s">
        <v>15</v>
      </c>
    </row>
    <row r="56" spans="1:17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148</v>
      </c>
      <c r="K56" t="s">
        <v>23</v>
      </c>
      <c r="L56">
        <v>352</v>
      </c>
      <c r="M56" s="10">
        <v>12.6405592</v>
      </c>
      <c r="N56" s="10">
        <v>228.79602948166371</v>
      </c>
      <c r="O56" s="10">
        <v>-1.6033138834852516E-2</v>
      </c>
      <c r="P56" s="1" t="str">
        <f>HYPERLINK(".\sm_car_250819_0008\sm_car_250819_0008_055_Ca133TrN_MaWOT_DrSt_ode23t.png","figure")</f>
        <v>figure</v>
      </c>
      <c r="Q56" t="s">
        <v>15</v>
      </c>
    </row>
    <row r="57" spans="1:17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148</v>
      </c>
      <c r="K57" t="s">
        <v>23</v>
      </c>
      <c r="L57">
        <v>490</v>
      </c>
      <c r="M57" s="10">
        <v>16.160814800000001</v>
      </c>
      <c r="N57" s="10">
        <v>70.601697490596038</v>
      </c>
      <c r="O57" s="10">
        <v>-0.52833308380087529</v>
      </c>
      <c r="P57" s="1" t="str">
        <f>HYPERLINK(".\sm_car_250819_0008\sm_car_250819_0008_056_Ca133TrN_MaLSS_DrSt_ode23t.png","figure")</f>
        <v>figure</v>
      </c>
      <c r="Q57" t="s">
        <v>15</v>
      </c>
    </row>
    <row r="58" spans="1:17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148</v>
      </c>
      <c r="K58" t="s">
        <v>23</v>
      </c>
      <c r="L58">
        <v>350</v>
      </c>
      <c r="M58" s="10">
        <v>12.7977603</v>
      </c>
      <c r="N58" s="10">
        <v>229.10740941531168</v>
      </c>
      <c r="O58" s="10">
        <v>-1.5640445639431306E-2</v>
      </c>
      <c r="P58" s="1" t="str">
        <f>HYPERLINK(".\sm_car_250819_0008\sm_car_250819_0008_057_Ca134TrN_MaWOT_DrSt_ode23t.png","figure")</f>
        <v>figure</v>
      </c>
      <c r="Q58" t="s">
        <v>15</v>
      </c>
    </row>
    <row r="59" spans="1:17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148</v>
      </c>
      <c r="K59" t="s">
        <v>23</v>
      </c>
      <c r="L59">
        <v>496</v>
      </c>
      <c r="M59" s="10">
        <v>16.926184200000002</v>
      </c>
      <c r="N59" s="10">
        <v>70.606287265199228</v>
      </c>
      <c r="O59" s="10">
        <v>-0.52672902889359396</v>
      </c>
      <c r="P59" s="1" t="str">
        <f>HYPERLINK(".\sm_car_250819_0008\sm_car_250819_0008_058_Ca134TrN_MaLSS_DrSt_ode23t.png","figure")</f>
        <v>figure</v>
      </c>
      <c r="Q59" t="s">
        <v>15</v>
      </c>
    </row>
    <row r="60" spans="1:17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148</v>
      </c>
      <c r="K60" t="s">
        <v>23</v>
      </c>
      <c r="L60">
        <v>349</v>
      </c>
      <c r="M60" s="10">
        <v>13.065229799999999</v>
      </c>
      <c r="N60" s="10">
        <v>229.18263641186894</v>
      </c>
      <c r="O60" s="10">
        <v>-1.6721094591841297E-2</v>
      </c>
      <c r="P60" s="1" t="str">
        <f>HYPERLINK(".\sm_car_250819_0008\sm_car_250819_0008_059_Ca135TrN_MaWOT_DrSt_ode23t.png","figure")</f>
        <v>figure</v>
      </c>
      <c r="Q60" t="s">
        <v>15</v>
      </c>
    </row>
    <row r="61" spans="1:17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148</v>
      </c>
      <c r="K61" t="s">
        <v>23</v>
      </c>
      <c r="L61">
        <v>490</v>
      </c>
      <c r="M61" s="10">
        <v>16.130004599999999</v>
      </c>
      <c r="N61" s="10">
        <v>70.600503340984346</v>
      </c>
      <c r="O61" s="10">
        <v>-0.52240602088876664</v>
      </c>
      <c r="P61" s="1" t="str">
        <f>HYPERLINK(".\sm_car_250819_0008\sm_car_250819_0008_060_Ca135TrN_MaLSS_DrSt_ode23t.png","figure")</f>
        <v>figure</v>
      </c>
      <c r="Q61" t="s">
        <v>15</v>
      </c>
    </row>
    <row r="62" spans="1:17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148</v>
      </c>
      <c r="K62" t="s">
        <v>23</v>
      </c>
      <c r="L62">
        <v>380</v>
      </c>
      <c r="M62" s="10">
        <v>17.115070500000002</v>
      </c>
      <c r="N62" s="10">
        <v>229.16172955174105</v>
      </c>
      <c r="O62" s="10">
        <v>5.4087017505364959E-2</v>
      </c>
      <c r="P62" s="1" t="str">
        <f>HYPERLINK(".\sm_car_250819_0008\sm_car_250819_0008_061_Ca136TrN_MaWOT_DrSt_ode23t.png","figure")</f>
        <v>figure</v>
      </c>
      <c r="Q62" t="s">
        <v>15</v>
      </c>
    </row>
    <row r="63" spans="1:17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148</v>
      </c>
      <c r="K63" t="s">
        <v>23</v>
      </c>
      <c r="L63">
        <v>503</v>
      </c>
      <c r="M63" s="10">
        <v>20.489577499999999</v>
      </c>
      <c r="N63" s="10">
        <v>70.602631691260115</v>
      </c>
      <c r="O63" s="10">
        <v>-0.52210963459385273</v>
      </c>
      <c r="P63" s="1" t="str">
        <f>HYPERLINK(".\sm_car_250819_0008\sm_car_250819_0008_062_Ca136TrN_MaLSS_DrSt_ode23t.png","figure")</f>
        <v>figure</v>
      </c>
      <c r="Q63" t="s">
        <v>15</v>
      </c>
    </row>
    <row r="64" spans="1:17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148</v>
      </c>
      <c r="K64" t="s">
        <v>23</v>
      </c>
      <c r="L64">
        <v>330</v>
      </c>
      <c r="M64" s="10">
        <v>10.5859589</v>
      </c>
      <c r="N64" s="10">
        <v>229.94949984565895</v>
      </c>
      <c r="O64" s="10">
        <v>0.13753040320227727</v>
      </c>
      <c r="P64" s="1" t="str">
        <f>HYPERLINK(".\sm_car_250819_0008\sm_car_250819_0008_063_Ca137TrN_MaWOT_DrSt_ode23t.png","figure")</f>
        <v>figure</v>
      </c>
      <c r="Q64" t="s">
        <v>15</v>
      </c>
    </row>
    <row r="65" spans="1:17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148</v>
      </c>
      <c r="K65" t="s">
        <v>23</v>
      </c>
      <c r="L65">
        <v>476</v>
      </c>
      <c r="M65" s="10">
        <v>13.1287348</v>
      </c>
      <c r="N65" s="10">
        <v>70.872021640054001</v>
      </c>
      <c r="O65" s="10">
        <v>-0.50679515378360318</v>
      </c>
      <c r="P65" s="1" t="str">
        <f>HYPERLINK(".\sm_car_250819_0008\sm_car_250819_0008_064_Ca137TrN_MaLSS_DrSt_ode23t.png","figure")</f>
        <v>figure</v>
      </c>
      <c r="Q65" t="s">
        <v>15</v>
      </c>
    </row>
    <row r="66" spans="1:17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148</v>
      </c>
      <c r="K66" t="s">
        <v>23</v>
      </c>
      <c r="L66">
        <v>332</v>
      </c>
      <c r="M66" s="10">
        <v>17.136944499999998</v>
      </c>
      <c r="N66" s="10">
        <v>230.03479467965266</v>
      </c>
      <c r="O66" s="10">
        <v>0.15099959514325031</v>
      </c>
      <c r="P66" s="1" t="str">
        <f>HYPERLINK(".\sm_car_250819_0008\sm_car_250819_0008_065_Ca138TrN_MaWOT_DrSt_ode23t.png","figure")</f>
        <v>figure</v>
      </c>
      <c r="Q66" t="s">
        <v>15</v>
      </c>
    </row>
    <row r="67" spans="1:17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148</v>
      </c>
      <c r="K67" t="s">
        <v>23</v>
      </c>
      <c r="L67">
        <v>488</v>
      </c>
      <c r="M67" s="10">
        <v>19.067559599999999</v>
      </c>
      <c r="N67" s="10">
        <v>70.76561859425523</v>
      </c>
      <c r="O67" s="10">
        <v>-0.81715887743635596</v>
      </c>
      <c r="P67" s="1" t="str">
        <f>HYPERLINK(".\sm_car_250819_0008\sm_car_250819_0008_066_Ca138TrN_MaLSS_DrSt_ode23t.png","figure")</f>
        <v>figure</v>
      </c>
      <c r="Q67" t="s">
        <v>15</v>
      </c>
    </row>
    <row r="68" spans="1:17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148</v>
      </c>
      <c r="K68" t="s">
        <v>23</v>
      </c>
      <c r="L68">
        <v>670</v>
      </c>
      <c r="M68" s="10">
        <v>77.836580600000005</v>
      </c>
      <c r="N68" s="10">
        <v>402.28380821207929</v>
      </c>
      <c r="O68" s="10">
        <v>1.5748279062951935</v>
      </c>
      <c r="P68" s="1" t="str">
        <f>HYPERLINK(".\sm_car_250819_0008\sm_car_250819_0008_067_Ca139TrN_MaWOT_DrSt_ode23t.png","figure")</f>
        <v>figure</v>
      </c>
      <c r="Q68" t="s">
        <v>15</v>
      </c>
    </row>
    <row r="69" spans="1:17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148</v>
      </c>
      <c r="K69" t="s">
        <v>23</v>
      </c>
      <c r="L69">
        <v>634</v>
      </c>
      <c r="M69" s="10">
        <v>17.774227400000001</v>
      </c>
      <c r="N69" s="10">
        <v>153.03141678989147</v>
      </c>
      <c r="O69" s="10">
        <v>-0.57396894676488275</v>
      </c>
      <c r="P69" s="1" t="str">
        <f>HYPERLINK(".\sm_car_250819_0008\sm_car_250819_0008_068_Ca139TrN_MaLSS_DrSt_ode23t.png","figure")</f>
        <v>figure</v>
      </c>
      <c r="Q69" t="s">
        <v>15</v>
      </c>
    </row>
    <row r="70" spans="1:17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148</v>
      </c>
      <c r="K70" t="s">
        <v>23</v>
      </c>
      <c r="L70">
        <v>1935</v>
      </c>
      <c r="M70" s="10">
        <v>32.568913899999998</v>
      </c>
      <c r="N70" s="10">
        <v>402.32016484151109</v>
      </c>
      <c r="O70" s="10">
        <v>1.7792945848508233</v>
      </c>
      <c r="P70" s="1" t="str">
        <f>HYPERLINK(".\sm_car_250819_0008\sm_car_250819_0008_069_Ca141TrN_MaWOT_DrSt_ode23t.png","figure")</f>
        <v>figure</v>
      </c>
      <c r="Q70" t="s">
        <v>15</v>
      </c>
    </row>
    <row r="71" spans="1:17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148</v>
      </c>
      <c r="K71" t="s">
        <v>23</v>
      </c>
      <c r="L71">
        <v>1836</v>
      </c>
      <c r="M71" s="10">
        <v>21.970647599999999</v>
      </c>
      <c r="N71" s="10">
        <v>153.10235897169383</v>
      </c>
      <c r="O71" s="10">
        <v>-0.57169192042063954</v>
      </c>
      <c r="P71" s="1" t="str">
        <f>HYPERLINK(".\sm_car_250819_0008\sm_car_250819_0008_070_Ca141TrN_MaLSS_DrSt_ode23t.png","figure")</f>
        <v>figure</v>
      </c>
      <c r="Q71" t="s">
        <v>15</v>
      </c>
    </row>
    <row r="72" spans="1:17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148</v>
      </c>
      <c r="K72" t="s">
        <v>23</v>
      </c>
      <c r="L72">
        <v>334</v>
      </c>
      <c r="M72" s="10">
        <v>16.473998000000002</v>
      </c>
      <c r="N72" s="10">
        <v>62.429374008536627</v>
      </c>
      <c r="O72" s="10">
        <v>1.9329020361542482E-2</v>
      </c>
      <c r="P72" s="1" t="str">
        <f>HYPERLINK(".\sm_car_250819_0008\sm_car_250819_0008_071_Ca143TrN_MaWOT_DrSt_ode23t.png","figure")</f>
        <v>figure</v>
      </c>
      <c r="Q72" t="s">
        <v>15</v>
      </c>
    </row>
    <row r="73" spans="1:17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148</v>
      </c>
      <c r="K73" t="s">
        <v>23</v>
      </c>
      <c r="L73">
        <v>451</v>
      </c>
      <c r="M73" s="10">
        <v>20.120596899999999</v>
      </c>
      <c r="N73" s="10">
        <v>24.930212873541713</v>
      </c>
      <c r="O73" s="10">
        <v>-5.278411120427498E-2</v>
      </c>
      <c r="P73" s="1" t="str">
        <f>HYPERLINK(".\sm_car_250819_0008\sm_car_250819_0008_072_Ca143TrN_MaLSS_DrSt_ode23t.png","figure")</f>
        <v>figure</v>
      </c>
      <c r="Q73" t="s">
        <v>15</v>
      </c>
    </row>
    <row r="74" spans="1:17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148</v>
      </c>
      <c r="K74" t="s">
        <v>23</v>
      </c>
      <c r="L74">
        <v>337</v>
      </c>
      <c r="M74" s="10">
        <v>11.756029399999999</v>
      </c>
      <c r="N74" s="10">
        <v>77.001430096645151</v>
      </c>
      <c r="O74" s="10">
        <v>0.2445658895358426</v>
      </c>
      <c r="P74" s="1" t="str">
        <f>HYPERLINK(".\sm_car_250819_0008\sm_car_250819_0008_073_Ca144TrN_MaWOT_DrSt_ode23t.png","figure")</f>
        <v>figure</v>
      </c>
      <c r="Q74" t="s">
        <v>15</v>
      </c>
    </row>
    <row r="75" spans="1:17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148</v>
      </c>
      <c r="K75" t="s">
        <v>23</v>
      </c>
      <c r="L75">
        <v>456</v>
      </c>
      <c r="M75" s="10">
        <v>14.4955722</v>
      </c>
      <c r="N75" s="10">
        <v>35.47306124844166</v>
      </c>
      <c r="O75" s="10">
        <v>-3.1905516681268578E-2</v>
      </c>
      <c r="P75" s="1" t="str">
        <f>HYPERLINK(".\sm_car_250819_0008\sm_car_250819_0008_074_Ca144TrN_MaLSS_DrSt_ode23t.png","figure")</f>
        <v>figure</v>
      </c>
      <c r="Q75" t="s">
        <v>15</v>
      </c>
    </row>
    <row r="76" spans="1:17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148</v>
      </c>
      <c r="K76" t="s">
        <v>23</v>
      </c>
      <c r="L76">
        <v>2424</v>
      </c>
      <c r="M76" s="10">
        <v>24.505562300000001</v>
      </c>
      <c r="N76" s="10">
        <v>396.62866760396059</v>
      </c>
      <c r="O76" s="10">
        <v>-14.037204792393176</v>
      </c>
      <c r="P76" s="1" t="str">
        <f>HYPERLINK(".\sm_car_250819_0008\sm_car_250819_0008_075_Ca147TrN_MaWOT_DrSt_ode23t.png","figure")</f>
        <v>figure</v>
      </c>
      <c r="Q76" t="s">
        <v>15</v>
      </c>
    </row>
    <row r="77" spans="1:17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148</v>
      </c>
      <c r="K77" t="s">
        <v>23</v>
      </c>
      <c r="L77">
        <v>1303</v>
      </c>
      <c r="M77" s="10">
        <v>15.9809079</v>
      </c>
      <c r="N77" s="10">
        <v>150.41586899959344</v>
      </c>
      <c r="O77" s="10">
        <v>-2.2297001155442966</v>
      </c>
      <c r="P77" s="1" t="str">
        <f>HYPERLINK(".\sm_car_250819_0008\sm_car_250819_0008_076_Ca147TrN_MaLSS_DrSt_ode23t.png","figure")</f>
        <v>figure</v>
      </c>
      <c r="Q77" t="s">
        <v>15</v>
      </c>
    </row>
    <row r="78" spans="1:17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148</v>
      </c>
      <c r="K78" t="s">
        <v>23</v>
      </c>
      <c r="L78">
        <v>306</v>
      </c>
      <c r="M78" s="10">
        <v>7.2347872999999998</v>
      </c>
      <c r="N78" s="10">
        <v>229.6730166283497</v>
      </c>
      <c r="O78" s="10">
        <v>5.1408575898884848E-3</v>
      </c>
      <c r="P78" s="1" t="str">
        <f>HYPERLINK(".\sm_car_250819_0008\sm_car_250819_0008_077_Ca215TrN_MaWOT_DrSt_ode23t.png","figure")</f>
        <v>figure</v>
      </c>
      <c r="Q78" t="s">
        <v>15</v>
      </c>
    </row>
    <row r="79" spans="1:17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148</v>
      </c>
      <c r="K79" t="s">
        <v>23</v>
      </c>
      <c r="L79">
        <v>494</v>
      </c>
      <c r="M79" s="10">
        <v>8.3000817999999992</v>
      </c>
      <c r="N79" s="10">
        <v>81.274670644985392</v>
      </c>
      <c r="O79" s="10">
        <v>-0.22217667069138153</v>
      </c>
      <c r="P79" s="1" t="str">
        <f>HYPERLINK(".\sm_car_250819_0008\sm_car_250819_0008_078_Ca215TrN_MaLSS_DrSt_ode23t.png","figure")</f>
        <v>figure</v>
      </c>
      <c r="Q79" t="s">
        <v>15</v>
      </c>
    </row>
    <row r="80" spans="1:17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26</v>
      </c>
      <c r="H80" t="s">
        <v>21</v>
      </c>
      <c r="I80" t="s">
        <v>22</v>
      </c>
      <c r="J80" t="s">
        <v>148</v>
      </c>
      <c r="K80" t="s">
        <v>23</v>
      </c>
      <c r="L80">
        <v>353</v>
      </c>
      <c r="M80" s="10">
        <v>4.3828217</v>
      </c>
      <c r="N80" s="10">
        <v>229.75359255679493</v>
      </c>
      <c r="O80" s="10">
        <v>0.1705263574159066</v>
      </c>
      <c r="P80" s="1" t="str">
        <f>HYPERLINK(".\sm_car_250819_0008\sm_car_250819_0008_079_Ca218TrN_MaWOT_DrSt_ode23t.png","figure")</f>
        <v>figure</v>
      </c>
      <c r="Q80" t="s">
        <v>15</v>
      </c>
    </row>
    <row r="81" spans="1:17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26</v>
      </c>
      <c r="H81" t="s">
        <v>21</v>
      </c>
      <c r="I81" t="s">
        <v>24</v>
      </c>
      <c r="J81" t="s">
        <v>148</v>
      </c>
      <c r="K81" t="s">
        <v>23</v>
      </c>
      <c r="L81">
        <v>492</v>
      </c>
      <c r="M81" s="10">
        <v>5.9473501000000004</v>
      </c>
      <c r="N81" s="10">
        <v>70.783105058092758</v>
      </c>
      <c r="O81" s="10">
        <v>-0.53199768779459744</v>
      </c>
      <c r="P81" s="1" t="str">
        <f>HYPERLINK(".\sm_car_250819_0008\sm_car_250819_0008_080_Ca218TrN_MaLSS_DrSt_ode23t.png","figure")</f>
        <v>figure</v>
      </c>
      <c r="Q81" t="s">
        <v>15</v>
      </c>
    </row>
    <row r="82" spans="1:17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26</v>
      </c>
      <c r="H82" t="s">
        <v>21</v>
      </c>
      <c r="I82" t="s">
        <v>22</v>
      </c>
      <c r="J82" t="s">
        <v>148</v>
      </c>
      <c r="K82" t="s">
        <v>23</v>
      </c>
      <c r="L82">
        <v>379</v>
      </c>
      <c r="M82" s="10">
        <v>6.4662088999999998</v>
      </c>
      <c r="N82" s="10">
        <v>228.87933303850758</v>
      </c>
      <c r="O82" s="10">
        <v>0.17330288774146971</v>
      </c>
      <c r="P82" s="1" t="str">
        <f>HYPERLINK(".\sm_car_250819_0008\sm_car_250819_0008_081_Ca219TrN_MaWOT_DrSt_ode23t.png","figure")</f>
        <v>figure</v>
      </c>
      <c r="Q82" t="s">
        <v>15</v>
      </c>
    </row>
    <row r="83" spans="1:17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26</v>
      </c>
      <c r="H83" t="s">
        <v>21</v>
      </c>
      <c r="I83" t="s">
        <v>24</v>
      </c>
      <c r="J83" t="s">
        <v>148</v>
      </c>
      <c r="K83" t="s">
        <v>23</v>
      </c>
      <c r="L83">
        <v>522</v>
      </c>
      <c r="M83" s="10">
        <v>8.1615900999999997</v>
      </c>
      <c r="N83" s="10">
        <v>70.603504706511671</v>
      </c>
      <c r="O83" s="10">
        <v>-0.55478518598653126</v>
      </c>
      <c r="P83" s="1" t="str">
        <f>HYPERLINK(".\sm_car_250819_0008\sm_car_250819_0008_082_Ca219TrN_MaLSS_DrSt_ode23t.png","figure")</f>
        <v>figure</v>
      </c>
      <c r="Q83" t="s">
        <v>15</v>
      </c>
    </row>
    <row r="84" spans="1:17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26</v>
      </c>
      <c r="H84" t="s">
        <v>21</v>
      </c>
      <c r="I84" t="s">
        <v>22</v>
      </c>
      <c r="J84" t="s">
        <v>148</v>
      </c>
      <c r="K84" t="s">
        <v>23</v>
      </c>
      <c r="L84">
        <v>943</v>
      </c>
      <c r="M84" s="10">
        <v>29.544182599999999</v>
      </c>
      <c r="N84" s="10">
        <v>223.20430490928044</v>
      </c>
      <c r="O84" s="10">
        <v>-1.2215644418465585</v>
      </c>
      <c r="P84" s="1" t="str">
        <f>HYPERLINK(".\sm_car_250819_0008\sm_car_250819_0008_083_Ca220TrN_MaWOT_DrSt_ode23t.png","figure")</f>
        <v>figure</v>
      </c>
      <c r="Q84" t="s">
        <v>15</v>
      </c>
    </row>
    <row r="85" spans="1:17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26</v>
      </c>
      <c r="H85" t="s">
        <v>21</v>
      </c>
      <c r="I85" t="s">
        <v>24</v>
      </c>
      <c r="J85" t="s">
        <v>148</v>
      </c>
      <c r="K85" t="s">
        <v>23</v>
      </c>
      <c r="L85">
        <v>1098</v>
      </c>
      <c r="M85" s="10">
        <v>35.892337300000001</v>
      </c>
      <c r="N85" s="10">
        <v>69.288030261336516</v>
      </c>
      <c r="O85" s="10">
        <v>-1.4994025136601543</v>
      </c>
      <c r="P85" s="1" t="str">
        <f>HYPERLINK(".\sm_car_250819_0008\sm_car_250819_0008_084_Ca220TrN_MaLSS_DrSt_ode23t.png","figure")</f>
        <v>figure</v>
      </c>
      <c r="Q85" t="s">
        <v>15</v>
      </c>
    </row>
    <row r="86" spans="1:17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148</v>
      </c>
      <c r="K86" t="s">
        <v>23</v>
      </c>
      <c r="L86">
        <v>464</v>
      </c>
      <c r="M86" s="10">
        <v>6.6552838000000003</v>
      </c>
      <c r="N86" s="10">
        <v>293.7992283157281</v>
      </c>
      <c r="O86" s="10">
        <v>4.8977384507214021E-5</v>
      </c>
      <c r="P86" s="1" t="str">
        <f>HYPERLINK(".\sm_car_250819_0008\sm_car_250819_0008_085_Ca223TrN_MaWOT_DrSt_ode23t.png","figure")</f>
        <v>figure</v>
      </c>
      <c r="Q86" t="s">
        <v>15</v>
      </c>
    </row>
    <row r="87" spans="1:17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148</v>
      </c>
      <c r="K87" t="s">
        <v>23</v>
      </c>
      <c r="L87">
        <v>658</v>
      </c>
      <c r="M87" s="10">
        <v>6.9814705999999997</v>
      </c>
      <c r="N87" s="10">
        <v>103.82444663327816</v>
      </c>
      <c r="O87" s="10">
        <v>-0.15651588008016154</v>
      </c>
      <c r="P87" s="1" t="str">
        <f>HYPERLINK(".\sm_car_250819_0008\sm_car_250819_0008_086_Ca223TrN_MaLSS_DrSt_ode23t.png","figure")</f>
        <v>figure</v>
      </c>
      <c r="Q87" t="s">
        <v>15</v>
      </c>
    </row>
    <row r="88" spans="1:17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148</v>
      </c>
      <c r="K88" t="s">
        <v>23</v>
      </c>
      <c r="L88">
        <v>768</v>
      </c>
      <c r="M88" s="10">
        <v>20.8909102</v>
      </c>
      <c r="N88" s="10">
        <v>405.74034317103968</v>
      </c>
      <c r="O88" s="10">
        <v>-11.897276456208196</v>
      </c>
      <c r="P88" s="1" t="str">
        <f>HYPERLINK(".\sm_car_250819_0008\sm_car_250819_0008_087_Ca227TrN_MaWOT_DrSt_ode23t.png","figure")</f>
        <v>figure</v>
      </c>
      <c r="Q88" t="s">
        <v>15</v>
      </c>
    </row>
    <row r="89" spans="1:17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148</v>
      </c>
      <c r="K89" t="s">
        <v>23</v>
      </c>
      <c r="L89">
        <v>720</v>
      </c>
      <c r="M89" s="10">
        <v>13.0180408</v>
      </c>
      <c r="N89" s="10">
        <v>154.52991452750317</v>
      </c>
      <c r="O89" s="10">
        <v>-2.846971553820842</v>
      </c>
      <c r="P89" s="1" t="str">
        <f>HYPERLINK(".\sm_car_250819_0008\sm_car_250819_0008_088_Ca227TrN_MaLSS_DrSt_ode23t.png","figure")</f>
        <v>figure</v>
      </c>
      <c r="Q89" t="s">
        <v>15</v>
      </c>
    </row>
    <row r="90" spans="1:17" x14ac:dyDescent="0.25">
      <c r="A90">
        <v>89</v>
      </c>
      <c r="B90">
        <v>8</v>
      </c>
      <c r="C90" t="s">
        <v>16</v>
      </c>
      <c r="D90" t="s">
        <v>17</v>
      </c>
      <c r="E90" t="s">
        <v>49</v>
      </c>
      <c r="F90" t="s">
        <v>19</v>
      </c>
      <c r="G90" t="s">
        <v>20</v>
      </c>
      <c r="H90" t="s">
        <v>21</v>
      </c>
      <c r="I90" t="s">
        <v>22</v>
      </c>
      <c r="J90" t="s">
        <v>148</v>
      </c>
      <c r="K90" t="s">
        <v>23</v>
      </c>
      <c r="L90">
        <v>382</v>
      </c>
      <c r="M90" s="10">
        <v>9.2792867000000001</v>
      </c>
      <c r="N90" s="10">
        <v>230.05376168818401</v>
      </c>
      <c r="O90" s="10">
        <v>-7.4708615412977779E-3</v>
      </c>
      <c r="P90" s="1" t="str">
        <f>HYPERLINK(".\sm_car_250819_0008\sm_car_250819_0008_089_Ca008TrN_MaWOT_DrSt_ode23t_1.png","figure")</f>
        <v>figure</v>
      </c>
      <c r="Q90" t="s">
        <v>15</v>
      </c>
    </row>
    <row r="91" spans="1:17" x14ac:dyDescent="0.25">
      <c r="A91">
        <v>90</v>
      </c>
      <c r="B91">
        <v>8</v>
      </c>
      <c r="C91" t="s">
        <v>16</v>
      </c>
      <c r="D91" t="s">
        <v>17</v>
      </c>
      <c r="E91" t="s">
        <v>49</v>
      </c>
      <c r="F91" t="s">
        <v>19</v>
      </c>
      <c r="G91" t="s">
        <v>20</v>
      </c>
      <c r="H91" t="s">
        <v>21</v>
      </c>
      <c r="I91" t="s">
        <v>24</v>
      </c>
      <c r="J91" t="s">
        <v>148</v>
      </c>
      <c r="K91" t="s">
        <v>23</v>
      </c>
      <c r="L91">
        <v>545</v>
      </c>
      <c r="M91" s="10">
        <v>12.071007</v>
      </c>
      <c r="N91" s="10">
        <v>70.878576677039646</v>
      </c>
      <c r="O91" s="10">
        <v>-0.5292598321127977</v>
      </c>
      <c r="P91" s="1" t="str">
        <f>HYPERLINK(".\sm_car_250819_0008\sm_car_250819_0008_090_Ca008TrN_MaLSS_DrSt_ode23t_1.png","figure")</f>
        <v>figure</v>
      </c>
      <c r="Q91" t="s">
        <v>15</v>
      </c>
    </row>
    <row r="92" spans="1:17" x14ac:dyDescent="0.25">
      <c r="A92">
        <v>91</v>
      </c>
      <c r="B92">
        <v>13</v>
      </c>
      <c r="C92" t="s">
        <v>16</v>
      </c>
      <c r="D92" t="s">
        <v>17</v>
      </c>
      <c r="E92" t="s">
        <v>49</v>
      </c>
      <c r="F92" t="s">
        <v>28</v>
      </c>
      <c r="G92" t="s">
        <v>25</v>
      </c>
      <c r="H92" t="s">
        <v>21</v>
      </c>
      <c r="I92" t="s">
        <v>22</v>
      </c>
      <c r="J92" t="s">
        <v>148</v>
      </c>
      <c r="K92" t="s">
        <v>23</v>
      </c>
      <c r="L92">
        <v>853</v>
      </c>
      <c r="M92" s="10">
        <v>11.9329055</v>
      </c>
      <c r="N92" s="10">
        <v>229.06609401774449</v>
      </c>
      <c r="O92" s="10">
        <v>-1.6350066110263919E-2</v>
      </c>
      <c r="P92" s="1" t="str">
        <f>HYPERLINK(".\sm_car_250819_0008\sm_car_250819_0008_091_Ca013TrN_MaWOT_DrSt_ode23t_1.png","figure")</f>
        <v>figure</v>
      </c>
      <c r="Q92" t="s">
        <v>15</v>
      </c>
    </row>
    <row r="93" spans="1:17" x14ac:dyDescent="0.25">
      <c r="A93">
        <v>92</v>
      </c>
      <c r="B93">
        <v>13</v>
      </c>
      <c r="C93" t="s">
        <v>16</v>
      </c>
      <c r="D93" t="s">
        <v>17</v>
      </c>
      <c r="E93" t="s">
        <v>49</v>
      </c>
      <c r="F93" t="s">
        <v>28</v>
      </c>
      <c r="G93" t="s">
        <v>25</v>
      </c>
      <c r="H93" t="s">
        <v>21</v>
      </c>
      <c r="I93" t="s">
        <v>24</v>
      </c>
      <c r="J93" t="s">
        <v>148</v>
      </c>
      <c r="K93" t="s">
        <v>23</v>
      </c>
      <c r="L93">
        <v>1004</v>
      </c>
      <c r="M93" s="10">
        <v>14.8432171</v>
      </c>
      <c r="N93" s="10">
        <v>70.589623057470106</v>
      </c>
      <c r="O93" s="10">
        <v>-0.5317364002346916</v>
      </c>
      <c r="P93" s="1" t="str">
        <f>HYPERLINK(".\sm_car_250819_0008\sm_car_250819_0008_092_Ca013TrN_MaLSS_DrSt_ode23t_1.png","figure")</f>
        <v>figure</v>
      </c>
      <c r="Q93" t="s">
        <v>15</v>
      </c>
    </row>
    <row r="94" spans="1:17" x14ac:dyDescent="0.25">
      <c r="A94">
        <v>93</v>
      </c>
      <c r="B94">
        <v>120</v>
      </c>
      <c r="C94" t="s">
        <v>16</v>
      </c>
      <c r="D94" t="s">
        <v>35</v>
      </c>
      <c r="E94" t="s">
        <v>49</v>
      </c>
      <c r="F94" t="s">
        <v>19</v>
      </c>
      <c r="G94" t="s">
        <v>20</v>
      </c>
      <c r="H94" t="s">
        <v>21</v>
      </c>
      <c r="I94" t="s">
        <v>22</v>
      </c>
      <c r="J94" t="s">
        <v>148</v>
      </c>
      <c r="K94" t="s">
        <v>23</v>
      </c>
      <c r="L94">
        <v>416</v>
      </c>
      <c r="M94" s="10">
        <v>3.5526881000000001</v>
      </c>
      <c r="N94" s="10">
        <v>242.69170005986123</v>
      </c>
      <c r="O94" s="10">
        <v>0.23529589119818642</v>
      </c>
      <c r="P94" s="1" t="str">
        <f>HYPERLINK(".\sm_car_250819_0008\sm_car_250819_0008_093_Ca120TrN_MaWOT_DrSt_ode23t_1.png","figure")</f>
        <v>figure</v>
      </c>
      <c r="Q94" t="s">
        <v>15</v>
      </c>
    </row>
    <row r="95" spans="1:17" x14ac:dyDescent="0.25">
      <c r="A95">
        <v>94</v>
      </c>
      <c r="B95">
        <v>120</v>
      </c>
      <c r="C95" t="s">
        <v>16</v>
      </c>
      <c r="D95" t="s">
        <v>35</v>
      </c>
      <c r="E95" t="s">
        <v>49</v>
      </c>
      <c r="F95" t="s">
        <v>19</v>
      </c>
      <c r="G95" t="s">
        <v>20</v>
      </c>
      <c r="H95" t="s">
        <v>21</v>
      </c>
      <c r="I95" t="s">
        <v>24</v>
      </c>
      <c r="J95" t="s">
        <v>148</v>
      </c>
      <c r="K95" t="s">
        <v>23</v>
      </c>
      <c r="L95">
        <v>534</v>
      </c>
      <c r="M95" s="10">
        <v>4.0214350000000003</v>
      </c>
      <c r="N95" s="10">
        <v>74.671860856374394</v>
      </c>
      <c r="O95" s="10">
        <v>-0.33802521122689189</v>
      </c>
      <c r="P95" s="1" t="str">
        <f>HYPERLINK(".\sm_car_250819_0008\sm_car_250819_0008_094_Ca120TrN_MaLSS_DrSt_ode23t_1.png","figure")</f>
        <v>figure</v>
      </c>
      <c r="Q95" t="s">
        <v>15</v>
      </c>
    </row>
    <row r="96" spans="1:17" x14ac:dyDescent="0.25">
      <c r="A96">
        <v>95</v>
      </c>
      <c r="B96">
        <v>126</v>
      </c>
      <c r="C96" t="s">
        <v>16</v>
      </c>
      <c r="D96" t="s">
        <v>35</v>
      </c>
      <c r="E96" t="s">
        <v>49</v>
      </c>
      <c r="F96" t="s">
        <v>28</v>
      </c>
      <c r="G96" t="s">
        <v>26</v>
      </c>
      <c r="H96" t="s">
        <v>21</v>
      </c>
      <c r="I96" t="s">
        <v>22</v>
      </c>
      <c r="J96" t="s">
        <v>148</v>
      </c>
      <c r="K96" t="s">
        <v>23</v>
      </c>
      <c r="L96">
        <v>1022</v>
      </c>
      <c r="M96" s="10">
        <v>5.9363413999999999</v>
      </c>
      <c r="N96" s="10">
        <v>241.42429127761443</v>
      </c>
      <c r="O96" s="10">
        <v>0.23237271039626015</v>
      </c>
      <c r="P96" s="1" t="str">
        <f>HYPERLINK(".\sm_car_250819_0008\sm_car_250819_0008_095_Ca126TrN_MaWOT_DrSt_ode23t_1.png","figure")</f>
        <v>figure</v>
      </c>
      <c r="Q96" t="s">
        <v>15</v>
      </c>
    </row>
    <row r="97" spans="1:17" x14ac:dyDescent="0.25">
      <c r="A97">
        <v>96</v>
      </c>
      <c r="B97">
        <v>126</v>
      </c>
      <c r="C97" t="s">
        <v>16</v>
      </c>
      <c r="D97" t="s">
        <v>35</v>
      </c>
      <c r="E97" t="s">
        <v>49</v>
      </c>
      <c r="F97" t="s">
        <v>28</v>
      </c>
      <c r="G97" t="s">
        <v>26</v>
      </c>
      <c r="H97" t="s">
        <v>21</v>
      </c>
      <c r="I97" t="s">
        <v>24</v>
      </c>
      <c r="J97" t="s">
        <v>148</v>
      </c>
      <c r="K97" t="s">
        <v>23</v>
      </c>
      <c r="L97">
        <v>1150</v>
      </c>
      <c r="M97" s="10">
        <v>6.3239231</v>
      </c>
      <c r="N97" s="10">
        <v>74.340995503894902</v>
      </c>
      <c r="O97" s="10">
        <v>-0.33748833115755278</v>
      </c>
      <c r="P97" s="1" t="str">
        <f>HYPERLINK(".\sm_car_250819_0008\sm_car_250819_0008_096_Ca126TrN_MaLSS_DrSt_ode23t_1.png","figure")</f>
        <v>figure</v>
      </c>
      <c r="Q97" t="s">
        <v>15</v>
      </c>
    </row>
    <row r="98" spans="1:17" x14ac:dyDescent="0.25">
      <c r="A98">
        <v>97</v>
      </c>
      <c r="B98">
        <v>127</v>
      </c>
      <c r="C98" t="s">
        <v>16</v>
      </c>
      <c r="D98" t="s">
        <v>35</v>
      </c>
      <c r="E98" t="s">
        <v>49</v>
      </c>
      <c r="F98" t="s">
        <v>28</v>
      </c>
      <c r="G98" t="s">
        <v>27</v>
      </c>
      <c r="H98" t="s">
        <v>21</v>
      </c>
      <c r="I98" t="s">
        <v>22</v>
      </c>
      <c r="J98" t="s">
        <v>148</v>
      </c>
      <c r="K98" t="s">
        <v>23</v>
      </c>
      <c r="L98">
        <v>1041</v>
      </c>
      <c r="M98" s="10">
        <v>5.6748143000000004</v>
      </c>
      <c r="N98" s="10">
        <v>241.06397262605256</v>
      </c>
      <c r="O98" s="10">
        <v>0.23099334011230935</v>
      </c>
      <c r="P98" s="1" t="str">
        <f>HYPERLINK(".\sm_car_250819_0008\sm_car_250819_0008_097_Ca127TrN_MaWOT_DrSt_ode23t_1.png","figure")</f>
        <v>figure</v>
      </c>
      <c r="Q98" t="s">
        <v>15</v>
      </c>
    </row>
    <row r="99" spans="1:17" x14ac:dyDescent="0.25">
      <c r="A99">
        <v>98</v>
      </c>
      <c r="B99">
        <v>127</v>
      </c>
      <c r="C99" t="s">
        <v>16</v>
      </c>
      <c r="D99" t="s">
        <v>35</v>
      </c>
      <c r="E99" t="s">
        <v>49</v>
      </c>
      <c r="F99" t="s">
        <v>28</v>
      </c>
      <c r="G99" t="s">
        <v>27</v>
      </c>
      <c r="H99" t="s">
        <v>21</v>
      </c>
      <c r="I99" t="s">
        <v>24</v>
      </c>
      <c r="J99" t="s">
        <v>148</v>
      </c>
      <c r="K99" t="s">
        <v>23</v>
      </c>
      <c r="L99">
        <v>1164</v>
      </c>
      <c r="M99" s="10">
        <v>6.4469213999999999</v>
      </c>
      <c r="N99" s="10">
        <v>74.196184129810632</v>
      </c>
      <c r="O99" s="10">
        <v>-0.33374548531953496</v>
      </c>
      <c r="P99" s="1" t="str">
        <f>HYPERLINK(".\sm_car_250819_0008\sm_car_250819_0008_098_Ca127TrN_MaLSS_DrSt_ode23t_1.png","figure")</f>
        <v>figure</v>
      </c>
      <c r="Q99" t="s">
        <v>15</v>
      </c>
    </row>
    <row r="100" spans="1:17" x14ac:dyDescent="0.25">
      <c r="A100">
        <v>99</v>
      </c>
      <c r="B100">
        <v>145</v>
      </c>
      <c r="C100" t="s">
        <v>46</v>
      </c>
      <c r="D100" t="s">
        <v>17</v>
      </c>
      <c r="E100" t="s">
        <v>50</v>
      </c>
      <c r="F100" t="s">
        <v>19</v>
      </c>
      <c r="G100" t="s">
        <v>26</v>
      </c>
      <c r="H100" t="s">
        <v>21</v>
      </c>
      <c r="I100" t="s">
        <v>22</v>
      </c>
      <c r="J100" t="s">
        <v>148</v>
      </c>
      <c r="K100" t="s">
        <v>23</v>
      </c>
      <c r="L100">
        <v>352</v>
      </c>
      <c r="M100" s="10">
        <v>13.262752000000001</v>
      </c>
      <c r="N100" s="10">
        <v>62.39895439545981</v>
      </c>
      <c r="O100" s="10">
        <v>1.9024297056399325E-2</v>
      </c>
      <c r="P100" s="1" t="str">
        <f>HYPERLINK(".\sm_car_250819_0008\sm_car_250819_0008_099_Ca145TrN_MaWOT_DrSt_ode23t_1.png","figure")</f>
        <v>figure</v>
      </c>
      <c r="Q100" t="s">
        <v>15</v>
      </c>
    </row>
    <row r="101" spans="1:17" x14ac:dyDescent="0.25">
      <c r="A101">
        <v>100</v>
      </c>
      <c r="B101">
        <v>145</v>
      </c>
      <c r="C101" t="s">
        <v>46</v>
      </c>
      <c r="D101" t="s">
        <v>17</v>
      </c>
      <c r="E101" t="s">
        <v>50</v>
      </c>
      <c r="F101" t="s">
        <v>19</v>
      </c>
      <c r="G101" t="s">
        <v>26</v>
      </c>
      <c r="H101" t="s">
        <v>21</v>
      </c>
      <c r="I101" t="s">
        <v>24</v>
      </c>
      <c r="J101" t="s">
        <v>148</v>
      </c>
      <c r="K101" t="s">
        <v>23</v>
      </c>
      <c r="L101">
        <v>446</v>
      </c>
      <c r="M101" s="10">
        <v>15.5327012</v>
      </c>
      <c r="N101" s="10">
        <v>24.926034666867814</v>
      </c>
      <c r="O101" s="10">
        <v>-4.910005416593187E-2</v>
      </c>
      <c r="P101" s="1" t="str">
        <f>HYPERLINK(".\sm_car_250819_0008\sm_car_250819_0008_100_Ca145TrN_MaLSS_DrSt_ode23t_1.png","figure")</f>
        <v>figure</v>
      </c>
      <c r="Q101" t="s">
        <v>15</v>
      </c>
    </row>
    <row r="102" spans="1:17" x14ac:dyDescent="0.25">
      <c r="A102">
        <v>101</v>
      </c>
      <c r="B102">
        <v>184</v>
      </c>
      <c r="C102" t="s">
        <v>105</v>
      </c>
      <c r="D102" t="s">
        <v>120</v>
      </c>
      <c r="E102" t="s">
        <v>49</v>
      </c>
      <c r="F102" t="s">
        <v>19</v>
      </c>
      <c r="G102" t="s">
        <v>20</v>
      </c>
      <c r="H102" t="s">
        <v>21</v>
      </c>
      <c r="I102" t="s">
        <v>22</v>
      </c>
      <c r="J102" t="s">
        <v>148</v>
      </c>
      <c r="K102" t="s">
        <v>23</v>
      </c>
      <c r="L102">
        <v>303</v>
      </c>
      <c r="M102" s="10">
        <v>15.0228774</v>
      </c>
      <c r="N102" s="10">
        <v>294.63379630214121</v>
      </c>
      <c r="O102" s="10">
        <v>1.8059886843932189E-4</v>
      </c>
      <c r="P102" s="1" t="str">
        <f>HYPERLINK(".\sm_car_250819_0008\sm_car_250819_0008_101_Ca184TrN_MaWOT_DrSt_ode23t_1.png","figure")</f>
        <v>figure</v>
      </c>
      <c r="Q102" t="s">
        <v>15</v>
      </c>
    </row>
    <row r="103" spans="1:17" x14ac:dyDescent="0.25">
      <c r="A103">
        <v>102</v>
      </c>
      <c r="B103">
        <v>184</v>
      </c>
      <c r="C103" t="s">
        <v>105</v>
      </c>
      <c r="D103" t="s">
        <v>120</v>
      </c>
      <c r="E103" t="s">
        <v>49</v>
      </c>
      <c r="F103" t="s">
        <v>19</v>
      </c>
      <c r="G103" t="s">
        <v>20</v>
      </c>
      <c r="H103" t="s">
        <v>21</v>
      </c>
      <c r="I103" t="s">
        <v>24</v>
      </c>
      <c r="J103" t="s">
        <v>148</v>
      </c>
      <c r="K103" t="s">
        <v>23</v>
      </c>
      <c r="L103">
        <v>477</v>
      </c>
      <c r="M103" s="10">
        <v>11.591424699999999</v>
      </c>
      <c r="N103" s="10">
        <v>103.55245800054142</v>
      </c>
      <c r="O103" s="10">
        <v>-0.21314779231165731</v>
      </c>
      <c r="P103" s="1" t="str">
        <f>HYPERLINK(".\sm_car_250819_0008\sm_car_250819_0008_102_Ca184TrN_MaLSS_DrSt_ode23t_1.png","figure")</f>
        <v>figure</v>
      </c>
      <c r="Q103" t="s">
        <v>15</v>
      </c>
    </row>
    <row r="104" spans="1:17" x14ac:dyDescent="0.25">
      <c r="A104">
        <v>103</v>
      </c>
      <c r="B104">
        <v>217</v>
      </c>
      <c r="C104" t="s">
        <v>45</v>
      </c>
      <c r="D104" t="s">
        <v>17</v>
      </c>
      <c r="E104" t="s">
        <v>107</v>
      </c>
      <c r="F104" t="s">
        <v>119</v>
      </c>
      <c r="G104" t="s">
        <v>26</v>
      </c>
      <c r="H104" t="s">
        <v>21</v>
      </c>
      <c r="I104" t="s">
        <v>22</v>
      </c>
      <c r="J104" t="s">
        <v>148</v>
      </c>
      <c r="K104" t="s">
        <v>23</v>
      </c>
      <c r="L104">
        <v>733</v>
      </c>
      <c r="M104" s="10">
        <v>30.856708600000001</v>
      </c>
      <c r="N104" s="10">
        <v>276.37912911038921</v>
      </c>
      <c r="O104" s="10">
        <v>0.74691483654217783</v>
      </c>
      <c r="P104" s="1" t="str">
        <f>HYPERLINK(".\sm_car_250819_0008\sm_car_250819_0008_103_Ca217TrN_MaWOT_DrSt_ode23t_1.png","figure")</f>
        <v>figure</v>
      </c>
      <c r="Q104" t="s">
        <v>15</v>
      </c>
    </row>
    <row r="105" spans="1:17" x14ac:dyDescent="0.25">
      <c r="A105">
        <v>104</v>
      </c>
      <c r="B105">
        <v>217</v>
      </c>
      <c r="C105" t="s">
        <v>45</v>
      </c>
      <c r="D105" t="s">
        <v>17</v>
      </c>
      <c r="E105" t="s">
        <v>107</v>
      </c>
      <c r="F105" t="s">
        <v>119</v>
      </c>
      <c r="G105" t="s">
        <v>26</v>
      </c>
      <c r="H105" t="s">
        <v>21</v>
      </c>
      <c r="I105" t="s">
        <v>24</v>
      </c>
      <c r="J105" t="s">
        <v>148</v>
      </c>
      <c r="K105" t="s">
        <v>23</v>
      </c>
      <c r="L105">
        <v>845</v>
      </c>
      <c r="M105" s="10">
        <v>32.800434699999997</v>
      </c>
      <c r="N105" s="10">
        <v>109.18610629294641</v>
      </c>
      <c r="O105" s="10">
        <v>-0.34156151463218348</v>
      </c>
      <c r="P105" s="1" t="str">
        <f>HYPERLINK(".\sm_car_250819_0008\sm_car_250819_0008_104_Ca217TrN_MaLSS_DrSt_ode23t_1.png","figure")</f>
        <v>figure</v>
      </c>
      <c r="Q105" t="s">
        <v>15</v>
      </c>
    </row>
    <row r="106" spans="1:17" x14ac:dyDescent="0.25">
      <c r="A106">
        <v>105</v>
      </c>
      <c r="B106">
        <v>12</v>
      </c>
      <c r="C106" t="s">
        <v>16</v>
      </c>
      <c r="D106" t="s">
        <v>17</v>
      </c>
      <c r="E106" t="s">
        <v>49</v>
      </c>
      <c r="F106" t="s">
        <v>28</v>
      </c>
      <c r="G106" t="s">
        <v>20</v>
      </c>
      <c r="H106" t="s">
        <v>21</v>
      </c>
      <c r="I106" t="s">
        <v>53</v>
      </c>
      <c r="J106" t="s">
        <v>148</v>
      </c>
      <c r="K106" t="s">
        <v>23</v>
      </c>
      <c r="L106">
        <v>861</v>
      </c>
      <c r="M106" s="10">
        <v>9.7279391999999998</v>
      </c>
      <c r="N106" s="10">
        <v>255.26210606250055</v>
      </c>
      <c r="O106" s="10">
        <v>4.06542418477982E-2</v>
      </c>
      <c r="P106" s="1" t="str">
        <f>HYPERLINK(".\sm_car_250819_0008\sm_car_250819_0008_105_Ca012TrN_MaDLC_DrSt_ode23t_1.png","figure")</f>
        <v>figure</v>
      </c>
      <c r="Q106" t="s">
        <v>15</v>
      </c>
    </row>
    <row r="107" spans="1:17" x14ac:dyDescent="0.25">
      <c r="A107">
        <v>106</v>
      </c>
      <c r="B107">
        <v>12</v>
      </c>
      <c r="C107" t="s">
        <v>16</v>
      </c>
      <c r="D107" t="s">
        <v>17</v>
      </c>
      <c r="E107" t="s">
        <v>49</v>
      </c>
      <c r="F107" t="s">
        <v>28</v>
      </c>
      <c r="G107" t="s">
        <v>20</v>
      </c>
      <c r="H107" t="s">
        <v>21</v>
      </c>
      <c r="I107" t="s">
        <v>54</v>
      </c>
      <c r="J107" t="s">
        <v>148</v>
      </c>
      <c r="K107" t="s">
        <v>23</v>
      </c>
      <c r="L107">
        <v>902</v>
      </c>
      <c r="M107" s="10">
        <v>13.4716191</v>
      </c>
      <c r="N107" s="10">
        <v>74.40465403117858</v>
      </c>
      <c r="O107" s="10">
        <v>0.70185950080412518</v>
      </c>
      <c r="P107" s="1" t="str">
        <f>HYPERLINK(".\sm_car_250819_0008\sm_car_250819_0008_106_Ca012TrN_MaIPA_DrSt_ode23t_1.png","figure")</f>
        <v>figure</v>
      </c>
      <c r="Q107" t="s">
        <v>15</v>
      </c>
    </row>
    <row r="108" spans="1:17" x14ac:dyDescent="0.25">
      <c r="A108">
        <v>107</v>
      </c>
      <c r="B108">
        <v>142</v>
      </c>
      <c r="C108" t="s">
        <v>45</v>
      </c>
      <c r="D108" t="s">
        <v>17</v>
      </c>
      <c r="E108" t="s">
        <v>49</v>
      </c>
      <c r="F108" t="s">
        <v>28</v>
      </c>
      <c r="G108" t="s">
        <v>26</v>
      </c>
      <c r="H108" t="s">
        <v>21</v>
      </c>
      <c r="I108" t="s">
        <v>53</v>
      </c>
      <c r="J108" t="s">
        <v>148</v>
      </c>
      <c r="K108" t="s">
        <v>23</v>
      </c>
      <c r="L108">
        <v>983</v>
      </c>
      <c r="M108" s="10">
        <v>14.579803999999999</v>
      </c>
      <c r="N108" s="10">
        <v>254.55501024241693</v>
      </c>
      <c r="O108" s="10">
        <v>-7.4365839307120041E-3</v>
      </c>
      <c r="P108" s="1" t="str">
        <f>HYPERLINK(".\sm_car_250819_0008\sm_car_250819_0008_107_Ca142TrN_MaDLC_DrSt_ode23t_1.png","figure")</f>
        <v>figure</v>
      </c>
      <c r="Q108" t="s">
        <v>15</v>
      </c>
    </row>
    <row r="109" spans="1:17" x14ac:dyDescent="0.25">
      <c r="A109">
        <v>108</v>
      </c>
      <c r="B109">
        <v>142</v>
      </c>
      <c r="C109" t="s">
        <v>45</v>
      </c>
      <c r="D109" t="s">
        <v>17</v>
      </c>
      <c r="E109" t="s">
        <v>49</v>
      </c>
      <c r="F109" t="s">
        <v>28</v>
      </c>
      <c r="G109" t="s">
        <v>26</v>
      </c>
      <c r="H109" t="s">
        <v>21</v>
      </c>
      <c r="I109" t="s">
        <v>54</v>
      </c>
      <c r="J109" t="s">
        <v>148</v>
      </c>
      <c r="K109" t="s">
        <v>23</v>
      </c>
      <c r="L109">
        <v>1359</v>
      </c>
      <c r="M109" s="10">
        <v>32.947440700000001</v>
      </c>
      <c r="N109" s="10">
        <v>82.609457976043245</v>
      </c>
      <c r="O109" s="10">
        <v>0.63788670942218262</v>
      </c>
      <c r="P109" s="1" t="str">
        <f>HYPERLINK(".\sm_car_250819_0008\sm_car_250819_0008_108_Ca142TrN_MaIPA_DrSt_ode23t_1.png","figure")</f>
        <v>figure</v>
      </c>
      <c r="Q109" t="s">
        <v>15</v>
      </c>
    </row>
    <row r="110" spans="1:17" x14ac:dyDescent="0.25">
      <c r="A110">
        <v>109</v>
      </c>
      <c r="B110">
        <v>145</v>
      </c>
      <c r="C110" t="s">
        <v>46</v>
      </c>
      <c r="D110" t="s">
        <v>17</v>
      </c>
      <c r="E110" t="s">
        <v>50</v>
      </c>
      <c r="F110" t="s">
        <v>19</v>
      </c>
      <c r="G110" t="s">
        <v>26</v>
      </c>
      <c r="H110" t="s">
        <v>21</v>
      </c>
      <c r="I110" t="s">
        <v>53</v>
      </c>
      <c r="J110" t="s">
        <v>148</v>
      </c>
      <c r="K110" t="s">
        <v>23</v>
      </c>
      <c r="L110">
        <v>464</v>
      </c>
      <c r="M110" s="10">
        <v>15.8558156</v>
      </c>
      <c r="N110" s="10">
        <v>255.28779016135792</v>
      </c>
      <c r="O110" s="10">
        <v>6.8415375574617521E-2</v>
      </c>
      <c r="P110" s="1" t="str">
        <f>HYPERLINK(".\sm_car_250819_0008\sm_car_250819_0008_109_Ca145TrN_MaDLC_DrSt_ode23t_1.png","figure")</f>
        <v>figure</v>
      </c>
      <c r="Q110" t="s">
        <v>15</v>
      </c>
    </row>
    <row r="111" spans="1:17" x14ac:dyDescent="0.25">
      <c r="A111">
        <v>110</v>
      </c>
      <c r="B111">
        <v>145</v>
      </c>
      <c r="C111" t="s">
        <v>46</v>
      </c>
      <c r="D111" t="s">
        <v>17</v>
      </c>
      <c r="E111" t="s">
        <v>50</v>
      </c>
      <c r="F111" t="s">
        <v>19</v>
      </c>
      <c r="G111" t="s">
        <v>26</v>
      </c>
      <c r="H111" t="s">
        <v>21</v>
      </c>
      <c r="I111" t="s">
        <v>54</v>
      </c>
      <c r="J111" t="s">
        <v>148</v>
      </c>
      <c r="K111" t="s">
        <v>23</v>
      </c>
      <c r="L111">
        <v>324</v>
      </c>
      <c r="M111" s="10">
        <v>11.218462799999999</v>
      </c>
      <c r="N111" s="10">
        <v>27.998537058085546</v>
      </c>
      <c r="O111" s="10">
        <v>1.570866703714317E-2</v>
      </c>
      <c r="P111" s="1" t="str">
        <f>HYPERLINK(".\sm_car_250819_0008\sm_car_250819_0008_110_Ca145TrN_MaIPA_DrSt_ode23t_1.png","figure")</f>
        <v>figure</v>
      </c>
      <c r="Q111" t="s">
        <v>15</v>
      </c>
    </row>
    <row r="112" spans="1:17" x14ac:dyDescent="0.25">
      <c r="A112">
        <v>111</v>
      </c>
      <c r="B112">
        <v>184</v>
      </c>
      <c r="C112" t="s">
        <v>105</v>
      </c>
      <c r="D112" t="s">
        <v>120</v>
      </c>
      <c r="E112" t="s">
        <v>49</v>
      </c>
      <c r="F112" t="s">
        <v>19</v>
      </c>
      <c r="G112" t="s">
        <v>20</v>
      </c>
      <c r="H112" t="s">
        <v>21</v>
      </c>
      <c r="I112" t="s">
        <v>53</v>
      </c>
      <c r="J112" t="s">
        <v>148</v>
      </c>
      <c r="K112" t="s">
        <v>23</v>
      </c>
      <c r="L112">
        <v>383</v>
      </c>
      <c r="M112" s="10">
        <v>9.6578149</v>
      </c>
      <c r="N112" s="10">
        <v>257.35722780816474</v>
      </c>
      <c r="O112" s="10">
        <v>7.7606557530609521E-3</v>
      </c>
      <c r="P112" s="1" t="str">
        <f>HYPERLINK(".\sm_car_250819_0008\sm_car_250819_0008_111_Ca184TrN_MaDLC_DrSt_ode23t_1.png","figure")</f>
        <v>figure</v>
      </c>
      <c r="Q112" t="s">
        <v>15</v>
      </c>
    </row>
    <row r="113" spans="1:17" x14ac:dyDescent="0.25">
      <c r="A113">
        <v>112</v>
      </c>
      <c r="B113">
        <v>184</v>
      </c>
      <c r="C113" t="s">
        <v>105</v>
      </c>
      <c r="D113" t="s">
        <v>120</v>
      </c>
      <c r="E113" t="s">
        <v>49</v>
      </c>
      <c r="F113" t="s">
        <v>19</v>
      </c>
      <c r="G113" t="s">
        <v>20</v>
      </c>
      <c r="H113" t="s">
        <v>21</v>
      </c>
      <c r="I113" t="s">
        <v>54</v>
      </c>
      <c r="J113" t="s">
        <v>148</v>
      </c>
      <c r="K113" t="s">
        <v>23</v>
      </c>
      <c r="L113">
        <v>323</v>
      </c>
      <c r="M113" s="10">
        <v>11.940651900000001</v>
      </c>
      <c r="N113" s="10">
        <v>55.268292264342122</v>
      </c>
      <c r="O113" s="10">
        <v>5.6701607031800164E-3</v>
      </c>
      <c r="P113" s="1" t="str">
        <f>HYPERLINK(".\sm_car_250819_0008\sm_car_250819_0008_112_Ca184TrN_MaIPA_DrSt_ode23t_1.png","figure")</f>
        <v>figure</v>
      </c>
      <c r="Q113" t="s">
        <v>15</v>
      </c>
    </row>
    <row r="114" spans="1:17" x14ac:dyDescent="0.25">
      <c r="A114">
        <v>113</v>
      </c>
      <c r="B114">
        <v>204</v>
      </c>
      <c r="C114" t="s">
        <v>105</v>
      </c>
      <c r="D114" t="s">
        <v>106</v>
      </c>
      <c r="E114" t="s">
        <v>18</v>
      </c>
      <c r="F114" t="s">
        <v>19</v>
      </c>
      <c r="G114" t="s">
        <v>20</v>
      </c>
      <c r="H114" t="s">
        <v>21</v>
      </c>
      <c r="I114" t="s">
        <v>53</v>
      </c>
      <c r="J114" t="s">
        <v>148</v>
      </c>
      <c r="K114" t="s">
        <v>23</v>
      </c>
      <c r="L114">
        <v>1846</v>
      </c>
      <c r="M114" s="10">
        <v>24.546082500000001</v>
      </c>
      <c r="N114" s="10">
        <v>254.66277026108662</v>
      </c>
      <c r="O114" s="10">
        <v>1.8069888375600307E-2</v>
      </c>
      <c r="P114" s="1" t="str">
        <f>HYPERLINK(".\sm_car_250819_0008\sm_car_250819_0008_113_Ca204TrN_MaDLC_DrSt_ode23t_1.png","figure")</f>
        <v>figure</v>
      </c>
      <c r="Q114" t="s">
        <v>15</v>
      </c>
    </row>
    <row r="115" spans="1:17" x14ac:dyDescent="0.25">
      <c r="A115">
        <v>114</v>
      </c>
      <c r="B115">
        <v>204</v>
      </c>
      <c r="C115" t="s">
        <v>105</v>
      </c>
      <c r="D115" t="s">
        <v>106</v>
      </c>
      <c r="E115" t="s">
        <v>18</v>
      </c>
      <c r="F115" t="s">
        <v>19</v>
      </c>
      <c r="G115" t="s">
        <v>20</v>
      </c>
      <c r="H115" t="s">
        <v>21</v>
      </c>
      <c r="I115" t="s">
        <v>54</v>
      </c>
      <c r="J115" t="s">
        <v>148</v>
      </c>
      <c r="K115" t="s">
        <v>23</v>
      </c>
      <c r="L115">
        <v>663</v>
      </c>
      <c r="M115" s="10">
        <v>10.548604900000001</v>
      </c>
      <c r="N115" s="10">
        <v>26.034582908336471</v>
      </c>
      <c r="O115" s="10">
        <v>9.6641497332310318E-3</v>
      </c>
      <c r="P115" s="1" t="str">
        <f>HYPERLINK(".\sm_car_250819_0008\sm_car_250819_0008_114_Ca204TrN_MaIPA_DrSt_ode23t_1.png","figure")</f>
        <v>figure</v>
      </c>
      <c r="Q115" t="s">
        <v>15</v>
      </c>
    </row>
    <row r="116" spans="1:17" x14ac:dyDescent="0.25">
      <c r="A116">
        <v>115</v>
      </c>
      <c r="B116">
        <v>12</v>
      </c>
      <c r="C116" t="s">
        <v>16</v>
      </c>
      <c r="D116" t="s">
        <v>17</v>
      </c>
      <c r="E116" t="s">
        <v>49</v>
      </c>
      <c r="F116" t="s">
        <v>28</v>
      </c>
      <c r="G116" t="s">
        <v>20</v>
      </c>
      <c r="H116" t="s">
        <v>21</v>
      </c>
      <c r="I116" t="s">
        <v>55</v>
      </c>
      <c r="J116" t="s">
        <v>148</v>
      </c>
      <c r="K116" t="s">
        <v>23</v>
      </c>
      <c r="L116">
        <v>2585</v>
      </c>
      <c r="M116" s="10">
        <v>25.468534699999999</v>
      </c>
      <c r="N116" s="10">
        <v>-2.0629093586502431E-2</v>
      </c>
      <c r="O116" s="10">
        <v>-0.64593465569900743</v>
      </c>
      <c r="P116" s="1" t="str">
        <f>HYPERLINK(".\sm_car_250819_0008\sm_car_250819_0008_115_Ca012TrN_MaMPK_DrSt_ode23t_1.png","figure")</f>
        <v>figure</v>
      </c>
      <c r="Q116" t="s">
        <v>15</v>
      </c>
    </row>
    <row r="117" spans="1:17" x14ac:dyDescent="0.25">
      <c r="A117">
        <v>116</v>
      </c>
      <c r="B117">
        <v>12</v>
      </c>
      <c r="C117" t="s">
        <v>16</v>
      </c>
      <c r="D117" t="s">
        <v>17</v>
      </c>
      <c r="E117" t="s">
        <v>49</v>
      </c>
      <c r="F117" t="s">
        <v>28</v>
      </c>
      <c r="G117" t="s">
        <v>20</v>
      </c>
      <c r="H117" t="s">
        <v>21</v>
      </c>
      <c r="I117" t="s">
        <v>55</v>
      </c>
      <c r="J117" t="s">
        <v>149</v>
      </c>
      <c r="K117" t="s">
        <v>23</v>
      </c>
      <c r="L117">
        <v>2382</v>
      </c>
      <c r="M117" s="10">
        <v>22.316152800000001</v>
      </c>
      <c r="N117" s="10">
        <v>-8.757132298674461E-3</v>
      </c>
      <c r="O117" s="10">
        <v>-3.7756162313556704E-2</v>
      </c>
      <c r="P117" s="1" t="str">
        <f>HYPERLINK(".\sm_car_250819_0008\sm_car_250819_0008_116_Ca012TrN_MaMPK_DrSt_ode23t_1.png","figure")</f>
        <v>figure</v>
      </c>
      <c r="Q117" t="s">
        <v>15</v>
      </c>
    </row>
    <row r="118" spans="1:17" x14ac:dyDescent="0.25">
      <c r="A118">
        <v>117</v>
      </c>
      <c r="B118">
        <v>12</v>
      </c>
      <c r="C118" t="s">
        <v>16</v>
      </c>
      <c r="D118" t="s">
        <v>17</v>
      </c>
      <c r="E118" t="s">
        <v>49</v>
      </c>
      <c r="F118" t="s">
        <v>28</v>
      </c>
      <c r="G118" t="s">
        <v>20</v>
      </c>
      <c r="H118" t="s">
        <v>21</v>
      </c>
      <c r="I118" t="s">
        <v>56</v>
      </c>
      <c r="J118" t="s">
        <v>148</v>
      </c>
      <c r="K118" t="s">
        <v>23</v>
      </c>
      <c r="L118">
        <v>2425</v>
      </c>
      <c r="M118" s="10">
        <v>24.5344625</v>
      </c>
      <c r="N118" s="10">
        <v>0.78942604956534623</v>
      </c>
      <c r="O118" s="10">
        <v>-0.33091525642731834</v>
      </c>
      <c r="P118" s="1" t="str">
        <f>HYPERLINK(".\sm_car_250819_0008\sm_car_250819_0008_117_Ca012TrN_MaMPC_DrSt_ode23t_1.png","figure")</f>
        <v>figure</v>
      </c>
      <c r="Q118" t="s">
        <v>15</v>
      </c>
    </row>
    <row r="119" spans="1:17" x14ac:dyDescent="0.25">
      <c r="A119">
        <v>118</v>
      </c>
      <c r="B119">
        <v>12</v>
      </c>
      <c r="C119" t="s">
        <v>16</v>
      </c>
      <c r="D119" t="s">
        <v>17</v>
      </c>
      <c r="E119" t="s">
        <v>49</v>
      </c>
      <c r="F119" t="s">
        <v>28</v>
      </c>
      <c r="G119" t="s">
        <v>20</v>
      </c>
      <c r="H119" t="s">
        <v>21</v>
      </c>
      <c r="I119" t="s">
        <v>56</v>
      </c>
      <c r="J119" t="s">
        <v>149</v>
      </c>
      <c r="K119" t="s">
        <v>23</v>
      </c>
      <c r="L119">
        <v>2262</v>
      </c>
      <c r="M119" s="10">
        <v>23.778268600000001</v>
      </c>
      <c r="N119" s="10">
        <v>0.78567685266048137</v>
      </c>
      <c r="O119" s="10">
        <v>0.10504751602754532</v>
      </c>
      <c r="P119" s="1" t="str">
        <f>HYPERLINK(".\sm_car_250819_0008\sm_car_250819_0008_118_Ca012TrN_MaMPC_DrSt_ode23t_1.png","figure")</f>
        <v>figure</v>
      </c>
      <c r="Q119" t="s">
        <v>15</v>
      </c>
    </row>
    <row r="120" spans="1:17" x14ac:dyDescent="0.25">
      <c r="A120">
        <v>119</v>
      </c>
      <c r="B120">
        <v>142</v>
      </c>
      <c r="C120" t="s">
        <v>45</v>
      </c>
      <c r="D120" t="s">
        <v>17</v>
      </c>
      <c r="E120" t="s">
        <v>49</v>
      </c>
      <c r="F120" t="s">
        <v>28</v>
      </c>
      <c r="G120" t="s">
        <v>26</v>
      </c>
      <c r="H120" t="s">
        <v>21</v>
      </c>
      <c r="I120" t="s">
        <v>55</v>
      </c>
      <c r="J120" t="s">
        <v>148</v>
      </c>
      <c r="K120" t="s">
        <v>23</v>
      </c>
      <c r="L120">
        <v>2565</v>
      </c>
      <c r="M120" s="10">
        <v>35.852131999999997</v>
      </c>
      <c r="N120" s="10">
        <v>-6.9433460483666609E-3</v>
      </c>
      <c r="O120" s="10">
        <v>-0.55914196649901282</v>
      </c>
      <c r="P120" s="1" t="str">
        <f>HYPERLINK(".\sm_car_250819_0008\sm_car_250819_0008_119_Ca142TrN_MaMPK_DrSt_ode23t_1.png","figure")</f>
        <v>figure</v>
      </c>
      <c r="Q120" t="s">
        <v>15</v>
      </c>
    </row>
    <row r="121" spans="1:17" x14ac:dyDescent="0.25">
      <c r="A121">
        <v>120</v>
      </c>
      <c r="B121">
        <v>142</v>
      </c>
      <c r="C121" t="s">
        <v>45</v>
      </c>
      <c r="D121" t="s">
        <v>17</v>
      </c>
      <c r="E121" t="s">
        <v>49</v>
      </c>
      <c r="F121" t="s">
        <v>28</v>
      </c>
      <c r="G121" t="s">
        <v>26</v>
      </c>
      <c r="H121" t="s">
        <v>21</v>
      </c>
      <c r="I121" t="s">
        <v>55</v>
      </c>
      <c r="J121" t="s">
        <v>149</v>
      </c>
      <c r="K121" t="s">
        <v>23</v>
      </c>
      <c r="L121">
        <v>2924</v>
      </c>
      <c r="M121" s="10">
        <v>32.6884321</v>
      </c>
      <c r="N121" s="10">
        <v>-9.8743940283370218E-3</v>
      </c>
      <c r="O121" s="10">
        <v>-7.9209557457091712E-2</v>
      </c>
      <c r="P121" s="1" t="str">
        <f>HYPERLINK(".\sm_car_250819_0008\sm_car_250819_0008_120_Ca142TrN_MaMPK_DrSt_ode23t_1.png","figure")</f>
        <v>figure</v>
      </c>
      <c r="Q121" t="s">
        <v>15</v>
      </c>
    </row>
    <row r="122" spans="1:17" x14ac:dyDescent="0.25">
      <c r="A122">
        <v>121</v>
      </c>
      <c r="B122">
        <v>142</v>
      </c>
      <c r="C122" t="s">
        <v>45</v>
      </c>
      <c r="D122" t="s">
        <v>17</v>
      </c>
      <c r="E122" t="s">
        <v>49</v>
      </c>
      <c r="F122" t="s">
        <v>28</v>
      </c>
      <c r="G122" t="s">
        <v>26</v>
      </c>
      <c r="H122" t="s">
        <v>21</v>
      </c>
      <c r="I122" t="s">
        <v>56</v>
      </c>
      <c r="J122" t="s">
        <v>148</v>
      </c>
      <c r="K122" t="s">
        <v>23</v>
      </c>
      <c r="L122">
        <v>2403</v>
      </c>
      <c r="M122" s="10">
        <v>35.293544199999999</v>
      </c>
      <c r="N122" s="10">
        <v>0.7886861143095576</v>
      </c>
      <c r="O122" s="10">
        <v>-0.3725001293340276</v>
      </c>
      <c r="P122" s="1" t="str">
        <f>HYPERLINK(".\sm_car_250819_0008\sm_car_250819_0008_121_Ca142TrN_MaMPC_DrSt_ode23t_1.png","figure")</f>
        <v>figure</v>
      </c>
      <c r="Q122" t="s">
        <v>15</v>
      </c>
    </row>
    <row r="123" spans="1:17" x14ac:dyDescent="0.25">
      <c r="A123">
        <v>122</v>
      </c>
      <c r="B123">
        <v>142</v>
      </c>
      <c r="C123" t="s">
        <v>45</v>
      </c>
      <c r="D123" t="s">
        <v>17</v>
      </c>
      <c r="E123" t="s">
        <v>49</v>
      </c>
      <c r="F123" t="s">
        <v>28</v>
      </c>
      <c r="G123" t="s">
        <v>26</v>
      </c>
      <c r="H123" t="s">
        <v>21</v>
      </c>
      <c r="I123" t="s">
        <v>56</v>
      </c>
      <c r="J123" t="s">
        <v>149</v>
      </c>
      <c r="K123" t="s">
        <v>23</v>
      </c>
      <c r="L123">
        <v>2778</v>
      </c>
      <c r="M123" s="10">
        <v>38.786847999999999</v>
      </c>
      <c r="N123" s="10">
        <v>0.76919531902451332</v>
      </c>
      <c r="O123" s="10">
        <v>1.9460578381337773E-2</v>
      </c>
      <c r="P123" s="1" t="str">
        <f>HYPERLINK(".\sm_car_250819_0008\sm_car_250819_0008_122_Ca142TrN_MaMPC_DrSt_ode23t_1.png","figure")</f>
        <v>figure</v>
      </c>
      <c r="Q123" t="s">
        <v>15</v>
      </c>
    </row>
    <row r="124" spans="1:17" x14ac:dyDescent="0.25">
      <c r="A124">
        <v>123</v>
      </c>
      <c r="B124">
        <v>116</v>
      </c>
      <c r="C124" t="s">
        <v>16</v>
      </c>
      <c r="D124" t="s">
        <v>35</v>
      </c>
      <c r="E124" t="s">
        <v>18</v>
      </c>
      <c r="F124" t="s">
        <v>28</v>
      </c>
      <c r="G124" t="s">
        <v>20</v>
      </c>
      <c r="H124" t="s">
        <v>21</v>
      </c>
      <c r="I124" t="s">
        <v>55</v>
      </c>
      <c r="J124" t="s">
        <v>148</v>
      </c>
      <c r="K124" t="s">
        <v>23</v>
      </c>
      <c r="L124">
        <v>2864</v>
      </c>
      <c r="M124" s="10">
        <v>14.689503800000001</v>
      </c>
      <c r="N124" s="10">
        <v>-1.7414599569133979E-2</v>
      </c>
      <c r="O124" s="10">
        <v>-0.54245933815137337</v>
      </c>
      <c r="P124" s="1" t="str">
        <f>HYPERLINK(".\sm_car_250819_0008\sm_car_250819_0008_123_Ca116TrN_MaMPK_DrSt_ode23t_1.png","figure")</f>
        <v>figure</v>
      </c>
      <c r="Q124" t="s">
        <v>15</v>
      </c>
    </row>
    <row r="125" spans="1:17" x14ac:dyDescent="0.25">
      <c r="A125">
        <v>124</v>
      </c>
      <c r="B125">
        <v>116</v>
      </c>
      <c r="C125" t="s">
        <v>16</v>
      </c>
      <c r="D125" t="s">
        <v>35</v>
      </c>
      <c r="E125" t="s">
        <v>18</v>
      </c>
      <c r="F125" t="s">
        <v>28</v>
      </c>
      <c r="G125" t="s">
        <v>20</v>
      </c>
      <c r="H125" t="s">
        <v>21</v>
      </c>
      <c r="I125" t="s">
        <v>55</v>
      </c>
      <c r="J125" t="s">
        <v>149</v>
      </c>
      <c r="K125" t="s">
        <v>23</v>
      </c>
      <c r="L125">
        <v>2783</v>
      </c>
      <c r="M125" s="10">
        <v>13.8732322</v>
      </c>
      <c r="N125" s="10">
        <v>-1.8397055124210179E-2</v>
      </c>
      <c r="O125" s="10">
        <v>-0.53558486049605125</v>
      </c>
      <c r="P125" s="1" t="str">
        <f>HYPERLINK(".\sm_car_250819_0008\sm_car_250819_0008_124_Ca116TrN_MaMPK_DrSt_ode23t_1.png","figure")</f>
        <v>figure</v>
      </c>
      <c r="Q125" t="s">
        <v>15</v>
      </c>
    </row>
    <row r="126" spans="1:17" x14ac:dyDescent="0.25">
      <c r="A126">
        <v>125</v>
      </c>
      <c r="B126">
        <v>116</v>
      </c>
      <c r="C126" t="s">
        <v>16</v>
      </c>
      <c r="D126" t="s">
        <v>35</v>
      </c>
      <c r="E126" t="s">
        <v>18</v>
      </c>
      <c r="F126" t="s">
        <v>28</v>
      </c>
      <c r="G126" t="s">
        <v>20</v>
      </c>
      <c r="H126" t="s">
        <v>21</v>
      </c>
      <c r="I126" t="s">
        <v>56</v>
      </c>
      <c r="J126" t="s">
        <v>148</v>
      </c>
      <c r="K126" t="s">
        <v>23</v>
      </c>
      <c r="L126">
        <v>2768</v>
      </c>
      <c r="M126" s="10">
        <v>13.878612</v>
      </c>
      <c r="N126" s="10">
        <v>0.78798839429490464</v>
      </c>
      <c r="O126" s="10">
        <v>-0.36276275941761932</v>
      </c>
      <c r="P126" s="1" t="str">
        <f>HYPERLINK(".\sm_car_250819_0008\sm_car_250819_0008_125_Ca116TrN_MaMPC_DrSt_ode23t_1.png","figure")</f>
        <v>figure</v>
      </c>
      <c r="Q126" t="s">
        <v>15</v>
      </c>
    </row>
    <row r="127" spans="1:17" x14ac:dyDescent="0.25">
      <c r="A127">
        <v>126</v>
      </c>
      <c r="B127">
        <v>116</v>
      </c>
      <c r="C127" t="s">
        <v>16</v>
      </c>
      <c r="D127" t="s">
        <v>35</v>
      </c>
      <c r="E127" t="s">
        <v>18</v>
      </c>
      <c r="F127" t="s">
        <v>28</v>
      </c>
      <c r="G127" t="s">
        <v>20</v>
      </c>
      <c r="H127" t="s">
        <v>21</v>
      </c>
      <c r="I127" t="s">
        <v>56</v>
      </c>
      <c r="J127" t="s">
        <v>149</v>
      </c>
      <c r="K127" t="s">
        <v>23</v>
      </c>
      <c r="L127">
        <v>2639</v>
      </c>
      <c r="M127" s="10">
        <v>13.4497385</v>
      </c>
      <c r="N127" s="10">
        <v>0.78924363933189667</v>
      </c>
      <c r="O127" s="10">
        <v>0.44067295820595781</v>
      </c>
      <c r="P127" s="1" t="str">
        <f>HYPERLINK(".\sm_car_250819_0008\sm_car_250819_0008_126_Ca116TrN_MaMPC_DrSt_ode23t_1.png","figure")</f>
        <v>figure</v>
      </c>
      <c r="Q127" t="s">
        <v>15</v>
      </c>
    </row>
    <row r="128" spans="1:17" x14ac:dyDescent="0.25">
      <c r="A128">
        <v>127</v>
      </c>
      <c r="B128">
        <v>143</v>
      </c>
      <c r="C128" t="s">
        <v>46</v>
      </c>
      <c r="D128" t="s">
        <v>17</v>
      </c>
      <c r="E128" t="s">
        <v>47</v>
      </c>
      <c r="F128" t="s">
        <v>19</v>
      </c>
      <c r="G128" t="s">
        <v>26</v>
      </c>
      <c r="H128" t="s">
        <v>21</v>
      </c>
      <c r="I128" t="s">
        <v>55</v>
      </c>
      <c r="J128" t="s">
        <v>148</v>
      </c>
      <c r="K128" t="s">
        <v>23</v>
      </c>
      <c r="L128">
        <v>2474</v>
      </c>
      <c r="M128" s="10">
        <v>48.498742</v>
      </c>
      <c r="N128" s="10">
        <v>-1.7232913288221685E-2</v>
      </c>
      <c r="O128" s="10">
        <v>-0.40370609761196213</v>
      </c>
      <c r="P128" s="1" t="str">
        <f>HYPERLINK(".\sm_car_250819_0008\sm_car_250819_0008_127_Ca143TrN_MaMPK_DrSt_ode23t_1.png","figure")</f>
        <v>figure</v>
      </c>
      <c r="Q128" t="s">
        <v>15</v>
      </c>
    </row>
    <row r="129" spans="1:17" x14ac:dyDescent="0.25">
      <c r="A129">
        <v>128</v>
      </c>
      <c r="B129">
        <v>143</v>
      </c>
      <c r="C129" t="s">
        <v>46</v>
      </c>
      <c r="D129" t="s">
        <v>17</v>
      </c>
      <c r="E129" t="s">
        <v>47</v>
      </c>
      <c r="F129" t="s">
        <v>19</v>
      </c>
      <c r="G129" t="s">
        <v>26</v>
      </c>
      <c r="H129" t="s">
        <v>21</v>
      </c>
      <c r="I129" t="s">
        <v>55</v>
      </c>
      <c r="J129" t="s">
        <v>149</v>
      </c>
      <c r="K129" t="s">
        <v>23</v>
      </c>
      <c r="L129">
        <v>2213</v>
      </c>
      <c r="M129" s="10">
        <v>41.764313199999997</v>
      </c>
      <c r="N129" s="10">
        <v>-1.0456680420459538E-2</v>
      </c>
      <c r="O129" s="10">
        <v>-8.9734616205116566E-2</v>
      </c>
      <c r="P129" s="1" t="str">
        <f>HYPERLINK(".\sm_car_250819_0008\sm_car_250819_0008_128_Ca143TrN_MaMPK_DrSt_ode23t_1.png","figure")</f>
        <v>figure</v>
      </c>
      <c r="Q129" t="s">
        <v>15</v>
      </c>
    </row>
    <row r="130" spans="1:17" x14ac:dyDescent="0.25">
      <c r="A130">
        <v>129</v>
      </c>
      <c r="B130">
        <v>143</v>
      </c>
      <c r="C130" t="s">
        <v>46</v>
      </c>
      <c r="D130" t="s">
        <v>17</v>
      </c>
      <c r="E130" t="s">
        <v>47</v>
      </c>
      <c r="F130" t="s">
        <v>19</v>
      </c>
      <c r="G130" t="s">
        <v>26</v>
      </c>
      <c r="H130" t="s">
        <v>21</v>
      </c>
      <c r="I130" t="s">
        <v>56</v>
      </c>
      <c r="J130" t="s">
        <v>148</v>
      </c>
      <c r="K130" t="s">
        <v>23</v>
      </c>
      <c r="L130">
        <v>2363</v>
      </c>
      <c r="M130" s="10">
        <v>50.448917700000003</v>
      </c>
      <c r="N130" s="10">
        <v>0.78847781581590404</v>
      </c>
      <c r="O130" s="10">
        <v>-0.27201963163576759</v>
      </c>
      <c r="P130" s="1" t="str">
        <f>HYPERLINK(".\sm_car_250819_0008\sm_car_250819_0008_129_Ca143TrN_MaMPC_DrSt_ode23t_1.png","figure")</f>
        <v>figure</v>
      </c>
      <c r="Q130" t="s">
        <v>15</v>
      </c>
    </row>
    <row r="131" spans="1:17" x14ac:dyDescent="0.25">
      <c r="A131">
        <v>130</v>
      </c>
      <c r="B131">
        <v>143</v>
      </c>
      <c r="C131" t="s">
        <v>46</v>
      </c>
      <c r="D131" t="s">
        <v>17</v>
      </c>
      <c r="E131" t="s">
        <v>47</v>
      </c>
      <c r="F131" t="s">
        <v>19</v>
      </c>
      <c r="G131" t="s">
        <v>26</v>
      </c>
      <c r="H131" t="s">
        <v>21</v>
      </c>
      <c r="I131" t="s">
        <v>56</v>
      </c>
      <c r="J131" t="s">
        <v>149</v>
      </c>
      <c r="K131" t="s">
        <v>23</v>
      </c>
      <c r="L131">
        <v>2131</v>
      </c>
      <c r="M131" s="10">
        <v>44.644944000000002</v>
      </c>
      <c r="N131" s="10">
        <v>0.78600248733707723</v>
      </c>
      <c r="O131" s="10">
        <v>-0.15682852274492198</v>
      </c>
      <c r="P131" s="1" t="str">
        <f>HYPERLINK(".\sm_car_250819_0008\sm_car_250819_0008_130_Ca143TrN_MaMPC_DrSt_ode23t_1.png","figure")</f>
        <v>figure</v>
      </c>
      <c r="Q131" t="s">
        <v>15</v>
      </c>
    </row>
    <row r="132" spans="1:17" x14ac:dyDescent="0.25">
      <c r="A132">
        <v>131</v>
      </c>
      <c r="B132">
        <v>166</v>
      </c>
      <c r="C132" t="s">
        <v>45</v>
      </c>
      <c r="D132" t="s">
        <v>57</v>
      </c>
      <c r="E132" t="s">
        <v>18</v>
      </c>
      <c r="F132" t="s">
        <v>19</v>
      </c>
      <c r="G132" t="s">
        <v>26</v>
      </c>
      <c r="H132" t="s">
        <v>21</v>
      </c>
      <c r="I132" t="s">
        <v>55</v>
      </c>
      <c r="J132" t="s">
        <v>148</v>
      </c>
      <c r="K132" t="s">
        <v>23</v>
      </c>
      <c r="L132">
        <v>3186</v>
      </c>
      <c r="M132" s="10">
        <v>56.869010699999997</v>
      </c>
      <c r="N132" s="10">
        <v>-1.9783176155798637E-2</v>
      </c>
      <c r="O132" s="10">
        <v>-0.57257142587754872</v>
      </c>
      <c r="P132" s="1" t="str">
        <f>HYPERLINK(".\sm_car_250819_0008\sm_car_250819_0008_131_Ca166TrN_MaMPK_DrSt_ode23t_1.png","figure")</f>
        <v>figure</v>
      </c>
      <c r="Q132" t="s">
        <v>15</v>
      </c>
    </row>
    <row r="133" spans="1:17" x14ac:dyDescent="0.25">
      <c r="A133">
        <v>132</v>
      </c>
      <c r="B133">
        <v>166</v>
      </c>
      <c r="C133" t="s">
        <v>45</v>
      </c>
      <c r="D133" t="s">
        <v>57</v>
      </c>
      <c r="E133" t="s">
        <v>18</v>
      </c>
      <c r="F133" t="s">
        <v>19</v>
      </c>
      <c r="G133" t="s">
        <v>26</v>
      </c>
      <c r="H133" t="s">
        <v>21</v>
      </c>
      <c r="I133" t="s">
        <v>55</v>
      </c>
      <c r="J133" t="s">
        <v>149</v>
      </c>
      <c r="K133" t="s">
        <v>23</v>
      </c>
      <c r="L133">
        <v>3740</v>
      </c>
      <c r="M133" s="10">
        <v>54.360236700000002</v>
      </c>
      <c r="N133" s="10">
        <v>-1.6705415935607953E-3</v>
      </c>
      <c r="O133" s="10">
        <v>-8.4656356982402356E-2</v>
      </c>
      <c r="P133" s="1" t="str">
        <f>HYPERLINK(".\sm_car_250819_0008\sm_car_250819_0008_132_Ca166TrN_MaMPK_DrSt_ode23t_1.png","figure")</f>
        <v>figure</v>
      </c>
      <c r="Q133" t="s">
        <v>15</v>
      </c>
    </row>
    <row r="134" spans="1:17" x14ac:dyDescent="0.25">
      <c r="A134">
        <v>133</v>
      </c>
      <c r="B134">
        <v>166</v>
      </c>
      <c r="C134" t="s">
        <v>45</v>
      </c>
      <c r="D134" t="s">
        <v>57</v>
      </c>
      <c r="E134" t="s">
        <v>18</v>
      </c>
      <c r="F134" t="s">
        <v>19</v>
      </c>
      <c r="G134" t="s">
        <v>26</v>
      </c>
      <c r="H134" t="s">
        <v>21</v>
      </c>
      <c r="I134" t="s">
        <v>56</v>
      </c>
      <c r="J134" t="s">
        <v>148</v>
      </c>
      <c r="K134" t="s">
        <v>23</v>
      </c>
      <c r="L134">
        <v>3038</v>
      </c>
      <c r="M134" s="10">
        <v>51.709307199999998</v>
      </c>
      <c r="N134" s="10">
        <v>0.78755104875428117</v>
      </c>
      <c r="O134" s="10">
        <v>-0.36180664204409679</v>
      </c>
      <c r="P134" s="1" t="str">
        <f>HYPERLINK(".\sm_car_250819_0008\sm_car_250819_0008_133_Ca166TrN_MaMPC_DrSt_ode23t_1.png","figure")</f>
        <v>figure</v>
      </c>
      <c r="Q134" t="s">
        <v>15</v>
      </c>
    </row>
    <row r="135" spans="1:17" x14ac:dyDescent="0.25">
      <c r="A135">
        <v>134</v>
      </c>
      <c r="B135">
        <v>166</v>
      </c>
      <c r="C135" t="s">
        <v>45</v>
      </c>
      <c r="D135" t="s">
        <v>57</v>
      </c>
      <c r="E135" t="s">
        <v>18</v>
      </c>
      <c r="F135" t="s">
        <v>19</v>
      </c>
      <c r="G135" t="s">
        <v>26</v>
      </c>
      <c r="H135" t="s">
        <v>21</v>
      </c>
      <c r="I135" t="s">
        <v>56</v>
      </c>
      <c r="J135" t="s">
        <v>149</v>
      </c>
      <c r="K135" t="s">
        <v>23</v>
      </c>
      <c r="L135">
        <v>3467</v>
      </c>
      <c r="M135" s="10">
        <v>54.964416999999997</v>
      </c>
      <c r="N135" s="10">
        <v>0.78842827818646199</v>
      </c>
      <c r="O135" s="10">
        <v>2.585946349222832E-2</v>
      </c>
      <c r="P135" s="1" t="str">
        <f>HYPERLINK(".\sm_car_250819_0008\sm_car_250819_0008_134_Ca166TrN_MaMPC_DrSt_ode23t_1.png","figure")</f>
        <v>figure</v>
      </c>
      <c r="Q135" t="s">
        <v>15</v>
      </c>
    </row>
    <row r="136" spans="1:17" x14ac:dyDescent="0.25">
      <c r="A136">
        <v>135</v>
      </c>
      <c r="B136">
        <v>169</v>
      </c>
      <c r="C136" t="s">
        <v>45</v>
      </c>
      <c r="D136" t="s">
        <v>58</v>
      </c>
      <c r="E136" t="s">
        <v>49</v>
      </c>
      <c r="F136" t="s">
        <v>19</v>
      </c>
      <c r="G136" t="s">
        <v>26</v>
      </c>
      <c r="H136" t="s">
        <v>21</v>
      </c>
      <c r="I136" t="s">
        <v>55</v>
      </c>
      <c r="J136" t="s">
        <v>148</v>
      </c>
      <c r="K136" t="s">
        <v>23</v>
      </c>
      <c r="L136">
        <v>3339</v>
      </c>
      <c r="M136" s="10">
        <v>47.884786099999999</v>
      </c>
      <c r="N136" s="10">
        <v>-1.9200175991049492E-2</v>
      </c>
      <c r="O136" s="10">
        <v>-0.57359610631198676</v>
      </c>
      <c r="P136" s="1" t="str">
        <f>HYPERLINK(".\sm_car_250819_0008\sm_car_250819_0008_135_Ca169TrN_MaMPK_DrSt_ode23t_1.png","figure")</f>
        <v>figure</v>
      </c>
      <c r="Q136" t="s">
        <v>15</v>
      </c>
    </row>
    <row r="137" spans="1:17" x14ac:dyDescent="0.25">
      <c r="A137">
        <v>136</v>
      </c>
      <c r="B137">
        <v>169</v>
      </c>
      <c r="C137" t="s">
        <v>45</v>
      </c>
      <c r="D137" t="s">
        <v>58</v>
      </c>
      <c r="E137" t="s">
        <v>49</v>
      </c>
      <c r="F137" t="s">
        <v>19</v>
      </c>
      <c r="G137" t="s">
        <v>26</v>
      </c>
      <c r="H137" t="s">
        <v>21</v>
      </c>
      <c r="I137" t="s">
        <v>55</v>
      </c>
      <c r="J137" t="s">
        <v>149</v>
      </c>
      <c r="K137" t="s">
        <v>23</v>
      </c>
      <c r="L137">
        <v>3928</v>
      </c>
      <c r="M137" s="10">
        <v>52.134498399999998</v>
      </c>
      <c r="N137" s="10">
        <v>-1.1444934628637368E-2</v>
      </c>
      <c r="O137" s="10">
        <v>-8.3813951229011696E-2</v>
      </c>
      <c r="P137" s="1" t="str">
        <f>HYPERLINK(".\sm_car_250819_0008\sm_car_250819_0008_136_Ca169TrN_MaMPK_DrSt_ode23t_1.png","figure")</f>
        <v>figure</v>
      </c>
      <c r="Q137" t="s">
        <v>15</v>
      </c>
    </row>
    <row r="138" spans="1:17" x14ac:dyDescent="0.25">
      <c r="A138">
        <v>137</v>
      </c>
      <c r="B138">
        <v>169</v>
      </c>
      <c r="C138" t="s">
        <v>45</v>
      </c>
      <c r="D138" t="s">
        <v>58</v>
      </c>
      <c r="E138" t="s">
        <v>49</v>
      </c>
      <c r="F138" t="s">
        <v>19</v>
      </c>
      <c r="G138" t="s">
        <v>26</v>
      </c>
      <c r="H138" t="s">
        <v>21</v>
      </c>
      <c r="I138" t="s">
        <v>56</v>
      </c>
      <c r="J138" t="s">
        <v>148</v>
      </c>
      <c r="K138" t="s">
        <v>23</v>
      </c>
      <c r="L138">
        <v>3025</v>
      </c>
      <c r="M138" s="10">
        <v>45.3680241</v>
      </c>
      <c r="N138" s="10">
        <v>0.78694157965661304</v>
      </c>
      <c r="O138" s="10">
        <v>-0.35991405336609217</v>
      </c>
      <c r="P138" s="1" t="str">
        <f>HYPERLINK(".\sm_car_250819_0008\sm_car_250819_0008_137_Ca169TrN_MaMPC_DrSt_ode23t_1.png","figure")</f>
        <v>figure</v>
      </c>
      <c r="Q138" t="s">
        <v>15</v>
      </c>
    </row>
    <row r="139" spans="1:17" x14ac:dyDescent="0.25">
      <c r="A139">
        <v>138</v>
      </c>
      <c r="B139">
        <v>169</v>
      </c>
      <c r="C139" t="s">
        <v>45</v>
      </c>
      <c r="D139" t="s">
        <v>58</v>
      </c>
      <c r="E139" t="s">
        <v>49</v>
      </c>
      <c r="F139" t="s">
        <v>19</v>
      </c>
      <c r="G139" t="s">
        <v>26</v>
      </c>
      <c r="H139" t="s">
        <v>21</v>
      </c>
      <c r="I139" t="s">
        <v>56</v>
      </c>
      <c r="J139" t="s">
        <v>149</v>
      </c>
      <c r="K139" t="s">
        <v>23</v>
      </c>
      <c r="L139">
        <v>3479</v>
      </c>
      <c r="M139" s="10">
        <v>45.6346913</v>
      </c>
      <c r="N139" s="10">
        <v>0.78934628228067005</v>
      </c>
      <c r="O139" s="10">
        <v>2.817720813497495E-2</v>
      </c>
      <c r="P139" s="1" t="str">
        <f>HYPERLINK(".\sm_car_250819_0008\sm_car_250819_0008_138_Ca169TrN_MaMPC_DrSt_ode23t_1.png","figure")</f>
        <v>figure</v>
      </c>
      <c r="Q139" t="s">
        <v>15</v>
      </c>
    </row>
    <row r="140" spans="1:17" x14ac:dyDescent="0.25">
      <c r="A140">
        <v>139</v>
      </c>
      <c r="B140">
        <v>184</v>
      </c>
      <c r="C140" t="s">
        <v>105</v>
      </c>
      <c r="D140" t="s">
        <v>120</v>
      </c>
      <c r="E140" t="s">
        <v>49</v>
      </c>
      <c r="F140" t="s">
        <v>19</v>
      </c>
      <c r="G140" t="s">
        <v>20</v>
      </c>
      <c r="H140" t="s">
        <v>21</v>
      </c>
      <c r="I140" t="s">
        <v>55</v>
      </c>
      <c r="J140" t="s">
        <v>148</v>
      </c>
      <c r="K140" t="s">
        <v>23</v>
      </c>
      <c r="L140">
        <v>2208</v>
      </c>
      <c r="M140" s="10">
        <v>49.761983899999997</v>
      </c>
      <c r="N140" s="10">
        <v>-2.2117343957160557E-2</v>
      </c>
      <c r="O140" s="10">
        <v>-0.74271926162471846</v>
      </c>
      <c r="P140" s="1" t="str">
        <f>HYPERLINK(".\sm_car_250819_0008\sm_car_250819_0008_139_Ca184TrN_MaMPK_DrSt_ode23t_1.png","figure")</f>
        <v>figure</v>
      </c>
      <c r="Q140" t="s">
        <v>15</v>
      </c>
    </row>
    <row r="141" spans="1:17" x14ac:dyDescent="0.25">
      <c r="A141">
        <v>140</v>
      </c>
      <c r="B141">
        <v>184</v>
      </c>
      <c r="C141" t="s">
        <v>105</v>
      </c>
      <c r="D141" t="s">
        <v>120</v>
      </c>
      <c r="E141" t="s">
        <v>49</v>
      </c>
      <c r="F141" t="s">
        <v>19</v>
      </c>
      <c r="G141" t="s">
        <v>20</v>
      </c>
      <c r="H141" t="s">
        <v>21</v>
      </c>
      <c r="I141" t="s">
        <v>55</v>
      </c>
      <c r="J141" t="s">
        <v>149</v>
      </c>
      <c r="K141" t="s">
        <v>23</v>
      </c>
      <c r="L141">
        <v>2306</v>
      </c>
      <c r="M141" s="10">
        <v>48.163874900000003</v>
      </c>
      <c r="N141" s="10">
        <v>-1.0372714607681049E-2</v>
      </c>
      <c r="O141" s="10">
        <v>-3.0167214313253199E-2</v>
      </c>
      <c r="P141" s="1" t="str">
        <f>HYPERLINK(".\sm_car_250819_0008\sm_car_250819_0008_140_Ca184TrN_MaMPK_DrSt_ode23t_1.png","figure")</f>
        <v>figure</v>
      </c>
      <c r="Q141" t="s">
        <v>15</v>
      </c>
    </row>
    <row r="142" spans="1:17" x14ac:dyDescent="0.25">
      <c r="A142">
        <v>141</v>
      </c>
      <c r="B142">
        <v>184</v>
      </c>
      <c r="C142" t="s">
        <v>105</v>
      </c>
      <c r="D142" t="s">
        <v>120</v>
      </c>
      <c r="E142" t="s">
        <v>49</v>
      </c>
      <c r="F142" t="s">
        <v>19</v>
      </c>
      <c r="G142" t="s">
        <v>20</v>
      </c>
      <c r="H142" t="s">
        <v>21</v>
      </c>
      <c r="I142" t="s">
        <v>56</v>
      </c>
      <c r="J142" t="s">
        <v>148</v>
      </c>
      <c r="K142" t="s">
        <v>23</v>
      </c>
      <c r="L142">
        <v>2072</v>
      </c>
      <c r="M142" s="10">
        <v>49.320266799999999</v>
      </c>
      <c r="N142" s="10">
        <v>0.77497881401913027</v>
      </c>
      <c r="O142" s="10">
        <v>-0.33795248333457284</v>
      </c>
      <c r="P142" s="1" t="str">
        <f>HYPERLINK(".\sm_car_250819_0008\sm_car_250819_0008_141_Ca184TrN_MaMPC_DrSt_ode23t_1.png","figure")</f>
        <v>figure</v>
      </c>
      <c r="Q142" t="s">
        <v>15</v>
      </c>
    </row>
    <row r="143" spans="1:17" x14ac:dyDescent="0.25">
      <c r="A143">
        <v>142</v>
      </c>
      <c r="B143">
        <v>184</v>
      </c>
      <c r="C143" t="s">
        <v>105</v>
      </c>
      <c r="D143" t="s">
        <v>120</v>
      </c>
      <c r="E143" t="s">
        <v>49</v>
      </c>
      <c r="F143" t="s">
        <v>19</v>
      </c>
      <c r="G143" t="s">
        <v>20</v>
      </c>
      <c r="H143" t="s">
        <v>21</v>
      </c>
      <c r="I143" t="s">
        <v>56</v>
      </c>
      <c r="J143" t="s">
        <v>149</v>
      </c>
      <c r="K143" t="s">
        <v>23</v>
      </c>
      <c r="L143">
        <v>2054</v>
      </c>
      <c r="M143" s="10">
        <v>49.418362899999998</v>
      </c>
      <c r="N143" s="10">
        <v>0.78211905177887076</v>
      </c>
      <c r="O143" s="10">
        <v>-8.2475788669948508E-2</v>
      </c>
      <c r="P143" s="1" t="str">
        <f>HYPERLINK(".\sm_car_250819_0008\sm_car_250819_0008_142_Ca184TrN_MaMPC_DrSt_ode23t_1.png","figure")</f>
        <v>figure</v>
      </c>
      <c r="Q143" t="s">
        <v>15</v>
      </c>
    </row>
    <row r="144" spans="1:17" x14ac:dyDescent="0.25">
      <c r="A144">
        <v>143</v>
      </c>
      <c r="B144">
        <v>195</v>
      </c>
      <c r="C144" t="s">
        <v>45</v>
      </c>
      <c r="D144" t="s">
        <v>58</v>
      </c>
      <c r="E144" t="s">
        <v>107</v>
      </c>
      <c r="F144" t="s">
        <v>19</v>
      </c>
      <c r="G144" t="s">
        <v>26</v>
      </c>
      <c r="H144" t="s">
        <v>21</v>
      </c>
      <c r="I144" t="s">
        <v>55</v>
      </c>
      <c r="J144" t="s">
        <v>148</v>
      </c>
      <c r="K144" t="s">
        <v>23</v>
      </c>
      <c r="L144">
        <v>3291</v>
      </c>
      <c r="M144" s="10">
        <v>46.0115105</v>
      </c>
      <c r="N144" s="10">
        <v>2.6309380996909409E-2</v>
      </c>
      <c r="O144" s="10">
        <v>-0.57462529293876474</v>
      </c>
      <c r="P144" s="1" t="str">
        <f>HYPERLINK(".\sm_car_250819_0008\sm_car_250819_0008_143_Ca195TrN_MaMPK_DrSt_ode23t_1.png","figure")</f>
        <v>figure</v>
      </c>
      <c r="Q144" t="s">
        <v>15</v>
      </c>
    </row>
    <row r="145" spans="1:17" x14ac:dyDescent="0.25">
      <c r="A145">
        <v>144</v>
      </c>
      <c r="B145">
        <v>195</v>
      </c>
      <c r="C145" t="s">
        <v>45</v>
      </c>
      <c r="D145" t="s">
        <v>58</v>
      </c>
      <c r="E145" t="s">
        <v>107</v>
      </c>
      <c r="F145" t="s">
        <v>19</v>
      </c>
      <c r="G145" t="s">
        <v>26</v>
      </c>
      <c r="H145" t="s">
        <v>21</v>
      </c>
      <c r="I145" t="s">
        <v>55</v>
      </c>
      <c r="J145" t="s">
        <v>149</v>
      </c>
      <c r="K145" t="s">
        <v>23</v>
      </c>
      <c r="L145">
        <v>3880</v>
      </c>
      <c r="M145" s="10">
        <v>52.779604800000001</v>
      </c>
      <c r="N145" s="10">
        <v>-3.2136014180235151E-3</v>
      </c>
      <c r="O145" s="10">
        <v>-8.3878763983997712E-2</v>
      </c>
      <c r="P145" s="1" t="str">
        <f>HYPERLINK(".\sm_car_250819_0008\sm_car_250819_0008_144_Ca195TrN_MaMPK_DrSt_ode23t_1.png","figure")</f>
        <v>figure</v>
      </c>
      <c r="Q145" t="s">
        <v>15</v>
      </c>
    </row>
    <row r="146" spans="1:17" x14ac:dyDescent="0.25">
      <c r="A146">
        <v>145</v>
      </c>
      <c r="B146">
        <v>195</v>
      </c>
      <c r="C146" t="s">
        <v>45</v>
      </c>
      <c r="D146" t="s">
        <v>58</v>
      </c>
      <c r="E146" t="s">
        <v>107</v>
      </c>
      <c r="F146" t="s">
        <v>19</v>
      </c>
      <c r="G146" t="s">
        <v>26</v>
      </c>
      <c r="H146" t="s">
        <v>21</v>
      </c>
      <c r="I146" t="s">
        <v>56</v>
      </c>
      <c r="J146" t="s">
        <v>148</v>
      </c>
      <c r="K146" t="s">
        <v>23</v>
      </c>
      <c r="L146">
        <v>3048</v>
      </c>
      <c r="M146" s="10">
        <v>44.2036813</v>
      </c>
      <c r="N146" s="10">
        <v>0.78847542101128809</v>
      </c>
      <c r="O146" s="10">
        <v>-0.35989136504135061</v>
      </c>
      <c r="P146" s="1" t="str">
        <f>HYPERLINK(".\sm_car_250819_0008\sm_car_250819_0008_145_Ca195TrN_MaMPC_DrSt_ode23t_1.png","figure")</f>
        <v>figure</v>
      </c>
      <c r="Q146" t="s">
        <v>15</v>
      </c>
    </row>
    <row r="147" spans="1:17" x14ac:dyDescent="0.25">
      <c r="A147">
        <v>146</v>
      </c>
      <c r="B147">
        <v>195</v>
      </c>
      <c r="C147" t="s">
        <v>45</v>
      </c>
      <c r="D147" t="s">
        <v>58</v>
      </c>
      <c r="E147" t="s">
        <v>107</v>
      </c>
      <c r="F147" t="s">
        <v>19</v>
      </c>
      <c r="G147" t="s">
        <v>26</v>
      </c>
      <c r="H147" t="s">
        <v>21</v>
      </c>
      <c r="I147" t="s">
        <v>56</v>
      </c>
      <c r="J147" t="s">
        <v>149</v>
      </c>
      <c r="K147" t="s">
        <v>23</v>
      </c>
      <c r="L147">
        <v>3479</v>
      </c>
      <c r="M147" s="10">
        <v>46.498561100000003</v>
      </c>
      <c r="N147" s="10">
        <v>0.78110998436345724</v>
      </c>
      <c r="O147" s="10">
        <v>2.8316164860102643E-2</v>
      </c>
      <c r="P147" s="1" t="str">
        <f>HYPERLINK(".\sm_car_250819_0008\sm_car_250819_0008_146_Ca195TrN_MaMPC_DrSt_ode23t_1.png","figure")</f>
        <v>figure</v>
      </c>
      <c r="Q147" t="s">
        <v>15</v>
      </c>
    </row>
    <row r="148" spans="1:17" x14ac:dyDescent="0.25">
      <c r="A148">
        <v>147</v>
      </c>
      <c r="B148">
        <v>198</v>
      </c>
      <c r="C148" t="s">
        <v>105</v>
      </c>
      <c r="D148" t="s">
        <v>120</v>
      </c>
      <c r="E148" t="s">
        <v>107</v>
      </c>
      <c r="F148" t="s">
        <v>19</v>
      </c>
      <c r="G148" t="s">
        <v>20</v>
      </c>
      <c r="H148" t="s">
        <v>21</v>
      </c>
      <c r="I148" t="s">
        <v>55</v>
      </c>
      <c r="J148" t="s">
        <v>148</v>
      </c>
      <c r="K148" t="s">
        <v>23</v>
      </c>
      <c r="L148">
        <v>2303</v>
      </c>
      <c r="M148" s="10">
        <v>31.3250338</v>
      </c>
      <c r="N148" s="10">
        <v>8.9491580942834964E-3</v>
      </c>
      <c r="O148" s="10">
        <v>-0.74353293562381539</v>
      </c>
      <c r="P148" s="1" t="str">
        <f>HYPERLINK(".\sm_car_250819_0008\sm_car_250819_0008_147_Ca198TrN_MaMPK_DrSt_ode23t_1.png","figure")</f>
        <v>figure</v>
      </c>
      <c r="Q148" t="s">
        <v>15</v>
      </c>
    </row>
    <row r="149" spans="1:17" x14ac:dyDescent="0.25">
      <c r="A149">
        <v>148</v>
      </c>
      <c r="B149">
        <v>198</v>
      </c>
      <c r="C149" t="s">
        <v>105</v>
      </c>
      <c r="D149" t="s">
        <v>120</v>
      </c>
      <c r="E149" t="s">
        <v>107</v>
      </c>
      <c r="F149" t="s">
        <v>19</v>
      </c>
      <c r="G149" t="s">
        <v>20</v>
      </c>
      <c r="H149" t="s">
        <v>21</v>
      </c>
      <c r="I149" t="s">
        <v>55</v>
      </c>
      <c r="J149" t="s">
        <v>149</v>
      </c>
      <c r="K149" t="s">
        <v>23</v>
      </c>
      <c r="L149">
        <v>2610</v>
      </c>
      <c r="M149" s="10">
        <v>33.654364700000002</v>
      </c>
      <c r="N149" s="10">
        <v>-8.5760171372995103E-3</v>
      </c>
      <c r="O149" s="10">
        <v>-3.0368078928762116E-2</v>
      </c>
      <c r="P149" s="1" t="str">
        <f>HYPERLINK(".\sm_car_250819_0008\sm_car_250819_0008_148_Ca198TrN_MaMPK_DrSt_ode23t_1.png","figure")</f>
        <v>figure</v>
      </c>
      <c r="Q149" t="s">
        <v>15</v>
      </c>
    </row>
    <row r="150" spans="1:17" x14ac:dyDescent="0.25">
      <c r="A150">
        <v>149</v>
      </c>
      <c r="B150">
        <v>198</v>
      </c>
      <c r="C150" t="s">
        <v>105</v>
      </c>
      <c r="D150" t="s">
        <v>120</v>
      </c>
      <c r="E150" t="s">
        <v>107</v>
      </c>
      <c r="F150" t="s">
        <v>19</v>
      </c>
      <c r="G150" t="s">
        <v>20</v>
      </c>
      <c r="H150" t="s">
        <v>21</v>
      </c>
      <c r="I150" t="s">
        <v>56</v>
      </c>
      <c r="J150" t="s">
        <v>148</v>
      </c>
      <c r="K150" t="s">
        <v>23</v>
      </c>
      <c r="L150">
        <v>2077</v>
      </c>
      <c r="M150" s="10">
        <v>32.236435499999999</v>
      </c>
      <c r="N150" s="10">
        <v>0.78594009465250991</v>
      </c>
      <c r="O150" s="10">
        <v>-0.33801095391641228</v>
      </c>
      <c r="P150" s="1" t="str">
        <f>HYPERLINK(".\sm_car_250819_0008\sm_car_250819_0008_149_Ca198TrN_MaMPC_DrSt_ode23t_1.png","figure")</f>
        <v>figure</v>
      </c>
      <c r="Q150" t="s">
        <v>15</v>
      </c>
    </row>
    <row r="151" spans="1:17" x14ac:dyDescent="0.25">
      <c r="A151">
        <v>150</v>
      </c>
      <c r="B151">
        <v>198</v>
      </c>
      <c r="C151" t="s">
        <v>105</v>
      </c>
      <c r="D151" t="s">
        <v>120</v>
      </c>
      <c r="E151" t="s">
        <v>107</v>
      </c>
      <c r="F151" t="s">
        <v>19</v>
      </c>
      <c r="G151" t="s">
        <v>20</v>
      </c>
      <c r="H151" t="s">
        <v>21</v>
      </c>
      <c r="I151" t="s">
        <v>56</v>
      </c>
      <c r="J151" t="s">
        <v>149</v>
      </c>
      <c r="K151" t="s">
        <v>23</v>
      </c>
      <c r="L151">
        <v>2143</v>
      </c>
      <c r="M151" s="10">
        <v>31.194168300000001</v>
      </c>
      <c r="N151" s="10">
        <v>0.78864605529092735</v>
      </c>
      <c r="O151" s="10">
        <v>-8.222215141263868E-2</v>
      </c>
      <c r="P151" s="1" t="str">
        <f>HYPERLINK(".\sm_car_250819_0008\sm_car_250819_0008_150_Ca198TrN_MaMPC_DrSt_ode23t_1.png","figure")</f>
        <v>figure</v>
      </c>
      <c r="Q151" t="s">
        <v>15</v>
      </c>
    </row>
    <row r="152" spans="1:17" x14ac:dyDescent="0.25">
      <c r="A152">
        <v>151</v>
      </c>
      <c r="B152">
        <v>151</v>
      </c>
      <c r="C152" t="s">
        <v>16</v>
      </c>
      <c r="D152" t="s">
        <v>17</v>
      </c>
      <c r="E152" t="s">
        <v>18</v>
      </c>
      <c r="F152" t="s">
        <v>19</v>
      </c>
      <c r="G152" t="s">
        <v>59</v>
      </c>
      <c r="H152" t="s">
        <v>21</v>
      </c>
      <c r="I152" t="s">
        <v>24</v>
      </c>
      <c r="J152" t="s">
        <v>148</v>
      </c>
      <c r="K152" t="s">
        <v>23</v>
      </c>
      <c r="L152">
        <v>514</v>
      </c>
      <c r="M152" s="10">
        <v>11.471906199999999</v>
      </c>
      <c r="N152" s="10">
        <v>72.170720197472406</v>
      </c>
      <c r="O152" s="10">
        <v>-0.7881204902985588</v>
      </c>
      <c r="P152" s="1" t="str">
        <f>HYPERLINK(".\sm_car_250819_0008\sm_car_250819_0008_151_Ca151TrN_MaLSS_DrSt_ode23t_1.png","figure")</f>
        <v>figure</v>
      </c>
      <c r="Q152" t="s">
        <v>15</v>
      </c>
    </row>
    <row r="153" spans="1:17" x14ac:dyDescent="0.25">
      <c r="A153">
        <v>152</v>
      </c>
      <c r="B153">
        <v>152</v>
      </c>
      <c r="C153" t="s">
        <v>16</v>
      </c>
      <c r="D153" t="s">
        <v>17</v>
      </c>
      <c r="E153" t="s">
        <v>18</v>
      </c>
      <c r="F153" t="s">
        <v>19</v>
      </c>
      <c r="G153" t="s">
        <v>60</v>
      </c>
      <c r="H153" t="s">
        <v>21</v>
      </c>
      <c r="I153" t="s">
        <v>24</v>
      </c>
      <c r="J153" t="s">
        <v>148</v>
      </c>
      <c r="K153" t="s">
        <v>23</v>
      </c>
      <c r="L153">
        <v>533</v>
      </c>
      <c r="M153" s="10">
        <v>12.1496516</v>
      </c>
      <c r="N153" s="10">
        <v>70.582574800098868</v>
      </c>
      <c r="O153" s="10">
        <v>-0.5225752399123339</v>
      </c>
      <c r="P153" s="1" t="str">
        <f>HYPERLINK(".\sm_car_250819_0008\sm_car_250819_0008_152_Ca152TrN_MaLSS_DrSt_ode23t_1.png","figure")</f>
        <v>figure</v>
      </c>
      <c r="Q153" t="s">
        <v>15</v>
      </c>
    </row>
    <row r="154" spans="1:17" x14ac:dyDescent="0.25">
      <c r="A154">
        <v>153</v>
      </c>
      <c r="B154">
        <v>153</v>
      </c>
      <c r="C154" t="s">
        <v>16</v>
      </c>
      <c r="D154" t="s">
        <v>17</v>
      </c>
      <c r="E154" t="s">
        <v>18</v>
      </c>
      <c r="F154" t="s">
        <v>19</v>
      </c>
      <c r="G154" t="s">
        <v>61</v>
      </c>
      <c r="H154" t="s">
        <v>21</v>
      </c>
      <c r="I154" t="s">
        <v>24</v>
      </c>
      <c r="J154" t="s">
        <v>148</v>
      </c>
      <c r="K154" t="s">
        <v>23</v>
      </c>
      <c r="L154">
        <v>543</v>
      </c>
      <c r="M154" s="10">
        <v>12.5330306</v>
      </c>
      <c r="N154" s="10">
        <v>70.435288219888065</v>
      </c>
      <c r="O154" s="10">
        <v>-0.85962999888355573</v>
      </c>
      <c r="P154" s="1" t="str">
        <f>HYPERLINK(".\sm_car_250819_0008\sm_car_250819_0008_153_Ca153TrN_MaLSS_DrSt_ode23t_1.png","figure")</f>
        <v>figure</v>
      </c>
      <c r="Q154" t="s">
        <v>15</v>
      </c>
    </row>
    <row r="155" spans="1:17" x14ac:dyDescent="0.25">
      <c r="A155">
        <v>154</v>
      </c>
      <c r="B155">
        <v>154</v>
      </c>
      <c r="C155" t="s">
        <v>16</v>
      </c>
      <c r="D155" t="s">
        <v>17</v>
      </c>
      <c r="E155" t="s">
        <v>18</v>
      </c>
      <c r="F155" t="s">
        <v>19</v>
      </c>
      <c r="G155" t="s">
        <v>108</v>
      </c>
      <c r="H155" t="s">
        <v>21</v>
      </c>
      <c r="I155" t="s">
        <v>24</v>
      </c>
      <c r="J155" t="s">
        <v>148</v>
      </c>
      <c r="K155" t="s">
        <v>23</v>
      </c>
      <c r="L155">
        <v>496</v>
      </c>
      <c r="M155" s="10">
        <v>14.6717127</v>
      </c>
      <c r="N155" s="10">
        <v>70.60983387792875</v>
      </c>
      <c r="O155" s="10">
        <v>-0.35359574413203271</v>
      </c>
      <c r="P155" s="1" t="str">
        <f>HYPERLINK(".\sm_car_250819_0008\sm_car_250819_0008_154_Ca154TrN_MaLSS_DrSt_ode23t_1.png","figure")</f>
        <v>figure</v>
      </c>
      <c r="Q155" t="s">
        <v>15</v>
      </c>
    </row>
    <row r="156" spans="1:17" x14ac:dyDescent="0.25">
      <c r="A156">
        <v>155</v>
      </c>
      <c r="B156">
        <v>155</v>
      </c>
      <c r="C156" t="s">
        <v>16</v>
      </c>
      <c r="D156" t="s">
        <v>17</v>
      </c>
      <c r="E156" t="s">
        <v>18</v>
      </c>
      <c r="F156" t="s">
        <v>19</v>
      </c>
      <c r="G156" t="s">
        <v>62</v>
      </c>
      <c r="H156" t="s">
        <v>21</v>
      </c>
      <c r="I156" t="s">
        <v>24</v>
      </c>
      <c r="J156" t="s">
        <v>148</v>
      </c>
      <c r="K156" t="s">
        <v>23</v>
      </c>
      <c r="L156">
        <v>557</v>
      </c>
      <c r="M156" s="10">
        <v>17.531812899999998</v>
      </c>
      <c r="N156" s="10">
        <v>70.46702992573249</v>
      </c>
      <c r="O156" s="10">
        <v>-0.83646545291369834</v>
      </c>
      <c r="P156" s="1" t="str">
        <f>HYPERLINK(".\sm_car_250819_0008\sm_car_250819_0008_155_Ca155TrN_MaLSS_DrSt_ode23t_1.png","figure")</f>
        <v>figure</v>
      </c>
      <c r="Q156" t="s">
        <v>15</v>
      </c>
    </row>
    <row r="157" spans="1:17" x14ac:dyDescent="0.25">
      <c r="A157">
        <v>156</v>
      </c>
      <c r="B157">
        <v>4</v>
      </c>
      <c r="C157" t="s">
        <v>16</v>
      </c>
      <c r="D157" t="s">
        <v>17</v>
      </c>
      <c r="E157" t="s">
        <v>18</v>
      </c>
      <c r="F157" t="s">
        <v>28</v>
      </c>
      <c r="G157" t="s">
        <v>20</v>
      </c>
      <c r="H157" t="s">
        <v>21</v>
      </c>
      <c r="I157" t="s">
        <v>22</v>
      </c>
      <c r="J157" t="s">
        <v>148</v>
      </c>
      <c r="K157" t="s">
        <v>63</v>
      </c>
      <c r="L157">
        <v>3247</v>
      </c>
      <c r="M157" s="10">
        <v>8.6291867999999994</v>
      </c>
      <c r="N157" s="10">
        <v>230.12391720383511</v>
      </c>
      <c r="O157" s="10">
        <v>-2.7189243063187834E-3</v>
      </c>
      <c r="P157" s="1" t="str">
        <f>HYPERLINK(".\sm_car_250819_0008\sm_car_250819_0008_156_Ca004TrN_MaWOT_DrSt_ode3_1.png","figure")</f>
        <v>figure</v>
      </c>
      <c r="Q157" t="s">
        <v>15</v>
      </c>
    </row>
    <row r="158" spans="1:17" x14ac:dyDescent="0.25">
      <c r="A158">
        <v>157</v>
      </c>
      <c r="B158">
        <v>4</v>
      </c>
      <c r="C158" t="s">
        <v>16</v>
      </c>
      <c r="D158" t="s">
        <v>17</v>
      </c>
      <c r="E158" t="s">
        <v>18</v>
      </c>
      <c r="F158" t="s">
        <v>28</v>
      </c>
      <c r="G158" t="s">
        <v>20</v>
      </c>
      <c r="H158" t="s">
        <v>21</v>
      </c>
      <c r="I158" t="s">
        <v>24</v>
      </c>
      <c r="J158" t="s">
        <v>148</v>
      </c>
      <c r="K158" t="s">
        <v>63</v>
      </c>
      <c r="L158">
        <v>2564</v>
      </c>
      <c r="M158" s="10">
        <v>7.0094567999999997</v>
      </c>
      <c r="N158" s="10">
        <v>70.877460182998419</v>
      </c>
      <c r="O158" s="10">
        <v>-0.53377971206600749</v>
      </c>
      <c r="P158" s="1" t="str">
        <f>HYPERLINK(".\sm_car_250819_0008\sm_car_250819_0008_157_Ca004TrN_MaLSS_DrSt_ode3_1.png","figure")</f>
        <v>figure</v>
      </c>
      <c r="Q158" t="s">
        <v>15</v>
      </c>
    </row>
    <row r="159" spans="1:17" x14ac:dyDescent="0.25">
      <c r="A159">
        <v>158</v>
      </c>
      <c r="B159">
        <v>4</v>
      </c>
      <c r="C159" t="s">
        <v>16</v>
      </c>
      <c r="D159" t="s">
        <v>17</v>
      </c>
      <c r="E159" t="s">
        <v>18</v>
      </c>
      <c r="F159" t="s">
        <v>28</v>
      </c>
      <c r="G159" t="s">
        <v>20</v>
      </c>
      <c r="H159" t="s">
        <v>21</v>
      </c>
      <c r="I159" t="s">
        <v>64</v>
      </c>
      <c r="J159" t="s">
        <v>148</v>
      </c>
      <c r="K159" t="s">
        <v>63</v>
      </c>
      <c r="L159">
        <v>2562</v>
      </c>
      <c r="M159" s="10">
        <v>6.8214975999999998</v>
      </c>
      <c r="N159" s="10">
        <v>63.517181713594383</v>
      </c>
      <c r="O159" s="10">
        <v>-24.808510944630196</v>
      </c>
      <c r="P159" s="1" t="str">
        <f>HYPERLINK(".\sm_car_250819_0008\sm_car_250819_0008_158_Ca004TrN_MaTUR_DrSt_ode3_1.png","figure")</f>
        <v>figure</v>
      </c>
      <c r="Q159" t="s">
        <v>15</v>
      </c>
    </row>
    <row r="160" spans="1:17" x14ac:dyDescent="0.25">
      <c r="A160">
        <v>159</v>
      </c>
      <c r="B160">
        <v>116</v>
      </c>
      <c r="C160" t="s">
        <v>16</v>
      </c>
      <c r="D160" t="s">
        <v>35</v>
      </c>
      <c r="E160" t="s">
        <v>18</v>
      </c>
      <c r="F160" t="s">
        <v>28</v>
      </c>
      <c r="G160" t="s">
        <v>20</v>
      </c>
      <c r="H160" t="s">
        <v>21</v>
      </c>
      <c r="I160" t="s">
        <v>22</v>
      </c>
      <c r="J160" t="s">
        <v>148</v>
      </c>
      <c r="K160" t="s">
        <v>63</v>
      </c>
      <c r="L160">
        <v>3244</v>
      </c>
      <c r="M160" s="10">
        <v>4.1162042000000003</v>
      </c>
      <c r="N160" s="10">
        <v>242.69607452341987</v>
      </c>
      <c r="O160" s="10">
        <v>0.23635446031101723</v>
      </c>
      <c r="P160" s="1" t="str">
        <f>HYPERLINK(".\sm_car_250819_0008\sm_car_250819_0008_159_Ca116TrN_MaWOT_DrSt_ode3_1.png","figure")</f>
        <v>figure</v>
      </c>
      <c r="Q160" t="s">
        <v>15</v>
      </c>
    </row>
    <row r="161" spans="1:17" x14ac:dyDescent="0.25">
      <c r="A161">
        <v>160</v>
      </c>
      <c r="B161">
        <v>116</v>
      </c>
      <c r="C161" t="s">
        <v>16</v>
      </c>
      <c r="D161" t="s">
        <v>35</v>
      </c>
      <c r="E161" t="s">
        <v>18</v>
      </c>
      <c r="F161" t="s">
        <v>28</v>
      </c>
      <c r="G161" t="s">
        <v>20</v>
      </c>
      <c r="H161" t="s">
        <v>21</v>
      </c>
      <c r="I161" t="s">
        <v>24</v>
      </c>
      <c r="J161" t="s">
        <v>148</v>
      </c>
      <c r="K161" t="s">
        <v>63</v>
      </c>
      <c r="L161">
        <v>2564</v>
      </c>
      <c r="M161" s="10">
        <v>3.1439066000000002</v>
      </c>
      <c r="N161" s="10">
        <v>74.657190781644118</v>
      </c>
      <c r="O161" s="10">
        <v>-0.34075824439014252</v>
      </c>
      <c r="P161" s="1" t="str">
        <f>HYPERLINK(".\sm_car_250819_0008\sm_car_250819_0008_160_Ca116TrN_MaLSS_DrSt_ode3_1.png","figure")</f>
        <v>figure</v>
      </c>
      <c r="Q161" t="s">
        <v>15</v>
      </c>
    </row>
    <row r="162" spans="1:17" x14ac:dyDescent="0.25">
      <c r="A162">
        <v>161</v>
      </c>
      <c r="B162">
        <v>116</v>
      </c>
      <c r="C162" t="s">
        <v>16</v>
      </c>
      <c r="D162" t="s">
        <v>35</v>
      </c>
      <c r="E162" t="s">
        <v>18</v>
      </c>
      <c r="F162" t="s">
        <v>28</v>
      </c>
      <c r="G162" t="s">
        <v>20</v>
      </c>
      <c r="H162" t="s">
        <v>21</v>
      </c>
      <c r="I162" t="s">
        <v>64</v>
      </c>
      <c r="J162" t="s">
        <v>148</v>
      </c>
      <c r="K162" t="s">
        <v>63</v>
      </c>
      <c r="L162">
        <v>2563</v>
      </c>
      <c r="M162" s="10">
        <v>3.49804</v>
      </c>
      <c r="N162" s="10">
        <v>71.322015477791922</v>
      </c>
      <c r="O162" s="10">
        <v>-17.59032913116118</v>
      </c>
      <c r="P162" s="1" t="str">
        <f>HYPERLINK(".\sm_car_250819_0008\sm_car_250819_0008_161_Ca116TrN_MaTUR_DrSt_ode3_1.png","figure")</f>
        <v>figure</v>
      </c>
      <c r="Q162" t="s">
        <v>15</v>
      </c>
    </row>
    <row r="163" spans="1:17" x14ac:dyDescent="0.25">
      <c r="A163">
        <v>162</v>
      </c>
      <c r="B163">
        <v>124</v>
      </c>
      <c r="C163" t="s">
        <v>16</v>
      </c>
      <c r="D163" t="s">
        <v>35</v>
      </c>
      <c r="E163" t="s">
        <v>49</v>
      </c>
      <c r="F163" t="s">
        <v>28</v>
      </c>
      <c r="G163" t="s">
        <v>20</v>
      </c>
      <c r="H163" t="s">
        <v>21</v>
      </c>
      <c r="I163" t="s">
        <v>22</v>
      </c>
      <c r="J163" t="s">
        <v>148</v>
      </c>
      <c r="K163" t="s">
        <v>63</v>
      </c>
      <c r="L163">
        <v>3244</v>
      </c>
      <c r="M163" s="10">
        <v>2.2268108</v>
      </c>
      <c r="N163" s="10">
        <v>242.87242715534217</v>
      </c>
      <c r="O163" s="10">
        <v>0.2361586465591097</v>
      </c>
      <c r="P163" s="1" t="str">
        <f>HYPERLINK(".\sm_car_250819_0008\sm_car_250819_0008_162_Ca124TrN_MaWOT_DrSt_ode3_1.png","figure")</f>
        <v>figure</v>
      </c>
      <c r="Q163" t="s">
        <v>15</v>
      </c>
    </row>
    <row r="164" spans="1:17" x14ac:dyDescent="0.25">
      <c r="A164">
        <v>163</v>
      </c>
      <c r="B164">
        <v>124</v>
      </c>
      <c r="C164" t="s">
        <v>16</v>
      </c>
      <c r="D164" t="s">
        <v>35</v>
      </c>
      <c r="E164" t="s">
        <v>49</v>
      </c>
      <c r="F164" t="s">
        <v>28</v>
      </c>
      <c r="G164" t="s">
        <v>20</v>
      </c>
      <c r="H164" t="s">
        <v>21</v>
      </c>
      <c r="I164" t="s">
        <v>24</v>
      </c>
      <c r="J164" t="s">
        <v>148</v>
      </c>
      <c r="K164" t="s">
        <v>63</v>
      </c>
      <c r="L164">
        <v>2565</v>
      </c>
      <c r="M164" s="10">
        <v>1.9005890000000001</v>
      </c>
      <c r="N164" s="10">
        <v>74.796106047599494</v>
      </c>
      <c r="O164" s="10">
        <v>-0.34233746651595126</v>
      </c>
      <c r="P164" s="1" t="str">
        <f>HYPERLINK(".\sm_car_250819_0008\sm_car_250819_0008_163_Ca124TrN_MaLSS_DrSt_ode3_1.png","figure")</f>
        <v>figure</v>
      </c>
      <c r="Q164" t="s">
        <v>15</v>
      </c>
    </row>
    <row r="165" spans="1:17" x14ac:dyDescent="0.25">
      <c r="A165">
        <v>164</v>
      </c>
      <c r="B165">
        <v>124</v>
      </c>
      <c r="C165" t="s">
        <v>16</v>
      </c>
      <c r="D165" t="s">
        <v>35</v>
      </c>
      <c r="E165" t="s">
        <v>49</v>
      </c>
      <c r="F165" t="s">
        <v>28</v>
      </c>
      <c r="G165" t="s">
        <v>20</v>
      </c>
      <c r="H165" t="s">
        <v>21</v>
      </c>
      <c r="I165" t="s">
        <v>64</v>
      </c>
      <c r="J165" t="s">
        <v>148</v>
      </c>
      <c r="K165" t="s">
        <v>63</v>
      </c>
      <c r="L165">
        <v>2564</v>
      </c>
      <c r="M165" s="10">
        <v>1.7703952000000001</v>
      </c>
      <c r="N165" s="10">
        <v>71.447408139703882</v>
      </c>
      <c r="O165" s="10">
        <v>-17.636376353758354</v>
      </c>
      <c r="P165" s="1" t="str">
        <f>HYPERLINK(".\sm_car_250819_0008\sm_car_250819_0008_164_Ca124TrN_MaTUR_DrSt_ode3_1.png","figure")</f>
        <v>figure</v>
      </c>
      <c r="Q165" t="s">
        <v>15</v>
      </c>
    </row>
    <row r="166" spans="1:17" x14ac:dyDescent="0.25">
      <c r="A166">
        <v>165</v>
      </c>
      <c r="B166">
        <v>141</v>
      </c>
      <c r="C166" t="s">
        <v>45</v>
      </c>
      <c r="D166" t="s">
        <v>17</v>
      </c>
      <c r="E166" t="s">
        <v>18</v>
      </c>
      <c r="F166" t="s">
        <v>28</v>
      </c>
      <c r="G166" t="s">
        <v>26</v>
      </c>
      <c r="H166" t="s">
        <v>21</v>
      </c>
      <c r="I166" t="s">
        <v>22</v>
      </c>
      <c r="J166" t="s">
        <v>148</v>
      </c>
      <c r="K166" t="s">
        <v>63</v>
      </c>
      <c r="L166">
        <v>3839</v>
      </c>
      <c r="M166" s="10">
        <v>11.543617299999999</v>
      </c>
      <c r="N166" s="10">
        <v>402.3086467361619</v>
      </c>
      <c r="O166" s="10">
        <v>1.6315172649289178</v>
      </c>
      <c r="P166" s="1" t="str">
        <f>HYPERLINK(".\sm_car_250819_0008\sm_car_250819_0008_165_Ca141TrN_MaWOT_DrSt_ode3_1.png","figure")</f>
        <v>figure</v>
      </c>
      <c r="Q166" t="s">
        <v>15</v>
      </c>
    </row>
    <row r="167" spans="1:17" x14ac:dyDescent="0.25">
      <c r="A167">
        <v>166</v>
      </c>
      <c r="B167">
        <v>141</v>
      </c>
      <c r="C167" t="s">
        <v>45</v>
      </c>
      <c r="D167" t="s">
        <v>17</v>
      </c>
      <c r="E167" t="s">
        <v>18</v>
      </c>
      <c r="F167" t="s">
        <v>28</v>
      </c>
      <c r="G167" t="s">
        <v>26</v>
      </c>
      <c r="H167" t="s">
        <v>21</v>
      </c>
      <c r="I167" t="s">
        <v>24</v>
      </c>
      <c r="J167" t="s">
        <v>148</v>
      </c>
      <c r="K167" t="s">
        <v>63</v>
      </c>
      <c r="L167">
        <v>3192</v>
      </c>
      <c r="M167" s="10">
        <v>10.095138</v>
      </c>
      <c r="N167" s="10">
        <v>153.16112811043706</v>
      </c>
      <c r="O167" s="10">
        <v>-0.57358606081031227</v>
      </c>
      <c r="P167" s="1" t="str">
        <f>HYPERLINK(".\sm_car_250819_0008\sm_car_250819_0008_166_Ca141TrN_MaLSS_DrSt_ode3_1.png","figure")</f>
        <v>figure</v>
      </c>
      <c r="Q167" t="s">
        <v>15</v>
      </c>
    </row>
    <row r="168" spans="1:17" x14ac:dyDescent="0.25">
      <c r="A168">
        <v>167</v>
      </c>
      <c r="B168">
        <v>141</v>
      </c>
      <c r="C168" t="s">
        <v>45</v>
      </c>
      <c r="D168" t="s">
        <v>17</v>
      </c>
      <c r="E168" t="s">
        <v>18</v>
      </c>
      <c r="F168" t="s">
        <v>28</v>
      </c>
      <c r="G168" t="s">
        <v>26</v>
      </c>
      <c r="H168" t="s">
        <v>21</v>
      </c>
      <c r="I168" t="s">
        <v>64</v>
      </c>
      <c r="J168" t="s">
        <v>148</v>
      </c>
      <c r="K168" t="s">
        <v>63</v>
      </c>
      <c r="L168">
        <v>3161</v>
      </c>
      <c r="M168" s="10">
        <v>9.8190833000000008</v>
      </c>
      <c r="N168" s="10">
        <v>98.197141883149385</v>
      </c>
      <c r="O168" s="10">
        <v>-86.467118588251893</v>
      </c>
      <c r="P168" s="1" t="str">
        <f>HYPERLINK(".\sm_car_250819_0008\sm_car_250819_0008_167_Ca141TrN_MaTUR_DrSt_ode3_1.png","figure")</f>
        <v>figure</v>
      </c>
      <c r="Q168" t="s">
        <v>15</v>
      </c>
    </row>
    <row r="169" spans="1:17" x14ac:dyDescent="0.25">
      <c r="A169">
        <v>168</v>
      </c>
      <c r="B169">
        <v>145</v>
      </c>
      <c r="C169" t="s">
        <v>46</v>
      </c>
      <c r="D169" t="s">
        <v>17</v>
      </c>
      <c r="E169" t="s">
        <v>50</v>
      </c>
      <c r="F169" t="s">
        <v>19</v>
      </c>
      <c r="G169" t="s">
        <v>26</v>
      </c>
      <c r="H169" t="s">
        <v>21</v>
      </c>
      <c r="I169" t="s">
        <v>22</v>
      </c>
      <c r="J169" t="s">
        <v>148</v>
      </c>
      <c r="K169" t="s">
        <v>63</v>
      </c>
      <c r="L169">
        <v>2641</v>
      </c>
      <c r="M169" s="10">
        <v>7.1188304999999996</v>
      </c>
      <c r="N169" s="10">
        <v>62.800910540515559</v>
      </c>
      <c r="O169" s="10">
        <v>1.2917832202050079E-2</v>
      </c>
      <c r="P169" s="1" t="str">
        <f>HYPERLINK(".\sm_car_250819_0008\sm_car_250819_0008_168_Ca145TrN_MaWOT_DrSt_ode3_1.png","figure")</f>
        <v>figure</v>
      </c>
      <c r="Q169" t="s">
        <v>15</v>
      </c>
    </row>
    <row r="170" spans="1:17" x14ac:dyDescent="0.25">
      <c r="A170">
        <v>169</v>
      </c>
      <c r="B170">
        <v>145</v>
      </c>
      <c r="C170" t="s">
        <v>46</v>
      </c>
      <c r="D170" t="s">
        <v>17</v>
      </c>
      <c r="E170" t="s">
        <v>50</v>
      </c>
      <c r="F170" t="s">
        <v>19</v>
      </c>
      <c r="G170" t="s">
        <v>26</v>
      </c>
      <c r="H170" t="s">
        <v>21</v>
      </c>
      <c r="I170" t="s">
        <v>24</v>
      </c>
      <c r="J170" t="s">
        <v>148</v>
      </c>
      <c r="K170" t="s">
        <v>63</v>
      </c>
      <c r="L170">
        <v>2383</v>
      </c>
      <c r="M170" s="10">
        <v>6.2477600999999998</v>
      </c>
      <c r="N170" s="10">
        <v>25.300132166901456</v>
      </c>
      <c r="O170" s="10">
        <v>-5.097733361304882E-2</v>
      </c>
      <c r="P170" s="1" t="str">
        <f>HYPERLINK(".\sm_car_250819_0008\sm_car_250819_0008_169_Ca145TrN_MaLSS_DrSt_ode3_1.png","figure")</f>
        <v>figure</v>
      </c>
      <c r="Q170" t="s">
        <v>15</v>
      </c>
    </row>
    <row r="171" spans="1:17" x14ac:dyDescent="0.25">
      <c r="A171">
        <v>170</v>
      </c>
      <c r="B171">
        <v>145</v>
      </c>
      <c r="C171" t="s">
        <v>46</v>
      </c>
      <c r="D171" t="s">
        <v>17</v>
      </c>
      <c r="E171" t="s">
        <v>50</v>
      </c>
      <c r="F171" t="s">
        <v>19</v>
      </c>
      <c r="G171" t="s">
        <v>26</v>
      </c>
      <c r="H171" t="s">
        <v>21</v>
      </c>
      <c r="I171" t="s">
        <v>64</v>
      </c>
      <c r="J171" t="s">
        <v>148</v>
      </c>
      <c r="K171" t="s">
        <v>63</v>
      </c>
      <c r="L171">
        <v>2381</v>
      </c>
      <c r="M171" s="10">
        <v>6.4360330000000001</v>
      </c>
      <c r="N171" s="10">
        <v>25.120681006764457</v>
      </c>
      <c r="O171" s="10">
        <v>-2.6102218965548429</v>
      </c>
      <c r="P171" s="1" t="str">
        <f>HYPERLINK(".\sm_car_250819_0008\sm_car_250819_0008_170_Ca145TrN_MaTUR_DrSt_ode3_1.png","figure")</f>
        <v>figure</v>
      </c>
      <c r="Q171" t="s">
        <v>15</v>
      </c>
    </row>
    <row r="172" spans="1:17" x14ac:dyDescent="0.25">
      <c r="A172">
        <v>171</v>
      </c>
      <c r="B172">
        <v>199</v>
      </c>
      <c r="C172" t="s">
        <v>46</v>
      </c>
      <c r="D172" t="s">
        <v>17</v>
      </c>
      <c r="E172" t="s">
        <v>109</v>
      </c>
      <c r="F172" t="s">
        <v>19</v>
      </c>
      <c r="G172" t="s">
        <v>26</v>
      </c>
      <c r="H172" t="s">
        <v>21</v>
      </c>
      <c r="I172" t="s">
        <v>22</v>
      </c>
      <c r="J172" t="s">
        <v>148</v>
      </c>
      <c r="K172" t="s">
        <v>63</v>
      </c>
      <c r="L172">
        <v>2647</v>
      </c>
      <c r="M172" s="10">
        <v>7.8716203</v>
      </c>
      <c r="N172" s="10">
        <v>63.48001673727822</v>
      </c>
      <c r="O172" s="10">
        <v>-7.3619758685258905E-5</v>
      </c>
      <c r="P172" s="1" t="str">
        <f>HYPERLINK(".\sm_car_250819_0008\sm_car_250819_0008_171_Ca199TrN_MaWOT_DrSt_ode3_1.png","figure")</f>
        <v>figure</v>
      </c>
      <c r="Q172" t="s">
        <v>15</v>
      </c>
    </row>
    <row r="173" spans="1:17" x14ac:dyDescent="0.25">
      <c r="A173">
        <v>172</v>
      </c>
      <c r="B173">
        <v>199</v>
      </c>
      <c r="C173" t="s">
        <v>46</v>
      </c>
      <c r="D173" t="s">
        <v>17</v>
      </c>
      <c r="E173" t="s">
        <v>109</v>
      </c>
      <c r="F173" t="s">
        <v>19</v>
      </c>
      <c r="G173" t="s">
        <v>26</v>
      </c>
      <c r="H173" t="s">
        <v>21</v>
      </c>
      <c r="I173" t="s">
        <v>24</v>
      </c>
      <c r="J173" t="s">
        <v>148</v>
      </c>
      <c r="K173" t="s">
        <v>63</v>
      </c>
      <c r="L173">
        <v>2385</v>
      </c>
      <c r="M173" s="10">
        <v>6.8354768999999997</v>
      </c>
      <c r="N173" s="10">
        <v>25.919530857830136</v>
      </c>
      <c r="O173" s="10">
        <v>-5.378821615555672E-2</v>
      </c>
      <c r="P173" s="1" t="str">
        <f>HYPERLINK(".\sm_car_250819_0008\sm_car_250819_0008_172_Ca199TrN_MaLSS_DrSt_ode3_1.png","figure")</f>
        <v>figure</v>
      </c>
      <c r="Q173" t="s">
        <v>15</v>
      </c>
    </row>
    <row r="174" spans="1:17" x14ac:dyDescent="0.25">
      <c r="A174">
        <v>173</v>
      </c>
      <c r="B174">
        <v>199</v>
      </c>
      <c r="C174" t="s">
        <v>46</v>
      </c>
      <c r="D174" t="s">
        <v>17</v>
      </c>
      <c r="E174" t="s">
        <v>109</v>
      </c>
      <c r="F174" t="s">
        <v>19</v>
      </c>
      <c r="G174" t="s">
        <v>26</v>
      </c>
      <c r="H174" t="s">
        <v>21</v>
      </c>
      <c r="I174" t="s">
        <v>64</v>
      </c>
      <c r="J174" t="s">
        <v>148</v>
      </c>
      <c r="K174" t="s">
        <v>63</v>
      </c>
      <c r="L174">
        <v>2384</v>
      </c>
      <c r="M174" s="10">
        <v>6.7042270000000004</v>
      </c>
      <c r="N174" s="10">
        <v>25.734126782305804</v>
      </c>
      <c r="O174" s="10">
        <v>-2.6938230537996364</v>
      </c>
      <c r="P174" s="1" t="str">
        <f>HYPERLINK(".\sm_car_250819_0008\sm_car_250819_0008_173_Ca199TrN_MaTUR_DrSt_ode3_1.png","figure")</f>
        <v>figure</v>
      </c>
      <c r="Q174" t="s">
        <v>15</v>
      </c>
    </row>
    <row r="175" spans="1:17" x14ac:dyDescent="0.25">
      <c r="A175">
        <v>174</v>
      </c>
      <c r="B175">
        <v>139</v>
      </c>
      <c r="C175" t="s">
        <v>45</v>
      </c>
      <c r="D175" t="s">
        <v>17</v>
      </c>
      <c r="E175" t="s">
        <v>18</v>
      </c>
      <c r="F175" t="s">
        <v>19</v>
      </c>
      <c r="G175" t="s">
        <v>26</v>
      </c>
      <c r="H175" t="s">
        <v>21</v>
      </c>
      <c r="I175" t="s">
        <v>53</v>
      </c>
      <c r="J175" t="s">
        <v>148</v>
      </c>
      <c r="K175" t="s">
        <v>23</v>
      </c>
      <c r="L175">
        <v>556</v>
      </c>
      <c r="M175" s="10">
        <v>12.496511099999999</v>
      </c>
      <c r="N175" s="10">
        <v>255.05507338546505</v>
      </c>
      <c r="O175" s="10">
        <v>-7.8834669645377886E-3</v>
      </c>
      <c r="P175" s="1" t="str">
        <f>HYPERLINK(".\sm_car_250819_0008\sm_car_250819_0008_174_Ca139TrN_MaDLC_DrSt_ode23t_1.png","figure")</f>
        <v>figure</v>
      </c>
      <c r="Q175" t="s">
        <v>15</v>
      </c>
    </row>
    <row r="176" spans="1:17" x14ac:dyDescent="0.25">
      <c r="A176">
        <v>175</v>
      </c>
      <c r="B176">
        <v>139</v>
      </c>
      <c r="C176" t="s">
        <v>45</v>
      </c>
      <c r="D176" t="s">
        <v>17</v>
      </c>
      <c r="E176" t="s">
        <v>18</v>
      </c>
      <c r="F176" t="s">
        <v>19</v>
      </c>
      <c r="G176" t="s">
        <v>26</v>
      </c>
      <c r="H176" t="s">
        <v>65</v>
      </c>
      <c r="I176" t="s">
        <v>53</v>
      </c>
      <c r="J176" t="s">
        <v>148</v>
      </c>
      <c r="K176" t="s">
        <v>23</v>
      </c>
      <c r="L176">
        <v>889</v>
      </c>
      <c r="M176" s="10">
        <v>31.674364000000001</v>
      </c>
      <c r="N176" s="10">
        <v>253.18981647136951</v>
      </c>
      <c r="O176" s="10">
        <v>0.16055310524904609</v>
      </c>
      <c r="P176" s="1" t="str">
        <f>HYPERLINK(".\sm_car_250819_0008\sm_car_250819_0008_175_Ca139TrE_MaDLC_DrSt_ode23t_1.png","figure")</f>
        <v>figure</v>
      </c>
      <c r="Q176" t="s">
        <v>15</v>
      </c>
    </row>
    <row r="177" spans="1:17" x14ac:dyDescent="0.25">
      <c r="A177">
        <v>176</v>
      </c>
      <c r="B177">
        <v>139</v>
      </c>
      <c r="C177" t="s">
        <v>45</v>
      </c>
      <c r="D177" t="s">
        <v>17</v>
      </c>
      <c r="E177" t="s">
        <v>18</v>
      </c>
      <c r="F177" t="s">
        <v>19</v>
      </c>
      <c r="G177" t="s">
        <v>26</v>
      </c>
      <c r="H177" t="s">
        <v>66</v>
      </c>
      <c r="I177" t="s">
        <v>53</v>
      </c>
      <c r="J177" t="s">
        <v>148</v>
      </c>
      <c r="K177" t="s">
        <v>23</v>
      </c>
      <c r="L177">
        <v>999</v>
      </c>
      <c r="M177" s="10">
        <v>37.640477699999998</v>
      </c>
      <c r="N177" s="10">
        <v>255.99966724533726</v>
      </c>
      <c r="O177" s="10">
        <v>-6.9732142719325374E-3</v>
      </c>
      <c r="P177" s="1" t="str">
        <f>HYPERLINK(".\sm_car_250819_0008\sm_car_250819_0008_176_Ca139TrT_MaDLC_DrSt_ode23t_1.png","figure")</f>
        <v>figure</v>
      </c>
      <c r="Q177" t="s">
        <v>15</v>
      </c>
    </row>
    <row r="178" spans="1:17" x14ac:dyDescent="0.25">
      <c r="A178">
        <v>177</v>
      </c>
      <c r="B178">
        <v>139</v>
      </c>
      <c r="C178" t="s">
        <v>45</v>
      </c>
      <c r="D178" t="s">
        <v>17</v>
      </c>
      <c r="E178" t="s">
        <v>18</v>
      </c>
      <c r="F178" t="s">
        <v>19</v>
      </c>
      <c r="G178" t="s">
        <v>26</v>
      </c>
      <c r="H178" t="s">
        <v>65</v>
      </c>
      <c r="I178" t="s">
        <v>53</v>
      </c>
      <c r="J178" t="s">
        <v>148</v>
      </c>
      <c r="K178" t="s">
        <v>23</v>
      </c>
      <c r="L178">
        <v>795</v>
      </c>
      <c r="M178" s="10">
        <v>21.323948099999999</v>
      </c>
      <c r="N178" s="10">
        <v>253.80098247056242</v>
      </c>
      <c r="O178" s="10">
        <v>9.7405908839283128E-3</v>
      </c>
      <c r="P178" s="1" t="str">
        <f>HYPERLINK(".\sm_car_250819_0008\sm_car_250819_0008_177_Ca139TrE_MaDLC_DrSt_ode23t_1.png","figure")</f>
        <v>figure</v>
      </c>
      <c r="Q178" t="s">
        <v>15</v>
      </c>
    </row>
    <row r="179" spans="1:17" x14ac:dyDescent="0.25">
      <c r="A179">
        <v>178</v>
      </c>
      <c r="B179">
        <v>2</v>
      </c>
      <c r="C179" t="s">
        <v>16</v>
      </c>
      <c r="D179" t="s">
        <v>17</v>
      </c>
      <c r="E179" t="s">
        <v>18</v>
      </c>
      <c r="F179" t="s">
        <v>19</v>
      </c>
      <c r="G179" t="s">
        <v>26</v>
      </c>
      <c r="H179" t="s">
        <v>21</v>
      </c>
      <c r="I179" t="s">
        <v>53</v>
      </c>
      <c r="J179" t="s">
        <v>148</v>
      </c>
      <c r="K179" t="s">
        <v>23</v>
      </c>
      <c r="L179">
        <v>523</v>
      </c>
      <c r="M179" s="10">
        <v>9.3493505999999993</v>
      </c>
      <c r="N179" s="10">
        <v>253.37972765129274</v>
      </c>
      <c r="O179" s="10">
        <v>4.6984542987775768E-2</v>
      </c>
      <c r="P179" s="1" t="str">
        <f>HYPERLINK(".\sm_car_250819_0008\sm_car_250819_0008_178_Ca002TrN_MaDLC_DrSt_ode23t_1.png","figure")</f>
        <v>figure</v>
      </c>
      <c r="Q179" t="s">
        <v>15</v>
      </c>
    </row>
    <row r="180" spans="1:17" x14ac:dyDescent="0.25">
      <c r="A180">
        <v>179</v>
      </c>
      <c r="B180">
        <v>2</v>
      </c>
      <c r="C180" t="s">
        <v>16</v>
      </c>
      <c r="D180" t="s">
        <v>17</v>
      </c>
      <c r="E180" t="s">
        <v>18</v>
      </c>
      <c r="F180" t="s">
        <v>19</v>
      </c>
      <c r="G180" t="s">
        <v>26</v>
      </c>
      <c r="H180" t="s">
        <v>65</v>
      </c>
      <c r="I180" t="s">
        <v>53</v>
      </c>
      <c r="J180" t="s">
        <v>148</v>
      </c>
      <c r="K180" t="s">
        <v>23</v>
      </c>
      <c r="L180">
        <v>576</v>
      </c>
      <c r="M180" s="10">
        <v>17.2327336</v>
      </c>
      <c r="N180" s="10">
        <v>254.46553087804165</v>
      </c>
      <c r="O180" s="10">
        <v>4.3517205296981665E-2</v>
      </c>
      <c r="P180" s="1" t="str">
        <f>HYPERLINK(".\sm_car_250819_0008\sm_car_250819_0008_179_Ca002TrE_MaDLC_DrSt_ode23t_1.png","figure")</f>
        <v>figure</v>
      </c>
      <c r="Q180" t="s">
        <v>15</v>
      </c>
    </row>
    <row r="181" spans="1:17" x14ac:dyDescent="0.25">
      <c r="A181">
        <v>180</v>
      </c>
      <c r="B181">
        <v>2</v>
      </c>
      <c r="C181" t="s">
        <v>16</v>
      </c>
      <c r="D181" t="s">
        <v>17</v>
      </c>
      <c r="E181" t="s">
        <v>18</v>
      </c>
      <c r="F181" t="s">
        <v>19</v>
      </c>
      <c r="G181" t="s">
        <v>26</v>
      </c>
      <c r="H181" t="s">
        <v>66</v>
      </c>
      <c r="I181" t="s">
        <v>53</v>
      </c>
      <c r="J181" t="s">
        <v>148</v>
      </c>
      <c r="K181" t="s">
        <v>23</v>
      </c>
      <c r="L181">
        <v>896</v>
      </c>
      <c r="M181" s="10">
        <v>28.6173973</v>
      </c>
      <c r="N181" s="10">
        <v>254.81911529488212</v>
      </c>
      <c r="O181" s="10">
        <v>4.1621502796862053E-2</v>
      </c>
      <c r="P181" s="1" t="str">
        <f>HYPERLINK(".\sm_car_250819_0008\sm_car_250819_0008_180_Ca002TrT_MaDLC_DrSt_ode23t_1.png","figure")</f>
        <v>figure</v>
      </c>
      <c r="Q181" t="s">
        <v>15</v>
      </c>
    </row>
    <row r="182" spans="1:17" x14ac:dyDescent="0.25">
      <c r="A182">
        <v>181</v>
      </c>
      <c r="B182">
        <v>2</v>
      </c>
      <c r="C182" t="s">
        <v>16</v>
      </c>
      <c r="D182" t="s">
        <v>17</v>
      </c>
      <c r="E182" t="s">
        <v>18</v>
      </c>
      <c r="F182" t="s">
        <v>19</v>
      </c>
      <c r="G182" t="s">
        <v>26</v>
      </c>
      <c r="H182" t="s">
        <v>65</v>
      </c>
      <c r="I182" t="s">
        <v>53</v>
      </c>
      <c r="J182" t="s">
        <v>148</v>
      </c>
      <c r="K182" t="s">
        <v>23</v>
      </c>
      <c r="L182">
        <v>572</v>
      </c>
      <c r="M182" s="10">
        <v>12.8000253</v>
      </c>
      <c r="N182" s="10">
        <v>255.33864448700291</v>
      </c>
      <c r="O182" s="10">
        <v>4.0428943518918903E-2</v>
      </c>
      <c r="P182" s="1" t="str">
        <f>HYPERLINK(".\sm_car_250819_0008\sm_car_250819_0008_181_Ca002TrE_MaDLC_DrSt_ode23t_1.png","figure")</f>
        <v>figure</v>
      </c>
      <c r="Q182" t="s">
        <v>15</v>
      </c>
    </row>
    <row r="183" spans="1:17" x14ac:dyDescent="0.25">
      <c r="A183">
        <v>182</v>
      </c>
      <c r="B183">
        <v>145</v>
      </c>
      <c r="C183" t="s">
        <v>46</v>
      </c>
      <c r="D183" t="s">
        <v>17</v>
      </c>
      <c r="E183" t="s">
        <v>50</v>
      </c>
      <c r="F183" t="s">
        <v>19</v>
      </c>
      <c r="G183" t="s">
        <v>26</v>
      </c>
      <c r="H183" t="s">
        <v>21</v>
      </c>
      <c r="I183" t="s">
        <v>53</v>
      </c>
      <c r="J183" t="s">
        <v>148</v>
      </c>
      <c r="K183" t="s">
        <v>23</v>
      </c>
      <c r="L183">
        <v>464</v>
      </c>
      <c r="M183" s="10">
        <v>15.4286724</v>
      </c>
      <c r="N183" s="10">
        <v>255.28779016135792</v>
      </c>
      <c r="O183" s="10">
        <v>6.8415375574617521E-2</v>
      </c>
      <c r="P183" s="1" t="str">
        <f>HYPERLINK(".\sm_car_250819_0008\sm_car_250819_0008_182_Ca145TrN_MaDLC_DrSt_ode23t_1.png","figure")</f>
        <v>figure</v>
      </c>
      <c r="Q183" t="s">
        <v>15</v>
      </c>
    </row>
    <row r="184" spans="1:17" x14ac:dyDescent="0.25">
      <c r="A184">
        <v>183</v>
      </c>
      <c r="B184">
        <v>145</v>
      </c>
      <c r="C184" t="s">
        <v>46</v>
      </c>
      <c r="D184" t="s">
        <v>17</v>
      </c>
      <c r="E184" t="s">
        <v>50</v>
      </c>
      <c r="F184" t="s">
        <v>19</v>
      </c>
      <c r="G184" t="s">
        <v>26</v>
      </c>
      <c r="H184" t="s">
        <v>65</v>
      </c>
      <c r="I184" t="s">
        <v>53</v>
      </c>
      <c r="J184" t="s">
        <v>148</v>
      </c>
      <c r="K184" t="s">
        <v>23</v>
      </c>
      <c r="L184">
        <v>575</v>
      </c>
      <c r="M184" s="10">
        <v>30.9364174</v>
      </c>
      <c r="N184" s="10">
        <v>253.18940683327173</v>
      </c>
      <c r="O184" s="10">
        <v>7.9218085624853884E-2</v>
      </c>
      <c r="P184" s="1" t="str">
        <f>HYPERLINK(".\sm_car_250819_0008\sm_car_250819_0008_183_Ca145TrE_MaDLC_DrSt_ode23t_1.png","figure")</f>
        <v>figure</v>
      </c>
      <c r="Q184" t="s">
        <v>15</v>
      </c>
    </row>
    <row r="185" spans="1:17" x14ac:dyDescent="0.25">
      <c r="A185">
        <v>184</v>
      </c>
      <c r="B185">
        <v>145</v>
      </c>
      <c r="C185" t="s">
        <v>46</v>
      </c>
      <c r="D185" t="s">
        <v>17</v>
      </c>
      <c r="E185" t="s">
        <v>50</v>
      </c>
      <c r="F185" t="s">
        <v>19</v>
      </c>
      <c r="G185" t="s">
        <v>26</v>
      </c>
      <c r="H185" t="s">
        <v>66</v>
      </c>
      <c r="I185" t="s">
        <v>53</v>
      </c>
      <c r="J185" t="s">
        <v>148</v>
      </c>
      <c r="K185" t="s">
        <v>23</v>
      </c>
      <c r="L185">
        <v>821</v>
      </c>
      <c r="M185" s="10">
        <v>48.810915100000003</v>
      </c>
      <c r="N185" s="10">
        <v>253.82295099909237</v>
      </c>
      <c r="O185" s="10">
        <v>7.5677056862414549E-2</v>
      </c>
      <c r="P185" s="1" t="str">
        <f>HYPERLINK(".\sm_car_250819_0008\sm_car_250819_0008_184_Ca145TrT_MaDLC_DrSt_ode23t_1.png","figure")</f>
        <v>figure</v>
      </c>
      <c r="Q185" t="s">
        <v>15</v>
      </c>
    </row>
    <row r="186" spans="1:17" x14ac:dyDescent="0.25">
      <c r="A186">
        <v>185</v>
      </c>
      <c r="B186">
        <v>145</v>
      </c>
      <c r="C186" t="s">
        <v>46</v>
      </c>
      <c r="D186" t="s">
        <v>17</v>
      </c>
      <c r="E186" t="s">
        <v>50</v>
      </c>
      <c r="F186" t="s">
        <v>19</v>
      </c>
      <c r="G186" t="s">
        <v>26</v>
      </c>
      <c r="H186" t="s">
        <v>65</v>
      </c>
      <c r="I186" t="s">
        <v>53</v>
      </c>
      <c r="J186" t="s">
        <v>148</v>
      </c>
      <c r="K186" t="s">
        <v>23</v>
      </c>
      <c r="L186">
        <v>582</v>
      </c>
      <c r="M186" s="10">
        <v>25.776274000000001</v>
      </c>
      <c r="N186" s="10">
        <v>255.92160357683224</v>
      </c>
      <c r="O186" s="10">
        <v>6.6290448986210837E-2</v>
      </c>
      <c r="P186" s="1" t="str">
        <f>HYPERLINK(".\sm_car_250819_0008\sm_car_250819_0008_185_Ca145TrE_MaDLC_DrSt_ode23t_1.png","figure")</f>
        <v>figure</v>
      </c>
      <c r="Q186" t="s">
        <v>15</v>
      </c>
    </row>
    <row r="187" spans="1:17" x14ac:dyDescent="0.25">
      <c r="A187">
        <v>186</v>
      </c>
      <c r="B187">
        <v>199</v>
      </c>
      <c r="C187" t="s">
        <v>46</v>
      </c>
      <c r="D187" t="s">
        <v>17</v>
      </c>
      <c r="E187" t="s">
        <v>109</v>
      </c>
      <c r="F187" t="s">
        <v>19</v>
      </c>
      <c r="G187" t="s">
        <v>26</v>
      </c>
      <c r="H187" t="s">
        <v>21</v>
      </c>
      <c r="I187" t="s">
        <v>53</v>
      </c>
      <c r="J187" t="s">
        <v>148</v>
      </c>
      <c r="K187" t="s">
        <v>23</v>
      </c>
      <c r="L187">
        <v>460</v>
      </c>
      <c r="M187" s="10">
        <v>6.4912650000000003</v>
      </c>
      <c r="N187" s="10">
        <v>255.92488857811145</v>
      </c>
      <c r="O187" s="10">
        <v>6.581746077970152E-2</v>
      </c>
      <c r="P187" s="1" t="str">
        <f>HYPERLINK(".\sm_car_250819_0008\sm_car_250819_0008_186_Ca199TrN_MaDLC_DrSt_ode23t_1.png","figure")</f>
        <v>figure</v>
      </c>
      <c r="Q187" t="s">
        <v>15</v>
      </c>
    </row>
    <row r="188" spans="1:17" x14ac:dyDescent="0.25">
      <c r="A188">
        <v>187</v>
      </c>
      <c r="B188">
        <v>199</v>
      </c>
      <c r="C188" t="s">
        <v>46</v>
      </c>
      <c r="D188" t="s">
        <v>17</v>
      </c>
      <c r="E188" t="s">
        <v>109</v>
      </c>
      <c r="F188" t="s">
        <v>19</v>
      </c>
      <c r="G188" t="s">
        <v>26</v>
      </c>
      <c r="H188" t="s">
        <v>65</v>
      </c>
      <c r="I188" t="s">
        <v>53</v>
      </c>
      <c r="J188" t="s">
        <v>148</v>
      </c>
      <c r="K188" t="s">
        <v>23</v>
      </c>
      <c r="L188">
        <v>578</v>
      </c>
      <c r="M188" s="10">
        <v>16.643435199999999</v>
      </c>
      <c r="N188" s="10">
        <v>255.42046438808785</v>
      </c>
      <c r="O188" s="10">
        <v>6.8616052968871077E-2</v>
      </c>
      <c r="P188" s="1" t="str">
        <f>HYPERLINK(".\sm_car_250819_0008\sm_car_250819_0008_187_Ca199TrE_MaDLC_DrSt_ode23t_1.png","figure")</f>
        <v>figure</v>
      </c>
      <c r="Q188" t="s">
        <v>15</v>
      </c>
    </row>
    <row r="189" spans="1:17" x14ac:dyDescent="0.25">
      <c r="A189">
        <v>188</v>
      </c>
      <c r="B189">
        <v>199</v>
      </c>
      <c r="C189" t="s">
        <v>46</v>
      </c>
      <c r="D189" t="s">
        <v>17</v>
      </c>
      <c r="E189" t="s">
        <v>109</v>
      </c>
      <c r="F189" t="s">
        <v>19</v>
      </c>
      <c r="G189" t="s">
        <v>26</v>
      </c>
      <c r="H189" t="s">
        <v>66</v>
      </c>
      <c r="I189" t="s">
        <v>53</v>
      </c>
      <c r="J189" t="s">
        <v>148</v>
      </c>
      <c r="K189" t="s">
        <v>23</v>
      </c>
      <c r="L189">
        <v>4938</v>
      </c>
      <c r="M189" s="10">
        <v>352.40618219999999</v>
      </c>
      <c r="N189" s="10">
        <v>254.73755397058443</v>
      </c>
      <c r="O189" s="10">
        <v>7.1138552534791177E-2</v>
      </c>
      <c r="P189" s="1" t="str">
        <f>HYPERLINK(".\sm_car_250819_0008\sm_car_250819_0008_188_Ca199TrT_MaDLC_DrSt_ode23t_1.png","figure")</f>
        <v>figure</v>
      </c>
      <c r="Q189" t="s">
        <v>15</v>
      </c>
    </row>
    <row r="190" spans="1:17" x14ac:dyDescent="0.25">
      <c r="A190">
        <v>189</v>
      </c>
      <c r="B190">
        <v>199</v>
      </c>
      <c r="C190" t="s">
        <v>46</v>
      </c>
      <c r="D190" t="s">
        <v>17</v>
      </c>
      <c r="E190" t="s">
        <v>109</v>
      </c>
      <c r="F190" t="s">
        <v>19</v>
      </c>
      <c r="G190" t="s">
        <v>26</v>
      </c>
      <c r="H190" t="s">
        <v>65</v>
      </c>
      <c r="I190" t="s">
        <v>53</v>
      </c>
      <c r="J190" t="s">
        <v>148</v>
      </c>
      <c r="K190" t="s">
        <v>23</v>
      </c>
      <c r="L190">
        <v>575</v>
      </c>
      <c r="M190" s="10">
        <v>11.4993844</v>
      </c>
      <c r="N190" s="10">
        <v>255.4295444827132</v>
      </c>
      <c r="O190" s="10">
        <v>6.8602120633093566E-2</v>
      </c>
      <c r="P190" s="1" t="str">
        <f>HYPERLINK(".\sm_car_250819_0008\sm_car_250819_0008_189_Ca199TrE_MaDLC_DrSt_ode23t_1.png","figure")</f>
        <v>figure</v>
      </c>
      <c r="Q190" t="s">
        <v>15</v>
      </c>
    </row>
    <row r="191" spans="1:17" x14ac:dyDescent="0.25">
      <c r="A191">
        <v>190</v>
      </c>
      <c r="B191">
        <v>189</v>
      </c>
      <c r="C191" t="s">
        <v>45</v>
      </c>
      <c r="D191" t="s">
        <v>17</v>
      </c>
      <c r="E191" t="s">
        <v>107</v>
      </c>
      <c r="F191" t="s">
        <v>19</v>
      </c>
      <c r="G191" t="s">
        <v>26</v>
      </c>
      <c r="H191" t="s">
        <v>65</v>
      </c>
      <c r="I191" t="s">
        <v>67</v>
      </c>
      <c r="J191" t="s">
        <v>148</v>
      </c>
      <c r="K191" t="s">
        <v>23</v>
      </c>
      <c r="L191">
        <v>402</v>
      </c>
      <c r="M191" s="10">
        <v>11.0685374</v>
      </c>
      <c r="N191" s="10">
        <v>264.58224329344364</v>
      </c>
      <c r="O191" s="10">
        <v>1.3495740005500245E-3</v>
      </c>
      <c r="P191" s="1" t="str">
        <f>HYPERLINK(".\sm_car_250819_0008\sm_car_250819_0008_190_Ca189TrE_MaTRD_DrSt_ode23t_1.png","figure")</f>
        <v>figure</v>
      </c>
      <c r="Q191" t="s">
        <v>15</v>
      </c>
    </row>
    <row r="192" spans="1:17" x14ac:dyDescent="0.25">
      <c r="A192">
        <v>191</v>
      </c>
      <c r="B192">
        <v>189</v>
      </c>
      <c r="C192" t="s">
        <v>45</v>
      </c>
      <c r="D192" t="s">
        <v>17</v>
      </c>
      <c r="E192" t="s">
        <v>107</v>
      </c>
      <c r="F192" t="s">
        <v>19</v>
      </c>
      <c r="G192" t="s">
        <v>26</v>
      </c>
      <c r="H192" t="s">
        <v>65</v>
      </c>
      <c r="I192" t="s">
        <v>67</v>
      </c>
      <c r="J192" t="s">
        <v>148</v>
      </c>
      <c r="K192" t="s">
        <v>23</v>
      </c>
      <c r="L192">
        <v>568</v>
      </c>
      <c r="M192" s="10">
        <v>14.218222600000001</v>
      </c>
      <c r="N192" s="10">
        <v>264.4380898946867</v>
      </c>
      <c r="O192" s="10">
        <v>-7.322374100849327E-2</v>
      </c>
      <c r="P192" s="1" t="str">
        <f>HYPERLINK(".\sm_car_250819_0008\sm_car_250819_0008_191_Ca189TrU_MaTRD_DrSt_ode23t_1.png","figure")</f>
        <v>figure</v>
      </c>
      <c r="Q192" t="s">
        <v>15</v>
      </c>
    </row>
    <row r="193" spans="1:17" x14ac:dyDescent="0.25">
      <c r="A193">
        <v>192</v>
      </c>
      <c r="B193">
        <v>149</v>
      </c>
      <c r="C193" t="s">
        <v>46</v>
      </c>
      <c r="D193" t="s">
        <v>17</v>
      </c>
      <c r="E193" t="s">
        <v>68</v>
      </c>
      <c r="F193" t="s">
        <v>19</v>
      </c>
      <c r="G193" t="s">
        <v>26</v>
      </c>
      <c r="H193" t="s">
        <v>21</v>
      </c>
      <c r="I193" t="s">
        <v>69</v>
      </c>
      <c r="J193" t="s">
        <v>148</v>
      </c>
      <c r="K193" t="s">
        <v>23</v>
      </c>
      <c r="L193">
        <v>674</v>
      </c>
      <c r="M193" s="10">
        <v>8.8458076000000005</v>
      </c>
      <c r="N193" s="10">
        <v>-5.8051000590464419E-3</v>
      </c>
      <c r="O193" s="10">
        <v>-4.0257958394901427E-4</v>
      </c>
      <c r="P193" s="1" t="str">
        <f>HYPERLINK(".\sm_car_250819_0008\sm_car_250819_0008_192_Ca149TrN_MaPST_DrSt_ode23t_1.png","figure")</f>
        <v>figure</v>
      </c>
      <c r="Q193" t="s">
        <v>15</v>
      </c>
    </row>
    <row r="194" spans="1:17" x14ac:dyDescent="0.25">
      <c r="A194">
        <v>193</v>
      </c>
      <c r="B194">
        <v>139</v>
      </c>
      <c r="C194" t="s">
        <v>45</v>
      </c>
      <c r="D194" t="s">
        <v>17</v>
      </c>
      <c r="E194" t="s">
        <v>18</v>
      </c>
      <c r="F194" t="s">
        <v>19</v>
      </c>
      <c r="G194" t="s">
        <v>26</v>
      </c>
      <c r="H194" t="s">
        <v>21</v>
      </c>
      <c r="I194" t="s">
        <v>70</v>
      </c>
      <c r="J194" t="s">
        <v>148</v>
      </c>
      <c r="K194" t="s">
        <v>23</v>
      </c>
      <c r="L194">
        <v>1549</v>
      </c>
      <c r="M194" s="10">
        <v>34.463840099999999</v>
      </c>
      <c r="N194" s="10">
        <v>36.419995745153834</v>
      </c>
      <c r="O194" s="10">
        <v>0.23128541214383799</v>
      </c>
      <c r="P194" s="1" t="str">
        <f>HYPERLINK(".\sm_car_250819_0008\sm_car_250819_0008_193_Ca139TrN_MaSKD_DrSt_ode23t_1.png","figure")</f>
        <v>figure</v>
      </c>
      <c r="Q194" t="s">
        <v>15</v>
      </c>
    </row>
    <row r="195" spans="1:17" x14ac:dyDescent="0.25">
      <c r="A195">
        <v>194</v>
      </c>
      <c r="B195">
        <v>139</v>
      </c>
      <c r="C195" t="s">
        <v>45</v>
      </c>
      <c r="D195" t="s">
        <v>17</v>
      </c>
      <c r="E195" t="s">
        <v>18</v>
      </c>
      <c r="F195" t="s">
        <v>19</v>
      </c>
      <c r="G195" t="s">
        <v>26</v>
      </c>
      <c r="H195" t="s">
        <v>21</v>
      </c>
      <c r="I195" t="s">
        <v>71</v>
      </c>
      <c r="J195" t="s">
        <v>148</v>
      </c>
      <c r="K195" t="s">
        <v>23</v>
      </c>
      <c r="L195">
        <v>824</v>
      </c>
      <c r="M195" s="10">
        <v>19.461785599999999</v>
      </c>
      <c r="N195" s="10">
        <v>-1.3601724142411342E-3</v>
      </c>
      <c r="O195" s="10">
        <v>20.567295940649295</v>
      </c>
      <c r="P195" s="1" t="str">
        <f>HYPERLINK(".\sm_car_250819_0008\sm_car_250819_0008_194_Ca139TrN_MaRAD_DrSt_ode23t_1.png","figure")</f>
        <v>figure</v>
      </c>
      <c r="Q195" t="s">
        <v>15</v>
      </c>
    </row>
    <row r="196" spans="1:17" x14ac:dyDescent="0.25">
      <c r="A196">
        <v>195</v>
      </c>
      <c r="B196">
        <v>184</v>
      </c>
      <c r="C196" t="s">
        <v>105</v>
      </c>
      <c r="D196" t="s">
        <v>120</v>
      </c>
      <c r="E196" t="s">
        <v>49</v>
      </c>
      <c r="F196" t="s">
        <v>19</v>
      </c>
      <c r="G196" t="s">
        <v>20</v>
      </c>
      <c r="H196" t="s">
        <v>21</v>
      </c>
      <c r="I196" t="s">
        <v>70</v>
      </c>
      <c r="J196" t="s">
        <v>148</v>
      </c>
      <c r="K196" t="s">
        <v>23</v>
      </c>
      <c r="L196">
        <v>1317</v>
      </c>
      <c r="M196" s="10">
        <v>46.645729000000003</v>
      </c>
      <c r="N196" s="10">
        <v>36.443109010693945</v>
      </c>
      <c r="O196" s="10">
        <v>0.1601184171461276</v>
      </c>
      <c r="P196" s="1" t="str">
        <f>HYPERLINK(".\sm_car_250819_0008\sm_car_250819_0008_195_Ca184TrN_MaSKD_DrSt_ode23t_1.png","figure")</f>
        <v>figure</v>
      </c>
      <c r="Q196" t="s">
        <v>15</v>
      </c>
    </row>
    <row r="197" spans="1:17" x14ac:dyDescent="0.25">
      <c r="A197">
        <v>196</v>
      </c>
      <c r="B197">
        <v>184</v>
      </c>
      <c r="C197" t="s">
        <v>105</v>
      </c>
      <c r="D197" t="s">
        <v>120</v>
      </c>
      <c r="E197" t="s">
        <v>49</v>
      </c>
      <c r="F197" t="s">
        <v>19</v>
      </c>
      <c r="G197" t="s">
        <v>20</v>
      </c>
      <c r="H197" t="s">
        <v>21</v>
      </c>
      <c r="I197" t="s">
        <v>71</v>
      </c>
      <c r="J197" t="s">
        <v>148</v>
      </c>
      <c r="K197" t="s">
        <v>23</v>
      </c>
      <c r="L197">
        <v>637</v>
      </c>
      <c r="M197" s="10">
        <v>22.168278699999998</v>
      </c>
      <c r="N197" s="10">
        <v>7.4816507501322675</v>
      </c>
      <c r="O197" s="10">
        <v>10.377818260095081</v>
      </c>
      <c r="P197" s="1" t="str">
        <f>HYPERLINK(".\sm_car_250819_0008\sm_car_250819_0008_196_Ca184TrN_MaRAD_DrSt_ode23t_1.png","figure")</f>
        <v>figure</v>
      </c>
      <c r="Q197" t="s">
        <v>15</v>
      </c>
    </row>
    <row r="198" spans="1:17" x14ac:dyDescent="0.25">
      <c r="A198">
        <v>197</v>
      </c>
      <c r="B198">
        <v>228</v>
      </c>
      <c r="C198" t="s">
        <v>160</v>
      </c>
      <c r="D198" t="s">
        <v>35</v>
      </c>
      <c r="E198" t="s">
        <v>107</v>
      </c>
      <c r="F198" t="s">
        <v>19</v>
      </c>
      <c r="G198" t="s">
        <v>26</v>
      </c>
      <c r="H198" t="s">
        <v>21</v>
      </c>
      <c r="I198" t="s">
        <v>70</v>
      </c>
      <c r="J198" t="s">
        <v>148</v>
      </c>
      <c r="K198" t="s">
        <v>23</v>
      </c>
      <c r="L198">
        <v>1680</v>
      </c>
      <c r="M198" s="10">
        <v>6.8802555999999999</v>
      </c>
      <c r="N198" s="10">
        <v>36.415807731488435</v>
      </c>
      <c r="O198" s="10">
        <v>0.57940986063886524</v>
      </c>
      <c r="P198" s="1" t="str">
        <f>HYPERLINK(".\sm_car_250819_0008\sm_car_250819_0008_197_Ca228TrN_MaSKD_DrSt_ode23t_1.png","figure")</f>
        <v>figure</v>
      </c>
      <c r="Q198" t="s">
        <v>15</v>
      </c>
    </row>
    <row r="199" spans="1:17" x14ac:dyDescent="0.25">
      <c r="A199">
        <v>198</v>
      </c>
      <c r="B199">
        <v>228</v>
      </c>
      <c r="C199" t="s">
        <v>160</v>
      </c>
      <c r="D199" t="s">
        <v>35</v>
      </c>
      <c r="E199" t="s">
        <v>107</v>
      </c>
      <c r="F199" t="s">
        <v>19</v>
      </c>
      <c r="G199" t="s">
        <v>26</v>
      </c>
      <c r="H199" t="s">
        <v>21</v>
      </c>
      <c r="I199" t="s">
        <v>71</v>
      </c>
      <c r="J199" t="s">
        <v>148</v>
      </c>
      <c r="K199" t="s">
        <v>23</v>
      </c>
      <c r="L199">
        <v>750</v>
      </c>
      <c r="M199" s="10">
        <v>3.8303634999999998</v>
      </c>
      <c r="N199" s="10">
        <v>6.9885211456680985</v>
      </c>
      <c r="O199" s="10">
        <v>19.412374299955552</v>
      </c>
      <c r="P199" s="1" t="str">
        <f>HYPERLINK(".\sm_car_250819_0008\sm_car_250819_0008_198_Ca228TrN_MaRAD_DrSt_ode23t_1.png","figure")</f>
        <v>figure</v>
      </c>
      <c r="Q199" t="s">
        <v>15</v>
      </c>
    </row>
    <row r="200" spans="1:17" x14ac:dyDescent="0.25">
      <c r="A200">
        <v>199</v>
      </c>
      <c r="B200">
        <v>230</v>
      </c>
      <c r="C200" t="s">
        <v>160</v>
      </c>
      <c r="D200" t="s">
        <v>161</v>
      </c>
      <c r="E200" t="s">
        <v>162</v>
      </c>
      <c r="F200" t="s">
        <v>19</v>
      </c>
      <c r="G200" t="s">
        <v>26</v>
      </c>
      <c r="H200" t="s">
        <v>21</v>
      </c>
      <c r="I200" t="s">
        <v>70</v>
      </c>
      <c r="J200" t="s">
        <v>148</v>
      </c>
      <c r="K200" t="s">
        <v>23</v>
      </c>
      <c r="L200">
        <v>1375</v>
      </c>
      <c r="M200" s="10">
        <v>24.570678999999998</v>
      </c>
      <c r="N200" s="10">
        <v>36.537552283661611</v>
      </c>
      <c r="O200" s="10">
        <v>0.18562378818615047</v>
      </c>
      <c r="P200" s="1" t="str">
        <f>HYPERLINK(".\sm_car_250819_0008\sm_car_250819_0008_199_Ca230TrN_MaSKD_DrSt_ode23t_1.png","figure")</f>
        <v>figure</v>
      </c>
      <c r="Q200" t="s">
        <v>15</v>
      </c>
    </row>
    <row r="201" spans="1:17" x14ac:dyDescent="0.25">
      <c r="A201">
        <v>200</v>
      </c>
      <c r="B201">
        <v>230</v>
      </c>
      <c r="C201" t="s">
        <v>160</v>
      </c>
      <c r="D201" t="s">
        <v>161</v>
      </c>
      <c r="E201" t="s">
        <v>162</v>
      </c>
      <c r="F201" t="s">
        <v>19</v>
      </c>
      <c r="G201" t="s">
        <v>26</v>
      </c>
      <c r="H201" t="s">
        <v>21</v>
      </c>
      <c r="I201" t="s">
        <v>71</v>
      </c>
      <c r="J201" t="s">
        <v>148</v>
      </c>
      <c r="K201" t="s">
        <v>23</v>
      </c>
      <c r="L201">
        <v>701</v>
      </c>
      <c r="M201" s="10">
        <v>12.8211674</v>
      </c>
      <c r="N201" s="10">
        <v>5.4383085085794676</v>
      </c>
      <c r="O201" s="10">
        <v>14.26814636627212</v>
      </c>
      <c r="P201" s="1" t="str">
        <f>HYPERLINK(".\sm_car_250819_0008\sm_car_250819_0008_200_Ca230TrN_MaRAD_DrSt_ode23t_1.png","figure")</f>
        <v>figure</v>
      </c>
      <c r="Q201" t="s">
        <v>15</v>
      </c>
    </row>
    <row r="202" spans="1:17" x14ac:dyDescent="0.25">
      <c r="A202">
        <v>201</v>
      </c>
      <c r="B202">
        <v>198</v>
      </c>
      <c r="C202" t="s">
        <v>105</v>
      </c>
      <c r="D202" t="s">
        <v>120</v>
      </c>
      <c r="E202" t="s">
        <v>107</v>
      </c>
      <c r="F202" t="s">
        <v>19</v>
      </c>
      <c r="G202" t="s">
        <v>20</v>
      </c>
      <c r="H202" t="s">
        <v>21</v>
      </c>
      <c r="I202" t="s">
        <v>70</v>
      </c>
      <c r="J202" t="s">
        <v>148</v>
      </c>
      <c r="K202" t="s">
        <v>23</v>
      </c>
      <c r="L202">
        <v>1401</v>
      </c>
      <c r="M202" s="10">
        <v>28.579899300000001</v>
      </c>
      <c r="N202" s="10">
        <v>36.3691650041484</v>
      </c>
      <c r="O202" s="10">
        <v>0.16202272545372895</v>
      </c>
      <c r="P202" s="1" t="str">
        <f>HYPERLINK(".\sm_car_250819_0008\sm_car_250819_0008_201_Ca198TrN_MaSKD_DrSt_ode23t_1.png","figure")</f>
        <v>figure</v>
      </c>
      <c r="Q202" t="s">
        <v>15</v>
      </c>
    </row>
    <row r="203" spans="1:17" x14ac:dyDescent="0.25">
      <c r="A203">
        <v>202</v>
      </c>
      <c r="B203">
        <v>198</v>
      </c>
      <c r="C203" t="s">
        <v>105</v>
      </c>
      <c r="D203" t="s">
        <v>120</v>
      </c>
      <c r="E203" t="s">
        <v>107</v>
      </c>
      <c r="F203" t="s">
        <v>19</v>
      </c>
      <c r="G203" t="s">
        <v>20</v>
      </c>
      <c r="H203" t="s">
        <v>21</v>
      </c>
      <c r="I203" t="s">
        <v>71</v>
      </c>
      <c r="J203" t="s">
        <v>148</v>
      </c>
      <c r="K203" t="s">
        <v>23</v>
      </c>
      <c r="L203">
        <v>685</v>
      </c>
      <c r="M203" s="10">
        <v>14.012093999999999</v>
      </c>
      <c r="N203" s="10">
        <v>7.5235895965044257</v>
      </c>
      <c r="O203" s="10">
        <v>10.293901527350551</v>
      </c>
      <c r="P203" s="1" t="str">
        <f>HYPERLINK(".\sm_car_250819_0008\sm_car_250819_0008_202_Ca198TrN_MaRAD_DrSt_ode23t_1.png","figure")</f>
        <v>figure</v>
      </c>
      <c r="Q203" t="s">
        <v>15</v>
      </c>
    </row>
    <row r="204" spans="1:17" x14ac:dyDescent="0.25">
      <c r="A204">
        <v>203</v>
      </c>
      <c r="B204">
        <v>189</v>
      </c>
      <c r="C204" t="s">
        <v>45</v>
      </c>
      <c r="D204" t="s">
        <v>17</v>
      </c>
      <c r="E204" t="s">
        <v>107</v>
      </c>
      <c r="F204" t="s">
        <v>19</v>
      </c>
      <c r="G204" t="s">
        <v>26</v>
      </c>
      <c r="H204" t="s">
        <v>21</v>
      </c>
      <c r="I204" t="s">
        <v>132</v>
      </c>
      <c r="J204" t="s">
        <v>148</v>
      </c>
      <c r="K204" t="s">
        <v>23</v>
      </c>
      <c r="L204">
        <v>573</v>
      </c>
      <c r="M204" s="10">
        <v>9.1040706999999994</v>
      </c>
      <c r="N204" s="10">
        <v>137.70166448938784</v>
      </c>
      <c r="O204" s="10">
        <v>-12.951746000276993</v>
      </c>
      <c r="P204" s="1" t="str">
        <f>HYPERLINK(".\sm_car_250819_0008\sm_car_250819_0008_203_Ca189TrN_MaFSH_DrSt_ode23t_1.png","figure")</f>
        <v>figure</v>
      </c>
      <c r="Q204" t="s">
        <v>15</v>
      </c>
    </row>
    <row r="205" spans="1:17" x14ac:dyDescent="0.25">
      <c r="A205">
        <v>204</v>
      </c>
      <c r="B205">
        <v>189</v>
      </c>
      <c r="C205" t="s">
        <v>45</v>
      </c>
      <c r="D205" t="s">
        <v>17</v>
      </c>
      <c r="E205" t="s">
        <v>107</v>
      </c>
      <c r="F205" t="s">
        <v>19</v>
      </c>
      <c r="G205" t="s">
        <v>26</v>
      </c>
      <c r="H205" t="s">
        <v>21</v>
      </c>
      <c r="I205" t="s">
        <v>133</v>
      </c>
      <c r="J205" t="s">
        <v>148</v>
      </c>
      <c r="K205" t="s">
        <v>23</v>
      </c>
      <c r="L205">
        <v>436</v>
      </c>
      <c r="M205" s="10">
        <v>6.6428703999999996</v>
      </c>
      <c r="N205" s="10">
        <v>129.5052822145708</v>
      </c>
      <c r="O205" s="10">
        <v>-8.8096853891408031</v>
      </c>
      <c r="P205" s="1" t="str">
        <f>HYPERLINK(".\sm_car_250819_0008\sm_car_250819_0008_204_Ca189TrN_MaSWD_DrSt_ode23t_1.png","figure")</f>
        <v>figure</v>
      </c>
      <c r="Q205" t="s">
        <v>15</v>
      </c>
    </row>
    <row r="206" spans="1:17" x14ac:dyDescent="0.25">
      <c r="A206">
        <v>205</v>
      </c>
      <c r="B206">
        <v>189</v>
      </c>
      <c r="C206" t="s">
        <v>45</v>
      </c>
      <c r="D206" t="s">
        <v>17</v>
      </c>
      <c r="E206" t="s">
        <v>107</v>
      </c>
      <c r="F206" t="s">
        <v>19</v>
      </c>
      <c r="G206" t="s">
        <v>26</v>
      </c>
      <c r="H206" t="s">
        <v>21</v>
      </c>
      <c r="I206" t="s">
        <v>134</v>
      </c>
      <c r="J206" t="s">
        <v>148</v>
      </c>
      <c r="K206" t="s">
        <v>23</v>
      </c>
      <c r="L206">
        <v>445</v>
      </c>
      <c r="M206" s="10">
        <v>8.4431977000000007</v>
      </c>
      <c r="N206" s="10">
        <v>113.3801558254886</v>
      </c>
      <c r="O206" s="10">
        <v>17.941820902876703</v>
      </c>
      <c r="P206" s="1" t="str">
        <f>HYPERLINK(".\sm_car_250819_0008\sm_car_250819_0008_205_Ca189TrN_MaRST_DrSt_ode23t_1.png","figure")</f>
        <v>figure</v>
      </c>
      <c r="Q206" t="s">
        <v>15</v>
      </c>
    </row>
    <row r="207" spans="1:17" x14ac:dyDescent="0.25">
      <c r="A207">
        <v>206</v>
      </c>
      <c r="B207">
        <v>189</v>
      </c>
      <c r="C207" t="s">
        <v>45</v>
      </c>
      <c r="D207" t="s">
        <v>17</v>
      </c>
      <c r="E207" t="s">
        <v>107</v>
      </c>
      <c r="F207" t="s">
        <v>19</v>
      </c>
      <c r="G207" t="s">
        <v>26</v>
      </c>
      <c r="H207" t="s">
        <v>21</v>
      </c>
      <c r="I207" t="s">
        <v>135</v>
      </c>
      <c r="J207" t="s">
        <v>148</v>
      </c>
      <c r="K207" t="s">
        <v>23</v>
      </c>
      <c r="L207">
        <v>596</v>
      </c>
      <c r="M207" s="10">
        <v>18.8222244</v>
      </c>
      <c r="N207" s="10">
        <v>224.04360699301071</v>
      </c>
      <c r="O207" s="10">
        <v>0.10747075273204745</v>
      </c>
      <c r="P207" s="1" t="str">
        <f>HYPERLINK(".\sm_car_250819_0008\sm_car_250819_0008_206_Ca189TrN_MaSLA_DrSt_ode23t_1.png","figure")</f>
        <v>figure</v>
      </c>
      <c r="Q207" t="s">
        <v>15</v>
      </c>
    </row>
    <row r="208" spans="1:17" x14ac:dyDescent="0.25">
      <c r="A208">
        <v>207</v>
      </c>
      <c r="B208">
        <v>218</v>
      </c>
      <c r="C208" t="s">
        <v>16</v>
      </c>
      <c r="D208" t="s">
        <v>128</v>
      </c>
      <c r="E208" t="s">
        <v>107</v>
      </c>
      <c r="F208" t="s">
        <v>19</v>
      </c>
      <c r="G208" t="s">
        <v>26</v>
      </c>
      <c r="H208" t="s">
        <v>21</v>
      </c>
      <c r="I208" t="s">
        <v>132</v>
      </c>
      <c r="J208" t="s">
        <v>148</v>
      </c>
      <c r="K208" t="s">
        <v>23</v>
      </c>
      <c r="L208">
        <v>572</v>
      </c>
      <c r="M208" s="10">
        <v>7.9207013000000002</v>
      </c>
      <c r="N208" s="10">
        <v>102.01961188005879</v>
      </c>
      <c r="O208" s="10">
        <v>-21.929951668617989</v>
      </c>
      <c r="P208" s="1" t="str">
        <f>HYPERLINK(".\sm_car_250819_0008\sm_car_250819_0008_207_Ca218TrN_MaFSH_DrSt_ode23t_1.png","figure")</f>
        <v>figure</v>
      </c>
      <c r="Q208" t="s">
        <v>15</v>
      </c>
    </row>
    <row r="209" spans="1:17" x14ac:dyDescent="0.25">
      <c r="A209">
        <v>208</v>
      </c>
      <c r="B209">
        <v>218</v>
      </c>
      <c r="C209" t="s">
        <v>16</v>
      </c>
      <c r="D209" t="s">
        <v>128</v>
      </c>
      <c r="E209" t="s">
        <v>107</v>
      </c>
      <c r="F209" t="s">
        <v>19</v>
      </c>
      <c r="G209" t="s">
        <v>26</v>
      </c>
      <c r="H209" t="s">
        <v>21</v>
      </c>
      <c r="I209" t="s">
        <v>133</v>
      </c>
      <c r="J209" t="s">
        <v>148</v>
      </c>
      <c r="K209" t="s">
        <v>23</v>
      </c>
      <c r="L209">
        <v>452</v>
      </c>
      <c r="M209" s="10">
        <v>6.0607711000000002</v>
      </c>
      <c r="N209" s="10">
        <v>136.84009958925125</v>
      </c>
      <c r="O209" s="10">
        <v>-8.9134489178926746</v>
      </c>
      <c r="P209" s="1" t="str">
        <f>HYPERLINK(".\sm_car_250819_0008\sm_car_250819_0008_208_Ca218TrN_MaSWD_DrSt_ode23t_1.png","figure")</f>
        <v>figure</v>
      </c>
      <c r="Q209" t="s">
        <v>15</v>
      </c>
    </row>
    <row r="210" spans="1:17" x14ac:dyDescent="0.25">
      <c r="A210">
        <v>209</v>
      </c>
      <c r="B210">
        <v>218</v>
      </c>
      <c r="C210" t="s">
        <v>16</v>
      </c>
      <c r="D210" t="s">
        <v>128</v>
      </c>
      <c r="E210" t="s">
        <v>107</v>
      </c>
      <c r="F210" t="s">
        <v>19</v>
      </c>
      <c r="G210" t="s">
        <v>26</v>
      </c>
      <c r="H210" t="s">
        <v>21</v>
      </c>
      <c r="I210" t="s">
        <v>134</v>
      </c>
      <c r="J210" t="s">
        <v>148</v>
      </c>
      <c r="K210" t="s">
        <v>23</v>
      </c>
      <c r="L210">
        <v>383</v>
      </c>
      <c r="M210" s="10">
        <v>5.5944130000000003</v>
      </c>
      <c r="N210" s="10">
        <v>102.53247465847821</v>
      </c>
      <c r="O210" s="10">
        <v>29.401306717856503</v>
      </c>
      <c r="P210" s="1" t="str">
        <f>HYPERLINK(".\sm_car_250819_0008\sm_car_250819_0008_209_Ca218TrN_MaRST_DrSt_ode23t_1.png","figure")</f>
        <v>figure</v>
      </c>
      <c r="Q210" t="s">
        <v>15</v>
      </c>
    </row>
    <row r="211" spans="1:17" x14ac:dyDescent="0.25">
      <c r="A211">
        <v>210</v>
      </c>
      <c r="B211">
        <v>218</v>
      </c>
      <c r="C211" t="s">
        <v>16</v>
      </c>
      <c r="D211" t="s">
        <v>128</v>
      </c>
      <c r="E211" t="s">
        <v>107</v>
      </c>
      <c r="F211" t="s">
        <v>19</v>
      </c>
      <c r="G211" t="s">
        <v>26</v>
      </c>
      <c r="H211" t="s">
        <v>21</v>
      </c>
      <c r="I211" t="s">
        <v>135</v>
      </c>
      <c r="J211" t="s">
        <v>148</v>
      </c>
      <c r="K211" t="s">
        <v>23</v>
      </c>
      <c r="L211">
        <v>677</v>
      </c>
      <c r="M211" s="10">
        <v>16.8143046</v>
      </c>
      <c r="N211" s="10">
        <v>222.43842325020231</v>
      </c>
      <c r="O211" s="10">
        <v>0.106027344099868</v>
      </c>
      <c r="P211" s="1" t="str">
        <f>HYPERLINK(".\sm_car_250819_0008\sm_car_250819_0008_210_Ca218TrN_MaSLA_DrSt_ode23t_1.png","figure")</f>
        <v>figure</v>
      </c>
      <c r="Q211" t="s">
        <v>15</v>
      </c>
    </row>
    <row r="212" spans="1:17" x14ac:dyDescent="0.25">
      <c r="A212">
        <v>211</v>
      </c>
      <c r="B212">
        <v>156</v>
      </c>
      <c r="C212" t="s">
        <v>45</v>
      </c>
      <c r="D212" t="s">
        <v>17</v>
      </c>
      <c r="E212" t="s">
        <v>18</v>
      </c>
      <c r="F212" t="s">
        <v>19</v>
      </c>
      <c r="G212" t="s">
        <v>38</v>
      </c>
      <c r="H212" t="s">
        <v>21</v>
      </c>
      <c r="I212" t="s">
        <v>54</v>
      </c>
      <c r="J212" t="s">
        <v>148</v>
      </c>
      <c r="K212" t="s">
        <v>23</v>
      </c>
      <c r="L212">
        <v>25905</v>
      </c>
      <c r="M212" s="10">
        <v>332.58550889999998</v>
      </c>
      <c r="N212" s="10">
        <v>19.289026259146425</v>
      </c>
      <c r="O212" s="10">
        <v>2.7639796752571266</v>
      </c>
      <c r="P212" s="1" t="str">
        <f>HYPERLINK(".\sm_car_250819_0008\sm_car_250819_0008_211_Ca156TrN_MaIPA_DrSt_ode23t.png","figure")</f>
        <v>figure</v>
      </c>
      <c r="Q212" t="s">
        <v>15</v>
      </c>
    </row>
    <row r="213" spans="1:17" x14ac:dyDescent="0.25">
      <c r="A213">
        <v>212</v>
      </c>
      <c r="B213">
        <v>130</v>
      </c>
      <c r="C213" t="s">
        <v>16</v>
      </c>
      <c r="D213" t="s">
        <v>17</v>
      </c>
      <c r="E213" t="s">
        <v>18</v>
      </c>
      <c r="F213" t="s">
        <v>19</v>
      </c>
      <c r="G213" t="s">
        <v>38</v>
      </c>
      <c r="H213" t="s">
        <v>21</v>
      </c>
      <c r="I213" t="s">
        <v>54</v>
      </c>
      <c r="J213" t="s">
        <v>148</v>
      </c>
      <c r="K213" t="s">
        <v>23</v>
      </c>
      <c r="L213">
        <v>17929</v>
      </c>
      <c r="M213" s="10">
        <v>244.75078640000001</v>
      </c>
      <c r="N213" s="10">
        <v>16.20295748789281</v>
      </c>
      <c r="O213" s="10">
        <v>0.55265505557639238</v>
      </c>
      <c r="P213" s="1" t="str">
        <f>HYPERLINK(".\sm_car_250819_0008\sm_car_250819_0008_212_Ca130TrN_MaIPA_DrSt_ode23t.png","figure")</f>
        <v>figure</v>
      </c>
      <c r="Q213" t="s">
        <v>15</v>
      </c>
    </row>
    <row r="214" spans="1:17" x14ac:dyDescent="0.25">
      <c r="A214">
        <v>213</v>
      </c>
      <c r="B214">
        <v>171</v>
      </c>
      <c r="C214" t="s">
        <v>45</v>
      </c>
      <c r="D214" t="s">
        <v>17</v>
      </c>
      <c r="E214" t="s">
        <v>72</v>
      </c>
      <c r="F214" t="s">
        <v>19</v>
      </c>
      <c r="G214" t="s">
        <v>26</v>
      </c>
      <c r="H214" t="s">
        <v>21</v>
      </c>
      <c r="I214" t="s">
        <v>73</v>
      </c>
      <c r="J214" t="s">
        <v>148</v>
      </c>
      <c r="K214" t="s">
        <v>23</v>
      </c>
      <c r="L214">
        <v>1440</v>
      </c>
      <c r="M214" s="10">
        <v>20.608132099999999</v>
      </c>
      <c r="N214" s="10">
        <v>334.34676755659098</v>
      </c>
      <c r="O214" s="10">
        <v>0.71218666008783271</v>
      </c>
      <c r="P214" s="1" t="str">
        <f>HYPERLINK(".\sm_car_250819_0008\sm_car_250819_0008_213_Ca171TrN_MaRDP_DrSt_ode23t_1.png","figure")</f>
        <v>figure</v>
      </c>
      <c r="Q214" t="s">
        <v>15</v>
      </c>
    </row>
    <row r="215" spans="1:17" x14ac:dyDescent="0.25">
      <c r="A215">
        <v>214</v>
      </c>
      <c r="B215">
        <v>172</v>
      </c>
      <c r="C215" t="s">
        <v>46</v>
      </c>
      <c r="D215" t="s">
        <v>17</v>
      </c>
      <c r="E215" t="s">
        <v>72</v>
      </c>
      <c r="F215" t="s">
        <v>19</v>
      </c>
      <c r="G215" t="s">
        <v>26</v>
      </c>
      <c r="H215" t="s">
        <v>21</v>
      </c>
      <c r="I215" t="s">
        <v>73</v>
      </c>
      <c r="J215" t="s">
        <v>148</v>
      </c>
      <c r="K215" t="s">
        <v>23</v>
      </c>
      <c r="L215">
        <v>1241</v>
      </c>
      <c r="M215" s="10">
        <v>11.406147000000001</v>
      </c>
      <c r="N215" s="10">
        <v>135.19143548413589</v>
      </c>
      <c r="O215" s="10">
        <v>3.5638575598208537E-2</v>
      </c>
      <c r="P215" s="1" t="str">
        <f>HYPERLINK(".\sm_car_250819_0008\sm_car_250819_0008_214_Ca172TrN_MaRDP_DrSt_ode23t_1.png","figure")</f>
        <v>figure</v>
      </c>
      <c r="Q215" t="s">
        <v>15</v>
      </c>
    </row>
    <row r="216" spans="1:17" x14ac:dyDescent="0.25">
      <c r="A216">
        <v>215</v>
      </c>
      <c r="B216">
        <v>139</v>
      </c>
      <c r="C216" t="s">
        <v>45</v>
      </c>
      <c r="D216" t="s">
        <v>17</v>
      </c>
      <c r="E216" t="s">
        <v>18</v>
      </c>
      <c r="F216" t="s">
        <v>19</v>
      </c>
      <c r="G216" t="s">
        <v>26</v>
      </c>
      <c r="H216" t="s">
        <v>21</v>
      </c>
      <c r="I216" t="s">
        <v>74</v>
      </c>
      <c r="J216" t="s">
        <v>148</v>
      </c>
      <c r="K216" t="s">
        <v>23</v>
      </c>
      <c r="L216">
        <v>1556</v>
      </c>
      <c r="M216" s="10">
        <v>17.3151723</v>
      </c>
      <c r="N216" s="10">
        <v>361.14332040710161</v>
      </c>
      <c r="O216" s="10">
        <v>0.74966075239966479</v>
      </c>
      <c r="P216" s="1" t="str">
        <f>HYPERLINK(".\sm_car_250819_0008\sm_car_250819_0008_215_Ca139TrN_MaZPL_DrSt_ode23t_1.png","figure")</f>
        <v>figure</v>
      </c>
      <c r="Q216" t="s">
        <v>15</v>
      </c>
    </row>
    <row r="217" spans="1:17" x14ac:dyDescent="0.25">
      <c r="A217">
        <v>216</v>
      </c>
      <c r="B217">
        <v>165</v>
      </c>
      <c r="C217" t="s">
        <v>45</v>
      </c>
      <c r="D217" t="s">
        <v>35</v>
      </c>
      <c r="E217" t="s">
        <v>49</v>
      </c>
      <c r="F217" t="s">
        <v>19</v>
      </c>
      <c r="G217" t="s">
        <v>26</v>
      </c>
      <c r="H217" t="s">
        <v>21</v>
      </c>
      <c r="I217" t="s">
        <v>74</v>
      </c>
      <c r="J217" t="s">
        <v>148</v>
      </c>
      <c r="K217" t="s">
        <v>23</v>
      </c>
      <c r="L217">
        <v>1976</v>
      </c>
      <c r="M217" s="10">
        <v>10.2286658</v>
      </c>
      <c r="N217" s="10">
        <v>397.81959981127983</v>
      </c>
      <c r="O217" s="10">
        <v>0.34068178530904947</v>
      </c>
      <c r="P217" s="1" t="str">
        <f>HYPERLINK(".\sm_car_250819_0008\sm_car_250819_0008_216_Ca165TrN_MaZPL_DrSt_ode23t_1.png","figure")</f>
        <v>figure</v>
      </c>
      <c r="Q217" t="s">
        <v>15</v>
      </c>
    </row>
    <row r="218" spans="1:17" x14ac:dyDescent="0.25">
      <c r="A218">
        <v>217</v>
      </c>
      <c r="B218">
        <v>171</v>
      </c>
      <c r="C218" t="s">
        <v>45</v>
      </c>
      <c r="D218" t="s">
        <v>17</v>
      </c>
      <c r="E218" t="s">
        <v>72</v>
      </c>
      <c r="F218" t="s">
        <v>19</v>
      </c>
      <c r="G218" t="s">
        <v>26</v>
      </c>
      <c r="H218" t="s">
        <v>21</v>
      </c>
      <c r="I218" t="s">
        <v>74</v>
      </c>
      <c r="J218" t="s">
        <v>148</v>
      </c>
      <c r="K218" t="s">
        <v>23</v>
      </c>
      <c r="L218">
        <v>1569</v>
      </c>
      <c r="M218" s="10">
        <v>23.595688599999999</v>
      </c>
      <c r="N218" s="10">
        <v>360.78871834162896</v>
      </c>
      <c r="O218" s="10">
        <v>0.79036448021209094</v>
      </c>
      <c r="P218" s="1" t="str">
        <f>HYPERLINK(".\sm_car_250819_0008\sm_car_250819_0008_217_Ca171TrN_MaZPL_DrSt_ode23t_1.png","figure")</f>
        <v>figure</v>
      </c>
      <c r="Q218" t="s">
        <v>15</v>
      </c>
    </row>
    <row r="219" spans="1:17" x14ac:dyDescent="0.25">
      <c r="A219">
        <v>218</v>
      </c>
      <c r="B219">
        <v>165</v>
      </c>
      <c r="C219" t="s">
        <v>45</v>
      </c>
      <c r="D219" t="s">
        <v>35</v>
      </c>
      <c r="E219" t="s">
        <v>49</v>
      </c>
      <c r="F219" t="s">
        <v>19</v>
      </c>
      <c r="G219" t="s">
        <v>26</v>
      </c>
      <c r="H219" t="s">
        <v>21</v>
      </c>
      <c r="I219" t="s">
        <v>75</v>
      </c>
      <c r="J219" t="s">
        <v>148</v>
      </c>
      <c r="K219" t="s">
        <v>23</v>
      </c>
      <c r="L219">
        <v>482</v>
      </c>
      <c r="M219" s="10">
        <v>4.1236122999999996</v>
      </c>
      <c r="N219" s="10">
        <v>378.51537630856109</v>
      </c>
      <c r="O219" s="10">
        <v>0.32798594555973598</v>
      </c>
      <c r="P219" s="1" t="str">
        <f>HYPERLINK(".\sm_car_250819_0008\sm_car_250819_0008_218_Ca165TrN_MaCPL_DrSt_ode23t_1.png","figure")</f>
        <v>figure</v>
      </c>
      <c r="Q219" t="s">
        <v>15</v>
      </c>
    </row>
    <row r="220" spans="1:17" x14ac:dyDescent="0.25">
      <c r="A220">
        <v>219</v>
      </c>
      <c r="B220">
        <v>170</v>
      </c>
      <c r="C220" t="s">
        <v>45</v>
      </c>
      <c r="D220" t="s">
        <v>35</v>
      </c>
      <c r="E220" t="s">
        <v>49</v>
      </c>
      <c r="F220" t="s">
        <v>19</v>
      </c>
      <c r="G220" t="s">
        <v>20</v>
      </c>
      <c r="H220" t="s">
        <v>21</v>
      </c>
      <c r="I220" t="s">
        <v>75</v>
      </c>
      <c r="J220" t="s">
        <v>148</v>
      </c>
      <c r="K220" t="s">
        <v>23</v>
      </c>
      <c r="L220">
        <v>470</v>
      </c>
      <c r="M220" s="10">
        <v>3.2498635</v>
      </c>
      <c r="N220" s="10">
        <v>381.42969780778117</v>
      </c>
      <c r="O220" s="10">
        <v>0.33424114293474594</v>
      </c>
      <c r="P220" s="1" t="str">
        <f>HYPERLINK(".\sm_car_250819_0008\sm_car_250819_0008_219_Ca170TrN_MaCPL_DrSt_ode23t_1.png","figure")</f>
        <v>figure</v>
      </c>
      <c r="Q220" t="s">
        <v>15</v>
      </c>
    </row>
    <row r="221" spans="1:17" x14ac:dyDescent="0.25">
      <c r="A221">
        <v>220</v>
      </c>
      <c r="B221">
        <v>171</v>
      </c>
      <c r="C221" t="s">
        <v>45</v>
      </c>
      <c r="D221" t="s">
        <v>17</v>
      </c>
      <c r="E221" t="s">
        <v>72</v>
      </c>
      <c r="F221" t="s">
        <v>19</v>
      </c>
      <c r="G221" t="s">
        <v>26</v>
      </c>
      <c r="H221" t="s">
        <v>21</v>
      </c>
      <c r="I221" t="s">
        <v>76</v>
      </c>
      <c r="J221" t="s">
        <v>148</v>
      </c>
      <c r="K221" t="s">
        <v>23</v>
      </c>
      <c r="L221">
        <v>2825</v>
      </c>
      <c r="M221" s="10">
        <v>43.1170391</v>
      </c>
      <c r="N221" s="10">
        <v>165.08286554776183</v>
      </c>
      <c r="O221" s="10">
        <v>1.1059482067826154E-3</v>
      </c>
      <c r="P221" s="1" t="str">
        <f>HYPERLINK(".\sm_car_250819_0008\sm_car_250819_0008_220_Ca171TrN_MaRDR_DrSt_ode23t_1.png","figure")</f>
        <v>figure</v>
      </c>
      <c r="Q221" t="s">
        <v>15</v>
      </c>
    </row>
    <row r="222" spans="1:17" x14ac:dyDescent="0.25">
      <c r="A222">
        <v>221</v>
      </c>
      <c r="B222">
        <v>172</v>
      </c>
      <c r="C222" t="s">
        <v>46</v>
      </c>
      <c r="D222" t="s">
        <v>17</v>
      </c>
      <c r="E222" t="s">
        <v>72</v>
      </c>
      <c r="F222" t="s">
        <v>19</v>
      </c>
      <c r="G222" t="s">
        <v>26</v>
      </c>
      <c r="H222" t="s">
        <v>21</v>
      </c>
      <c r="I222" t="s">
        <v>76</v>
      </c>
      <c r="J222" t="s">
        <v>148</v>
      </c>
      <c r="K222" t="s">
        <v>23</v>
      </c>
      <c r="L222">
        <v>3272</v>
      </c>
      <c r="M222" s="10">
        <v>26.484546999999999</v>
      </c>
      <c r="N222" s="10">
        <v>162.25740444485339</v>
      </c>
      <c r="O222" s="10">
        <v>3.6795376697546921E-4</v>
      </c>
      <c r="P222" s="1" t="str">
        <f>HYPERLINK(".\sm_car_250819_0008\sm_car_250819_0008_221_Ca172TrN_MaRDR_DrSt_ode23t_1.png","figure")</f>
        <v>figure</v>
      </c>
      <c r="Q222" t="s">
        <v>15</v>
      </c>
    </row>
    <row r="223" spans="1:17" x14ac:dyDescent="0.25">
      <c r="A223">
        <v>222</v>
      </c>
      <c r="B223">
        <v>139</v>
      </c>
      <c r="C223" t="s">
        <v>45</v>
      </c>
      <c r="D223" t="s">
        <v>17</v>
      </c>
      <c r="E223" t="s">
        <v>18</v>
      </c>
      <c r="F223" t="s">
        <v>19</v>
      </c>
      <c r="G223" t="s">
        <v>26</v>
      </c>
      <c r="H223" t="s">
        <v>21</v>
      </c>
      <c r="I223" t="s">
        <v>77</v>
      </c>
      <c r="J223" t="s">
        <v>148</v>
      </c>
      <c r="K223" t="s">
        <v>23</v>
      </c>
      <c r="L223">
        <v>2983</v>
      </c>
      <c r="M223" s="10">
        <v>30.565015299999999</v>
      </c>
      <c r="N223" s="10">
        <v>189.28169189584565</v>
      </c>
      <c r="O223" s="10">
        <v>7.0046000835461211E-4</v>
      </c>
      <c r="P223" s="1" t="str">
        <f>HYPERLINK(".\sm_car_250819_0008\sm_car_250819_0008_222_Ca139TrN_MaZRR_DrSt_ode23t_1.png","figure")</f>
        <v>figure</v>
      </c>
      <c r="Q223" t="s">
        <v>15</v>
      </c>
    </row>
    <row r="224" spans="1:17" x14ac:dyDescent="0.25">
      <c r="A224">
        <v>223</v>
      </c>
      <c r="B224">
        <v>165</v>
      </c>
      <c r="C224" t="s">
        <v>45</v>
      </c>
      <c r="D224" t="s">
        <v>35</v>
      </c>
      <c r="E224" t="s">
        <v>49</v>
      </c>
      <c r="F224" t="s">
        <v>19</v>
      </c>
      <c r="G224" t="s">
        <v>26</v>
      </c>
      <c r="H224" t="s">
        <v>21</v>
      </c>
      <c r="I224" t="s">
        <v>77</v>
      </c>
      <c r="J224" t="s">
        <v>148</v>
      </c>
      <c r="K224" t="s">
        <v>23</v>
      </c>
      <c r="L224">
        <v>3308</v>
      </c>
      <c r="M224" s="10">
        <v>20.504486799999999</v>
      </c>
      <c r="N224" s="10">
        <v>189.40969949417894</v>
      </c>
      <c r="O224" s="10">
        <v>5.3873139605496126E-5</v>
      </c>
      <c r="P224" s="1" t="str">
        <f>HYPERLINK(".\sm_car_250819_0008\sm_car_250819_0008_223_Ca165TrN_MaZRR_DrSt_ode23t_1.png","figure")</f>
        <v>figure</v>
      </c>
      <c r="Q224" t="s">
        <v>15</v>
      </c>
    </row>
    <row r="225" spans="1:17" x14ac:dyDescent="0.25">
      <c r="A225">
        <v>224</v>
      </c>
      <c r="B225">
        <v>171</v>
      </c>
      <c r="C225" t="s">
        <v>45</v>
      </c>
      <c r="D225" t="s">
        <v>17</v>
      </c>
      <c r="E225" t="s">
        <v>72</v>
      </c>
      <c r="F225" t="s">
        <v>19</v>
      </c>
      <c r="G225" t="s">
        <v>26</v>
      </c>
      <c r="H225" t="s">
        <v>21</v>
      </c>
      <c r="I225" t="s">
        <v>77</v>
      </c>
      <c r="J225" t="s">
        <v>148</v>
      </c>
      <c r="K225" t="s">
        <v>23</v>
      </c>
      <c r="L225">
        <v>3026</v>
      </c>
      <c r="M225" s="10">
        <v>46.0355092</v>
      </c>
      <c r="N225" s="10">
        <v>189.2758009890504</v>
      </c>
      <c r="O225" s="10">
        <v>7.1997977374401226E-4</v>
      </c>
      <c r="P225" s="1" t="str">
        <f>HYPERLINK(".\sm_car_250819_0008\sm_car_250819_0008_224_Ca171TrN_MaZRR_DrSt_ode23t_1.png","figure")</f>
        <v>figure</v>
      </c>
      <c r="Q225" t="s">
        <v>15</v>
      </c>
    </row>
    <row r="226" spans="1:17" x14ac:dyDescent="0.25">
      <c r="A226">
        <v>225</v>
      </c>
      <c r="B226">
        <v>170</v>
      </c>
      <c r="C226" t="s">
        <v>45</v>
      </c>
      <c r="D226" t="s">
        <v>35</v>
      </c>
      <c r="E226" t="s">
        <v>49</v>
      </c>
      <c r="F226" t="s">
        <v>19</v>
      </c>
      <c r="G226" t="s">
        <v>20</v>
      </c>
      <c r="H226" t="s">
        <v>21</v>
      </c>
      <c r="I226" t="s">
        <v>78</v>
      </c>
      <c r="J226" t="s">
        <v>148</v>
      </c>
      <c r="K226" t="s">
        <v>23</v>
      </c>
      <c r="L226">
        <v>6162</v>
      </c>
      <c r="M226" s="10">
        <v>20.787787900000001</v>
      </c>
      <c r="N226" s="10">
        <v>-5.9995834759941893</v>
      </c>
      <c r="O226" s="10">
        <v>-6.2044531697699407E-3</v>
      </c>
      <c r="P226" s="1" t="str">
        <f>HYPERLINK(".\sm_car_250819_0008\sm_car_250819_0008_225_Ca170TrN_MaCMP_DrSt_ode23t_1.png","figure")</f>
        <v>figure</v>
      </c>
      <c r="Q226" t="s">
        <v>15</v>
      </c>
    </row>
    <row r="227" spans="1:17" x14ac:dyDescent="0.25">
      <c r="A227">
        <v>226</v>
      </c>
      <c r="B227">
        <v>170</v>
      </c>
      <c r="C227" t="s">
        <v>45</v>
      </c>
      <c r="D227" t="s">
        <v>35</v>
      </c>
      <c r="E227" t="s">
        <v>49</v>
      </c>
      <c r="F227" t="s">
        <v>19</v>
      </c>
      <c r="G227" t="s">
        <v>20</v>
      </c>
      <c r="H227" t="s">
        <v>21</v>
      </c>
      <c r="I227" t="s">
        <v>79</v>
      </c>
      <c r="J227" t="s">
        <v>148</v>
      </c>
      <c r="K227" t="s">
        <v>23</v>
      </c>
      <c r="L227">
        <v>1628</v>
      </c>
      <c r="M227" s="10">
        <v>10.7891031</v>
      </c>
      <c r="N227" s="10">
        <v>-5.9999343011142194</v>
      </c>
      <c r="O227" s="10">
        <v>-6.2469348274803395E-3</v>
      </c>
      <c r="P227" s="1" t="str">
        <f>HYPERLINK(".\sm_car_250819_0008\sm_car_250819_0008_226_Ca170TrN_MaCMF_DrSt_ode23t_1.png","figure")</f>
        <v>figure</v>
      </c>
      <c r="Q227" t="s">
        <v>15</v>
      </c>
    </row>
    <row r="228" spans="1:17" x14ac:dyDescent="0.25">
      <c r="A228">
        <v>227</v>
      </c>
      <c r="B228">
        <v>170</v>
      </c>
      <c r="C228" t="s">
        <v>45</v>
      </c>
      <c r="D228" t="s">
        <v>35</v>
      </c>
      <c r="E228" t="s">
        <v>49</v>
      </c>
      <c r="F228" t="s">
        <v>19</v>
      </c>
      <c r="G228" t="s">
        <v>20</v>
      </c>
      <c r="H228" t="s">
        <v>21</v>
      </c>
      <c r="I228" t="s">
        <v>80</v>
      </c>
      <c r="J228" t="s">
        <v>148</v>
      </c>
      <c r="K228" t="s">
        <v>23</v>
      </c>
      <c r="L228">
        <v>5404</v>
      </c>
      <c r="M228" s="10">
        <v>41.601192099999999</v>
      </c>
      <c r="N228" s="10">
        <v>-216.62050577852108</v>
      </c>
      <c r="O228" s="10">
        <v>5.7217346917508172</v>
      </c>
      <c r="P228" s="1" t="str">
        <f>HYPERLINK(".\sm_car_250819_0008\sm_car_250819_0008_227_Ca170TrN_MaMPO_DrSt_ode23t_1.png","figure")</f>
        <v>figure</v>
      </c>
      <c r="Q228" t="s">
        <v>15</v>
      </c>
    </row>
    <row r="229" spans="1:17" x14ac:dyDescent="0.25">
      <c r="A229">
        <v>228</v>
      </c>
      <c r="B229">
        <v>170</v>
      </c>
      <c r="C229" t="s">
        <v>45</v>
      </c>
      <c r="D229" t="s">
        <v>35</v>
      </c>
      <c r="E229" t="s">
        <v>49</v>
      </c>
      <c r="F229" t="s">
        <v>19</v>
      </c>
      <c r="G229" t="s">
        <v>20</v>
      </c>
      <c r="H229" t="s">
        <v>21</v>
      </c>
      <c r="I229" t="s">
        <v>81</v>
      </c>
      <c r="J229" t="s">
        <v>148</v>
      </c>
      <c r="K229" t="s">
        <v>23</v>
      </c>
      <c r="L229">
        <v>1206</v>
      </c>
      <c r="M229" s="10">
        <v>19.481594600000001</v>
      </c>
      <c r="N229" s="10">
        <v>-14.234633990631558</v>
      </c>
      <c r="O229" s="10">
        <v>-9.6216919627067909E-3</v>
      </c>
      <c r="P229" s="1" t="str">
        <f>HYPERLINK(".\sm_car_250819_0008\sm_car_250819_0008_228_Ca170TrN_MaMCI_DrSt_ode23t_1.png","figure")</f>
        <v>figure</v>
      </c>
      <c r="Q229" t="s">
        <v>15</v>
      </c>
    </row>
    <row r="230" spans="1:17" x14ac:dyDescent="0.25">
      <c r="A230">
        <v>229</v>
      </c>
      <c r="B230">
        <v>170</v>
      </c>
      <c r="C230" t="s">
        <v>45</v>
      </c>
      <c r="D230" t="s">
        <v>35</v>
      </c>
      <c r="E230" t="s">
        <v>49</v>
      </c>
      <c r="F230" t="s">
        <v>19</v>
      </c>
      <c r="G230" t="s">
        <v>20</v>
      </c>
      <c r="H230" t="s">
        <v>21</v>
      </c>
      <c r="I230" t="s">
        <v>110</v>
      </c>
      <c r="J230" t="s">
        <v>148</v>
      </c>
      <c r="K230" t="s">
        <v>23</v>
      </c>
      <c r="L230">
        <v>4059</v>
      </c>
      <c r="M230" s="10">
        <v>24.579839700000001</v>
      </c>
      <c r="N230" s="10">
        <v>-5.9996355269792403</v>
      </c>
      <c r="O230" s="10">
        <v>-4.6966958661946974E-3</v>
      </c>
      <c r="P230" s="1" t="str">
        <f>HYPERLINK(".\sm_car_250819_0008\sm_car_250819_0008_229_Ca170TrN_MaCHO_DrSt_ode23t_1.png","figure")</f>
        <v>figure</v>
      </c>
      <c r="Q230" t="s">
        <v>15</v>
      </c>
    </row>
    <row r="231" spans="1:17" x14ac:dyDescent="0.25">
      <c r="A231">
        <v>230</v>
      </c>
      <c r="B231">
        <v>170</v>
      </c>
      <c r="C231" t="s">
        <v>45</v>
      </c>
      <c r="D231" t="s">
        <v>35</v>
      </c>
      <c r="E231" t="s">
        <v>49</v>
      </c>
      <c r="F231" t="s">
        <v>19</v>
      </c>
      <c r="G231" t="s">
        <v>20</v>
      </c>
      <c r="H231" t="s">
        <v>21</v>
      </c>
      <c r="I231" t="s">
        <v>111</v>
      </c>
      <c r="J231" t="s">
        <v>148</v>
      </c>
      <c r="K231" t="s">
        <v>23</v>
      </c>
      <c r="L231">
        <v>2605</v>
      </c>
      <c r="M231" s="10">
        <v>22.445789000000001</v>
      </c>
      <c r="N231" s="10">
        <v>-5.9691487538113366</v>
      </c>
      <c r="O231" s="10">
        <v>-4.72090503139805E-3</v>
      </c>
      <c r="P231" s="1" t="str">
        <f>HYPERLINK(".\sm_car_250819_0008\sm_car_250819_0008_230_Ca170TrN_MaCHF_DrSt_ode23t_1.png","figure")</f>
        <v>figure</v>
      </c>
      <c r="Q231" t="s">
        <v>15</v>
      </c>
    </row>
    <row r="232" spans="1:17" x14ac:dyDescent="0.25">
      <c r="A232">
        <v>231</v>
      </c>
      <c r="B232">
        <v>170</v>
      </c>
      <c r="C232" t="s">
        <v>45</v>
      </c>
      <c r="D232" t="s">
        <v>35</v>
      </c>
      <c r="E232" t="s">
        <v>49</v>
      </c>
      <c r="F232" t="s">
        <v>19</v>
      </c>
      <c r="G232" t="s">
        <v>20</v>
      </c>
      <c r="H232" t="s">
        <v>21</v>
      </c>
      <c r="I232" t="s">
        <v>82</v>
      </c>
      <c r="J232" t="s">
        <v>148</v>
      </c>
      <c r="K232" t="s">
        <v>23</v>
      </c>
      <c r="L232">
        <v>9371</v>
      </c>
      <c r="M232" s="10">
        <v>39.135750999999999</v>
      </c>
      <c r="N232" s="10">
        <v>-768.71581369894466</v>
      </c>
      <c r="O232" s="10">
        <v>638.6430370985579</v>
      </c>
      <c r="P232" s="1" t="str">
        <f>HYPERLINK(".\sm_car_250819_0008\sm_car_250819_0008_231_Ca170TrN_MaCKY_DrSt_ode23t_1.png","figure")</f>
        <v>figure</v>
      </c>
      <c r="Q232" t="s">
        <v>15</v>
      </c>
    </row>
    <row r="233" spans="1:17" x14ac:dyDescent="0.25">
      <c r="A233">
        <v>232</v>
      </c>
      <c r="B233">
        <v>170</v>
      </c>
      <c r="C233" t="s">
        <v>45</v>
      </c>
      <c r="D233" t="s">
        <v>35</v>
      </c>
      <c r="E233" t="s">
        <v>49</v>
      </c>
      <c r="F233" t="s">
        <v>19</v>
      </c>
      <c r="G233" t="s">
        <v>20</v>
      </c>
      <c r="H233" t="s">
        <v>21</v>
      </c>
      <c r="I233" t="s">
        <v>83</v>
      </c>
      <c r="J233" t="s">
        <v>148</v>
      </c>
      <c r="K233" t="s">
        <v>23</v>
      </c>
      <c r="L233">
        <v>1695</v>
      </c>
      <c r="M233" s="10">
        <v>14.2131294</v>
      </c>
      <c r="N233" s="10">
        <v>-772.67744938981775</v>
      </c>
      <c r="O233" s="10">
        <v>640.74591920904072</v>
      </c>
      <c r="P233" s="1" t="str">
        <f>HYPERLINK(".\sm_car_250819_0008\sm_car_250819_0008_232_Ca170TrN_MaCKF_DrSt_ode23t_1.png","figure")</f>
        <v>figure</v>
      </c>
      <c r="Q233" t="s">
        <v>15</v>
      </c>
    </row>
    <row r="234" spans="1:17" x14ac:dyDescent="0.25">
      <c r="A234">
        <v>233</v>
      </c>
      <c r="B234">
        <v>170</v>
      </c>
      <c r="C234" t="s">
        <v>45</v>
      </c>
      <c r="D234" t="s">
        <v>35</v>
      </c>
      <c r="E234" t="s">
        <v>49</v>
      </c>
      <c r="F234" t="s">
        <v>19</v>
      </c>
      <c r="G234" t="s">
        <v>20</v>
      </c>
      <c r="H234" t="s">
        <v>21</v>
      </c>
      <c r="I234" t="s">
        <v>84</v>
      </c>
      <c r="J234" t="s">
        <v>148</v>
      </c>
      <c r="K234" t="s">
        <v>23</v>
      </c>
      <c r="L234">
        <v>2351</v>
      </c>
      <c r="M234" s="10">
        <v>28.890275800000001</v>
      </c>
      <c r="N234" s="10">
        <v>189.3135582238524</v>
      </c>
      <c r="O234" s="10">
        <v>308.88777911451064</v>
      </c>
      <c r="P234" s="1" t="str">
        <f>HYPERLINK(".\sm_car_250819_0008\sm_car_250819_0008_233_Ca170TrN_MaCNN_DrSt_ode23t_1.png","figure")</f>
        <v>figure</v>
      </c>
      <c r="Q234" t="s">
        <v>15</v>
      </c>
    </row>
    <row r="235" spans="1:17" x14ac:dyDescent="0.25">
      <c r="A235">
        <v>234</v>
      </c>
      <c r="B235">
        <v>170</v>
      </c>
      <c r="C235" t="s">
        <v>45</v>
      </c>
      <c r="D235" t="s">
        <v>35</v>
      </c>
      <c r="E235" t="s">
        <v>49</v>
      </c>
      <c r="F235" t="s">
        <v>19</v>
      </c>
      <c r="G235" t="s">
        <v>20</v>
      </c>
      <c r="H235" t="s">
        <v>21</v>
      </c>
      <c r="I235" t="s">
        <v>85</v>
      </c>
      <c r="J235" t="s">
        <v>148</v>
      </c>
      <c r="K235" t="s">
        <v>23</v>
      </c>
      <c r="L235">
        <v>3557</v>
      </c>
      <c r="M235" s="10">
        <v>140.6820519</v>
      </c>
      <c r="N235" s="10">
        <v>2981.6935817572562</v>
      </c>
      <c r="O235" s="10">
        <v>-3077.7754355581251</v>
      </c>
      <c r="P235" s="1" t="str">
        <f>HYPERLINK(".\sm_car_250819_0008\sm_car_250819_0008_234_Ca170TrN_MaCNF_DrSt_ode23t_1.png","figure")</f>
        <v>figure</v>
      </c>
      <c r="Q235" t="s">
        <v>15</v>
      </c>
    </row>
    <row r="236" spans="1:17" x14ac:dyDescent="0.25">
      <c r="A236">
        <v>235</v>
      </c>
      <c r="B236">
        <v>170</v>
      </c>
      <c r="C236" t="s">
        <v>45</v>
      </c>
      <c r="D236" t="s">
        <v>35</v>
      </c>
      <c r="E236" t="s">
        <v>49</v>
      </c>
      <c r="F236" t="s">
        <v>19</v>
      </c>
      <c r="G236" t="s">
        <v>20</v>
      </c>
      <c r="H236" t="s">
        <v>21</v>
      </c>
      <c r="I236" t="s">
        <v>86</v>
      </c>
      <c r="J236" t="s">
        <v>148</v>
      </c>
      <c r="K236" t="s">
        <v>23</v>
      </c>
      <c r="L236">
        <v>3008</v>
      </c>
      <c r="M236" s="10">
        <v>20.008597000000002</v>
      </c>
      <c r="N236" s="10">
        <v>497.8632436019351</v>
      </c>
      <c r="O236" s="10">
        <v>-175.70296327317655</v>
      </c>
      <c r="P236" s="1" t="str">
        <f>HYPERLINK(".\sm_car_250819_0008\sm_car_250819_0008_235_Ca170TrN_MaCSZ_DrSt_ode23t_1.png","figure")</f>
        <v>figure</v>
      </c>
      <c r="Q236" t="s">
        <v>15</v>
      </c>
    </row>
    <row r="237" spans="1:17" x14ac:dyDescent="0.25">
      <c r="A237">
        <v>236</v>
      </c>
      <c r="B237">
        <v>170</v>
      </c>
      <c r="C237" t="s">
        <v>45</v>
      </c>
      <c r="D237" t="s">
        <v>35</v>
      </c>
      <c r="E237" t="s">
        <v>49</v>
      </c>
      <c r="F237" t="s">
        <v>19</v>
      </c>
      <c r="G237" t="s">
        <v>20</v>
      </c>
      <c r="H237" t="s">
        <v>21</v>
      </c>
      <c r="I237" t="s">
        <v>87</v>
      </c>
      <c r="J237" t="s">
        <v>148</v>
      </c>
      <c r="K237" t="s">
        <v>23</v>
      </c>
      <c r="L237">
        <v>5143</v>
      </c>
      <c r="M237" s="10">
        <v>116.7565137</v>
      </c>
      <c r="N237" s="10">
        <v>-8.9877318715008538</v>
      </c>
      <c r="O237" s="10">
        <v>8.1692161049674947E-3</v>
      </c>
      <c r="P237" s="1" t="str">
        <f>HYPERLINK(".\sm_car_250819_0008\sm_car_250819_0008_236_Ca170TrN_MaCSF_DrSt_ode23t_1.png","figure")</f>
        <v>figure</v>
      </c>
      <c r="Q237" t="s">
        <v>15</v>
      </c>
    </row>
    <row r="238" spans="1:17" x14ac:dyDescent="0.25">
      <c r="A238">
        <v>237</v>
      </c>
      <c r="B238">
        <v>170</v>
      </c>
      <c r="C238" t="s">
        <v>45</v>
      </c>
      <c r="D238" t="s">
        <v>35</v>
      </c>
      <c r="E238" t="s">
        <v>49</v>
      </c>
      <c r="F238" t="s">
        <v>19</v>
      </c>
      <c r="G238" t="s">
        <v>20</v>
      </c>
      <c r="H238" t="s">
        <v>21</v>
      </c>
      <c r="I238" t="s">
        <v>88</v>
      </c>
      <c r="J238" t="s">
        <v>148</v>
      </c>
      <c r="K238" t="s">
        <v>23</v>
      </c>
      <c r="L238">
        <v>1869</v>
      </c>
      <c r="M238" s="10">
        <v>35.655226200000001</v>
      </c>
      <c r="N238" s="10">
        <v>247.79612926682978</v>
      </c>
      <c r="O238" s="10">
        <v>391.3784998910682</v>
      </c>
      <c r="P238" s="1" t="str">
        <f>HYPERLINK(".\sm_car_250819_0008\sm_car_250819_0008_237_Ca170TrN_MaCPU_DrSt_ode23t_1.png","figure")</f>
        <v>figure</v>
      </c>
      <c r="Q238" t="s">
        <v>15</v>
      </c>
    </row>
    <row r="239" spans="1:17" x14ac:dyDescent="0.25">
      <c r="A239">
        <v>238</v>
      </c>
      <c r="B239">
        <v>170</v>
      </c>
      <c r="C239" t="s">
        <v>45</v>
      </c>
      <c r="D239" t="s">
        <v>35</v>
      </c>
      <c r="E239" t="s">
        <v>49</v>
      </c>
      <c r="F239" t="s">
        <v>19</v>
      </c>
      <c r="G239" t="s">
        <v>20</v>
      </c>
      <c r="H239" t="s">
        <v>21</v>
      </c>
      <c r="I239" t="s">
        <v>89</v>
      </c>
      <c r="J239" t="s">
        <v>148</v>
      </c>
      <c r="K239" t="s">
        <v>23</v>
      </c>
      <c r="L239">
        <v>2467</v>
      </c>
      <c r="M239" s="10">
        <v>26.004899900000002</v>
      </c>
      <c r="N239" s="10">
        <v>179.59002608893684</v>
      </c>
      <c r="O239" s="10">
        <v>-180.28297009584094</v>
      </c>
      <c r="P239" s="1" t="str">
        <f>HYPERLINK(".\sm_car_250819_0008\sm_car_250819_0008_238_Ca170TrN_MaCPD_DrSt_ode23t_1.png","figure")</f>
        <v>figure</v>
      </c>
      <c r="Q239" t="s">
        <v>15</v>
      </c>
    </row>
    <row r="240" spans="1:17" x14ac:dyDescent="0.25">
      <c r="A240">
        <v>239</v>
      </c>
      <c r="B240">
        <v>202</v>
      </c>
      <c r="C240" t="s">
        <v>45</v>
      </c>
      <c r="D240" t="s">
        <v>35</v>
      </c>
      <c r="E240" t="s">
        <v>107</v>
      </c>
      <c r="F240" t="s">
        <v>19</v>
      </c>
      <c r="G240" t="s">
        <v>20</v>
      </c>
      <c r="H240" t="s">
        <v>21</v>
      </c>
      <c r="I240" t="s">
        <v>79</v>
      </c>
      <c r="J240" t="s">
        <v>148</v>
      </c>
      <c r="K240" t="s">
        <v>23</v>
      </c>
      <c r="L240">
        <v>1622</v>
      </c>
      <c r="M240" s="10">
        <v>4.5453308999999997</v>
      </c>
      <c r="N240" s="10">
        <v>-5.9995531678314897</v>
      </c>
      <c r="O240" s="10">
        <v>-6.1920676439215254E-3</v>
      </c>
      <c r="P240" s="1" t="str">
        <f>HYPERLINK(".\sm_car_250819_0008\sm_car_250819_0008_239_Ca202TrN_MaCMF_DrSt_ode23t_1.png","figure")</f>
        <v>figure</v>
      </c>
      <c r="Q240" t="s">
        <v>15</v>
      </c>
    </row>
    <row r="241" spans="1:17" x14ac:dyDescent="0.25">
      <c r="A241">
        <v>240</v>
      </c>
      <c r="B241">
        <v>202</v>
      </c>
      <c r="C241" t="s">
        <v>45</v>
      </c>
      <c r="D241" t="s">
        <v>35</v>
      </c>
      <c r="E241" t="s">
        <v>107</v>
      </c>
      <c r="F241" t="s">
        <v>19</v>
      </c>
      <c r="G241" t="s">
        <v>20</v>
      </c>
      <c r="H241" t="s">
        <v>21</v>
      </c>
      <c r="I241" t="s">
        <v>80</v>
      </c>
      <c r="J241" t="s">
        <v>148</v>
      </c>
      <c r="K241" t="s">
        <v>23</v>
      </c>
      <c r="L241">
        <v>5364</v>
      </c>
      <c r="M241" s="10">
        <v>28.425869500000001</v>
      </c>
      <c r="N241" s="10">
        <v>-217.50123772121921</v>
      </c>
      <c r="O241" s="10">
        <v>5.860463348930586</v>
      </c>
      <c r="P241" s="1" t="str">
        <f>HYPERLINK(".\sm_car_250819_0008\sm_car_250819_0008_240_Ca202TrN_MaMPO_DrSt_ode23t_1.png","figure")</f>
        <v>figure</v>
      </c>
      <c r="Q241" t="s">
        <v>15</v>
      </c>
    </row>
    <row r="242" spans="1:17" x14ac:dyDescent="0.25">
      <c r="A242">
        <v>241</v>
      </c>
      <c r="B242">
        <v>202</v>
      </c>
      <c r="C242" t="s">
        <v>45</v>
      </c>
      <c r="D242" t="s">
        <v>35</v>
      </c>
      <c r="E242" t="s">
        <v>107</v>
      </c>
      <c r="F242" t="s">
        <v>19</v>
      </c>
      <c r="G242" t="s">
        <v>20</v>
      </c>
      <c r="H242" t="s">
        <v>21</v>
      </c>
      <c r="I242" t="s">
        <v>81</v>
      </c>
      <c r="J242" t="s">
        <v>148</v>
      </c>
      <c r="K242" t="s">
        <v>23</v>
      </c>
      <c r="L242">
        <v>1203</v>
      </c>
      <c r="M242" s="10">
        <v>10.9713227</v>
      </c>
      <c r="N242" s="10">
        <v>-14.231935716789089</v>
      </c>
      <c r="O242" s="10">
        <v>-7.6748040483209934E-3</v>
      </c>
      <c r="P242" s="1" t="str">
        <f>HYPERLINK(".\sm_car_250819_0008\sm_car_250819_0008_241_Ca202TrN_MaMCI_DrSt_ode23t_1.png","figure")</f>
        <v>figure</v>
      </c>
      <c r="Q242" t="s">
        <v>15</v>
      </c>
    </row>
    <row r="243" spans="1:17" x14ac:dyDescent="0.25">
      <c r="A243">
        <v>242</v>
      </c>
      <c r="B243">
        <v>202</v>
      </c>
      <c r="C243" t="s">
        <v>45</v>
      </c>
      <c r="D243" t="s">
        <v>35</v>
      </c>
      <c r="E243" t="s">
        <v>107</v>
      </c>
      <c r="F243" t="s">
        <v>19</v>
      </c>
      <c r="G243" t="s">
        <v>20</v>
      </c>
      <c r="H243" t="s">
        <v>21</v>
      </c>
      <c r="I243" t="s">
        <v>83</v>
      </c>
      <c r="J243" t="s">
        <v>148</v>
      </c>
      <c r="K243" t="s">
        <v>23</v>
      </c>
      <c r="L243">
        <v>2929</v>
      </c>
      <c r="M243" s="10">
        <v>10.7577473</v>
      </c>
      <c r="N243" s="10">
        <v>-5.994979412497635</v>
      </c>
      <c r="O243" s="10">
        <v>-2.6165206762155425E-2</v>
      </c>
      <c r="P243" s="1" t="str">
        <f>HYPERLINK(".\sm_car_250819_0008\sm_car_250819_0008_242_Ca202TrN_MaCKF_DrSt_ode23t_1.png","figure")</f>
        <v>figure</v>
      </c>
      <c r="Q243" t="s">
        <v>15</v>
      </c>
    </row>
    <row r="244" spans="1:17" x14ac:dyDescent="0.25">
      <c r="A244">
        <v>243</v>
      </c>
      <c r="B244">
        <v>202</v>
      </c>
      <c r="C244" t="s">
        <v>45</v>
      </c>
      <c r="D244" t="s">
        <v>35</v>
      </c>
      <c r="E244" t="s">
        <v>107</v>
      </c>
      <c r="F244" t="s">
        <v>19</v>
      </c>
      <c r="G244" t="s">
        <v>20</v>
      </c>
      <c r="H244" t="s">
        <v>21</v>
      </c>
      <c r="I244" t="s">
        <v>85</v>
      </c>
      <c r="J244" t="s">
        <v>148</v>
      </c>
      <c r="K244" t="s">
        <v>23</v>
      </c>
      <c r="L244">
        <v>8438</v>
      </c>
      <c r="M244" s="10">
        <v>218.05335410000001</v>
      </c>
      <c r="N244" s="10">
        <v>-8.9994764815845496</v>
      </c>
      <c r="O244" s="10">
        <v>2.4152697261988702E-2</v>
      </c>
      <c r="P244" s="1" t="str">
        <f>HYPERLINK(".\sm_car_250819_0008\sm_car_250819_0008_243_Ca202TrN_MaCNF_DrSt_ode23t_1.png","figure")</f>
        <v>figure</v>
      </c>
      <c r="Q244" t="s">
        <v>15</v>
      </c>
    </row>
    <row r="245" spans="1:17" x14ac:dyDescent="0.25">
      <c r="A245">
        <v>244</v>
      </c>
      <c r="B245">
        <v>202</v>
      </c>
      <c r="C245" t="s">
        <v>45</v>
      </c>
      <c r="D245" t="s">
        <v>35</v>
      </c>
      <c r="E245" t="s">
        <v>107</v>
      </c>
      <c r="F245" t="s">
        <v>19</v>
      </c>
      <c r="G245" t="s">
        <v>20</v>
      </c>
      <c r="H245" t="s">
        <v>21</v>
      </c>
      <c r="I245" t="s">
        <v>87</v>
      </c>
      <c r="J245" t="s">
        <v>148</v>
      </c>
      <c r="K245" t="s">
        <v>23</v>
      </c>
      <c r="L245">
        <v>5162</v>
      </c>
      <c r="M245" s="10">
        <v>64.578790699999999</v>
      </c>
      <c r="N245" s="10">
        <v>-8.9739243290149719</v>
      </c>
      <c r="O245" s="10">
        <v>8.0798088592120808E-3</v>
      </c>
      <c r="P245" s="1" t="str">
        <f>HYPERLINK(".\sm_car_250819_0008\sm_car_250819_0008_244_Ca202TrN_MaCSF_DrSt_ode23t_1.png","figure")</f>
        <v>figure</v>
      </c>
      <c r="Q245" t="s">
        <v>15</v>
      </c>
    </row>
    <row r="246" spans="1:17" x14ac:dyDescent="0.25">
      <c r="A246">
        <v>245</v>
      </c>
      <c r="B246">
        <v>202</v>
      </c>
      <c r="C246" t="s">
        <v>45</v>
      </c>
      <c r="D246" t="s">
        <v>35</v>
      </c>
      <c r="E246" t="s">
        <v>107</v>
      </c>
      <c r="F246" t="s">
        <v>19</v>
      </c>
      <c r="G246" t="s">
        <v>20</v>
      </c>
      <c r="H246" t="s">
        <v>21</v>
      </c>
      <c r="I246" t="s">
        <v>78</v>
      </c>
      <c r="J246" t="s">
        <v>148</v>
      </c>
      <c r="K246" t="s">
        <v>23</v>
      </c>
      <c r="L246">
        <v>7143</v>
      </c>
      <c r="M246" s="10">
        <v>23.9925733</v>
      </c>
      <c r="N246" s="10">
        <v>-5.9990528107106096</v>
      </c>
      <c r="O246" s="10">
        <v>-6.1897275048073287E-3</v>
      </c>
      <c r="P246" s="1" t="str">
        <f>HYPERLINK(".\sm_car_250819_0008\sm_car_250819_0008_245_Ca202TrN_MaCMP_DrSt_ode23t_1.png","figure")</f>
        <v>figure</v>
      </c>
      <c r="Q246" t="s">
        <v>15</v>
      </c>
    </row>
    <row r="247" spans="1:17" x14ac:dyDescent="0.25">
      <c r="A247">
        <v>246</v>
      </c>
      <c r="B247">
        <v>202</v>
      </c>
      <c r="C247" t="s">
        <v>45</v>
      </c>
      <c r="D247" t="s">
        <v>35</v>
      </c>
      <c r="E247" t="s">
        <v>107</v>
      </c>
      <c r="F247" t="s">
        <v>19</v>
      </c>
      <c r="G247" t="s">
        <v>20</v>
      </c>
      <c r="H247" t="s">
        <v>21</v>
      </c>
      <c r="I247" t="s">
        <v>82</v>
      </c>
      <c r="J247" t="s">
        <v>148</v>
      </c>
      <c r="K247" t="s">
        <v>23</v>
      </c>
      <c r="L247">
        <v>20230</v>
      </c>
      <c r="M247" s="10">
        <v>74.908477199999993</v>
      </c>
      <c r="N247" s="10">
        <v>-5.9990781621937055</v>
      </c>
      <c r="O247" s="10">
        <v>-2.7916069565450865E-2</v>
      </c>
      <c r="P247" s="1" t="str">
        <f>HYPERLINK(".\sm_car_250819_0008\sm_car_250819_0008_246_Ca202TrN_MaCKY_DrSt_ode23t_1.png","figure")</f>
        <v>figure</v>
      </c>
      <c r="Q247" t="s">
        <v>15</v>
      </c>
    </row>
    <row r="248" spans="1:17" x14ac:dyDescent="0.25">
      <c r="A248">
        <v>247</v>
      </c>
      <c r="B248">
        <v>202</v>
      </c>
      <c r="C248" t="s">
        <v>45</v>
      </c>
      <c r="D248" t="s">
        <v>35</v>
      </c>
      <c r="E248" t="s">
        <v>107</v>
      </c>
      <c r="F248" t="s">
        <v>19</v>
      </c>
      <c r="G248" t="s">
        <v>20</v>
      </c>
      <c r="H248" t="s">
        <v>21</v>
      </c>
      <c r="I248" t="s">
        <v>75</v>
      </c>
      <c r="J248" t="s">
        <v>148</v>
      </c>
      <c r="K248" t="s">
        <v>23</v>
      </c>
      <c r="L248">
        <v>455</v>
      </c>
      <c r="M248" s="10">
        <v>2.3524593</v>
      </c>
      <c r="N248" s="10">
        <v>381.04323470632642</v>
      </c>
      <c r="O248" s="10">
        <v>0.3335145224833066</v>
      </c>
      <c r="P248" s="1" t="str">
        <f>HYPERLINK(".\sm_car_250819_0008\sm_car_250819_0008_247_Ca202TrN_MaCPL_DrSt_ode23t_1.png","figure")</f>
        <v>figure</v>
      </c>
      <c r="Q248" t="s">
        <v>15</v>
      </c>
    </row>
    <row r="249" spans="1:17" x14ac:dyDescent="0.25">
      <c r="A249">
        <v>248</v>
      </c>
      <c r="B249">
        <v>140</v>
      </c>
      <c r="C249" t="s">
        <v>45</v>
      </c>
      <c r="D249" t="s">
        <v>17</v>
      </c>
      <c r="E249" t="s">
        <v>49</v>
      </c>
      <c r="F249" t="s">
        <v>19</v>
      </c>
      <c r="G249" t="s">
        <v>26</v>
      </c>
      <c r="H249" t="s">
        <v>21</v>
      </c>
      <c r="I249" t="s">
        <v>112</v>
      </c>
      <c r="J249" t="s">
        <v>148</v>
      </c>
      <c r="K249" t="s">
        <v>23</v>
      </c>
      <c r="L249">
        <v>2684</v>
      </c>
      <c r="M249" s="10">
        <v>36.004784700000002</v>
      </c>
      <c r="N249" s="10">
        <v>189.1537787417152</v>
      </c>
      <c r="O249" s="10">
        <v>7.0678454743083213E-4</v>
      </c>
      <c r="P249" s="1" t="str">
        <f>HYPERLINK(".\sm_car_250819_0008\sm_car_250819_0008_248_Ca140TrN_MaCRR_DrSt_ode23t_1.png","figure")</f>
        <v>figure</v>
      </c>
      <c r="Q249" t="s">
        <v>15</v>
      </c>
    </row>
    <row r="250" spans="1:17" x14ac:dyDescent="0.25">
      <c r="A250">
        <v>249</v>
      </c>
      <c r="B250">
        <v>189</v>
      </c>
      <c r="C250" t="s">
        <v>45</v>
      </c>
      <c r="D250" t="s">
        <v>17</v>
      </c>
      <c r="E250" t="s">
        <v>107</v>
      </c>
      <c r="F250" t="s">
        <v>19</v>
      </c>
      <c r="G250" t="s">
        <v>26</v>
      </c>
      <c r="H250" t="s">
        <v>21</v>
      </c>
      <c r="I250" t="s">
        <v>112</v>
      </c>
      <c r="J250" t="s">
        <v>148</v>
      </c>
      <c r="K250" t="s">
        <v>23</v>
      </c>
      <c r="L250">
        <v>3318</v>
      </c>
      <c r="M250" s="10">
        <v>32.578454600000001</v>
      </c>
      <c r="N250" s="10">
        <v>189.17620206453878</v>
      </c>
      <c r="O250" s="10">
        <v>6.878862487648777E-4</v>
      </c>
      <c r="P250" s="1" t="str">
        <f>HYPERLINK(".\sm_car_250819_0008\sm_car_250819_0008_249_Ca189TrN_MaCRR_DrSt_ode23t_1.png","figure")</f>
        <v>figure</v>
      </c>
      <c r="Q250" t="s">
        <v>15</v>
      </c>
    </row>
    <row r="251" spans="1:17" x14ac:dyDescent="0.25">
      <c r="A251">
        <v>250</v>
      </c>
      <c r="B251">
        <v>173</v>
      </c>
      <c r="C251" t="s">
        <v>45</v>
      </c>
      <c r="D251" t="s">
        <v>35</v>
      </c>
      <c r="E251" t="s">
        <v>49</v>
      </c>
      <c r="F251" t="s">
        <v>19</v>
      </c>
      <c r="G251" t="s">
        <v>90</v>
      </c>
      <c r="H251" t="s">
        <v>21</v>
      </c>
      <c r="I251" t="s">
        <v>91</v>
      </c>
      <c r="J251" t="s">
        <v>148</v>
      </c>
      <c r="K251" t="s">
        <v>92</v>
      </c>
      <c r="L251">
        <v>1587</v>
      </c>
      <c r="M251" s="10">
        <v>56.610202700000002</v>
      </c>
      <c r="N251" s="10">
        <v>51.298829935781683</v>
      </c>
      <c r="O251" s="10">
        <v>9.1599591944244337E-3</v>
      </c>
      <c r="P251" s="1" t="str">
        <f>HYPERLINK(".\sm_car_250819_0008\sm_car_250819_0008_250_Ca173TrN_MaDCA_DrSt_daessc_1.png","figure")</f>
        <v>figure</v>
      </c>
      <c r="Q251" t="s">
        <v>15</v>
      </c>
    </row>
    <row r="252" spans="1:17" x14ac:dyDescent="0.25">
      <c r="A252">
        <v>251</v>
      </c>
      <c r="B252">
        <v>173</v>
      </c>
      <c r="C252" t="s">
        <v>45</v>
      </c>
      <c r="D252" t="s">
        <v>35</v>
      </c>
      <c r="E252" t="s">
        <v>49</v>
      </c>
      <c r="F252" t="s">
        <v>19</v>
      </c>
      <c r="G252" t="s">
        <v>90</v>
      </c>
      <c r="H252" t="s">
        <v>21</v>
      </c>
      <c r="I252" t="s">
        <v>93</v>
      </c>
      <c r="J252" t="s">
        <v>148</v>
      </c>
      <c r="K252" t="s">
        <v>92</v>
      </c>
      <c r="L252">
        <v>4041</v>
      </c>
      <c r="M252" s="10">
        <v>93.081985200000005</v>
      </c>
      <c r="N252" s="10">
        <v>980.4632733911925</v>
      </c>
      <c r="O252" s="10">
        <v>0.73491364692126437</v>
      </c>
      <c r="P252" s="1" t="str">
        <f>HYPERLINK(".\sm_car_250819_0008\sm_car_250819_0008_251_Ca173TrN_MaDC1_DrSt_daessc_1.png","figure")</f>
        <v>figure</v>
      </c>
      <c r="Q252" t="s">
        <v>15</v>
      </c>
    </row>
    <row r="253" spans="1:17" x14ac:dyDescent="0.25">
      <c r="A253">
        <v>252</v>
      </c>
      <c r="B253">
        <v>165</v>
      </c>
      <c r="C253" t="s">
        <v>45</v>
      </c>
      <c r="D253" t="s">
        <v>35</v>
      </c>
      <c r="E253" t="s">
        <v>49</v>
      </c>
      <c r="F253" t="s">
        <v>19</v>
      </c>
      <c r="G253" t="s">
        <v>26</v>
      </c>
      <c r="H253" t="s">
        <v>21</v>
      </c>
      <c r="I253" t="s">
        <v>91</v>
      </c>
      <c r="J253" t="s">
        <v>148</v>
      </c>
      <c r="K253" t="s">
        <v>23</v>
      </c>
      <c r="L253">
        <v>320</v>
      </c>
      <c r="M253" s="10">
        <v>3.5891817000000001</v>
      </c>
      <c r="N253" s="10">
        <v>53.50828056692022</v>
      </c>
      <c r="O253" s="10">
        <v>1.0033865208921076E-2</v>
      </c>
      <c r="P253" s="1" t="str">
        <f>HYPERLINK(".\sm_car_250819_0008\sm_car_250819_0008_252_Ca165TrN_MaDCA_DrSt_ode23t_1.png","figure")</f>
        <v>figure</v>
      </c>
      <c r="Q253" t="s">
        <v>15</v>
      </c>
    </row>
    <row r="254" spans="1:17" x14ac:dyDescent="0.25">
      <c r="A254">
        <v>253</v>
      </c>
      <c r="B254">
        <v>165</v>
      </c>
      <c r="C254" t="s">
        <v>45</v>
      </c>
      <c r="D254" t="s">
        <v>35</v>
      </c>
      <c r="E254" t="s">
        <v>49</v>
      </c>
      <c r="F254" t="s">
        <v>19</v>
      </c>
      <c r="G254" t="s">
        <v>26</v>
      </c>
      <c r="H254" t="s">
        <v>21</v>
      </c>
      <c r="I254" t="s">
        <v>93</v>
      </c>
      <c r="J254" t="s">
        <v>148</v>
      </c>
      <c r="K254" t="s">
        <v>23</v>
      </c>
      <c r="L254">
        <v>1195</v>
      </c>
      <c r="M254" s="10">
        <v>8.0259481000000008</v>
      </c>
      <c r="N254" s="10">
        <v>992.65377671714168</v>
      </c>
      <c r="O254" s="10">
        <v>0.80078912409381686</v>
      </c>
      <c r="P254" s="1" t="str">
        <f>HYPERLINK(".\sm_car_250819_0008\sm_car_250819_0008_253_Ca165TrN_MaDC1_DrSt_ode23t_1.png","figure")</f>
        <v>figure</v>
      </c>
      <c r="Q254" t="s">
        <v>15</v>
      </c>
    </row>
    <row r="255" spans="1:17" x14ac:dyDescent="0.25">
      <c r="A255">
        <v>254</v>
      </c>
      <c r="B255">
        <v>196</v>
      </c>
      <c r="C255" t="s">
        <v>45</v>
      </c>
      <c r="D255" t="s">
        <v>35</v>
      </c>
      <c r="E255" t="s">
        <v>107</v>
      </c>
      <c r="F255" t="s">
        <v>19</v>
      </c>
      <c r="G255" t="s">
        <v>90</v>
      </c>
      <c r="H255" t="s">
        <v>21</v>
      </c>
      <c r="I255" t="s">
        <v>93</v>
      </c>
      <c r="J255" t="s">
        <v>148</v>
      </c>
      <c r="K255" t="s">
        <v>92</v>
      </c>
      <c r="L255">
        <v>3995</v>
      </c>
      <c r="M255" s="10">
        <v>44.102075200000002</v>
      </c>
      <c r="N255" s="10">
        <v>980.46717580551729</v>
      </c>
      <c r="O255" s="10">
        <v>0.73502578154387266</v>
      </c>
      <c r="P255" s="1" t="str">
        <f>HYPERLINK(".\sm_car_250819_0008\sm_car_250819_0008_254_Ca196TrN_MaDC1_DrSt_daessc_1.png","figure")</f>
        <v>figure</v>
      </c>
      <c r="Q255" t="s">
        <v>15</v>
      </c>
    </row>
    <row r="256" spans="1:17" x14ac:dyDescent="0.25">
      <c r="A256">
        <v>255</v>
      </c>
      <c r="B256">
        <v>179</v>
      </c>
      <c r="C256" t="s">
        <v>45</v>
      </c>
      <c r="D256" t="s">
        <v>57</v>
      </c>
      <c r="E256" t="s">
        <v>18</v>
      </c>
      <c r="F256" t="s">
        <v>19</v>
      </c>
      <c r="G256" t="s">
        <v>26</v>
      </c>
      <c r="H256" t="s">
        <v>21</v>
      </c>
      <c r="I256" t="s">
        <v>22</v>
      </c>
      <c r="J256" t="s">
        <v>148</v>
      </c>
      <c r="K256" t="s">
        <v>23</v>
      </c>
      <c r="L256">
        <v>475</v>
      </c>
      <c r="M256" s="10">
        <v>4.9038950000000003</v>
      </c>
      <c r="N256" s="10">
        <v>147.79791096322953</v>
      </c>
      <c r="O256" s="10">
        <v>9.6090719978941308E-2</v>
      </c>
      <c r="P256" s="1" t="str">
        <f>HYPERLINK(".\sm_car_250819_0008\sm_car_250819_0008_255_Ca179TrN_MaWOT_DrSt_ode23t_1.png","figure")</f>
        <v>figure</v>
      </c>
      <c r="Q256" t="s">
        <v>15</v>
      </c>
    </row>
    <row r="257" spans="1:17" x14ac:dyDescent="0.25">
      <c r="A257">
        <v>256</v>
      </c>
      <c r="B257">
        <v>180</v>
      </c>
      <c r="C257" t="s">
        <v>45</v>
      </c>
      <c r="D257" t="s">
        <v>57</v>
      </c>
      <c r="E257" t="s">
        <v>49</v>
      </c>
      <c r="F257" t="s">
        <v>19</v>
      </c>
      <c r="G257" t="s">
        <v>26</v>
      </c>
      <c r="H257" t="s">
        <v>21</v>
      </c>
      <c r="I257" t="s">
        <v>22</v>
      </c>
      <c r="J257" t="s">
        <v>148</v>
      </c>
      <c r="K257" t="s">
        <v>23</v>
      </c>
      <c r="L257">
        <v>507</v>
      </c>
      <c r="M257" s="10">
        <v>6.6132951999999996</v>
      </c>
      <c r="N257" s="10">
        <v>147.81934775905853</v>
      </c>
      <c r="O257" s="10">
        <v>9.5955183535376423E-2</v>
      </c>
      <c r="P257" s="1" t="str">
        <f>HYPERLINK(".\sm_car_250819_0008\sm_car_250819_0008_256_Ca180TrN_MaWOT_DrSt_ode23t_1.png","figure")</f>
        <v>figure</v>
      </c>
      <c r="Q257" t="s">
        <v>15</v>
      </c>
    </row>
    <row r="258" spans="1:17" x14ac:dyDescent="0.25">
      <c r="A258">
        <v>257</v>
      </c>
      <c r="B258">
        <v>197</v>
      </c>
      <c r="C258" t="s">
        <v>45</v>
      </c>
      <c r="D258" t="s">
        <v>57</v>
      </c>
      <c r="E258" t="s">
        <v>107</v>
      </c>
      <c r="F258" t="s">
        <v>19</v>
      </c>
      <c r="G258" t="s">
        <v>26</v>
      </c>
      <c r="H258" t="s">
        <v>21</v>
      </c>
      <c r="I258" t="s">
        <v>22</v>
      </c>
      <c r="J258" t="s">
        <v>148</v>
      </c>
      <c r="K258" t="s">
        <v>23</v>
      </c>
      <c r="L258">
        <v>449</v>
      </c>
      <c r="M258" s="10">
        <v>2.2147421999999999</v>
      </c>
      <c r="N258" s="10">
        <v>147.81194979998423</v>
      </c>
      <c r="O258" s="10">
        <v>9.5951339090767668E-2</v>
      </c>
      <c r="P258" s="1" t="str">
        <f>HYPERLINK(".\sm_car_250819_0008\sm_car_250819_0008_257_Ca197TrN_MaWOT_DrSt_ode23t_1.png","figure")</f>
        <v>figure</v>
      </c>
      <c r="Q258" t="s">
        <v>15</v>
      </c>
    </row>
    <row r="259" spans="1:17" x14ac:dyDescent="0.25">
      <c r="A259">
        <v>258</v>
      </c>
      <c r="B259">
        <v>182</v>
      </c>
      <c r="C259" t="s">
        <v>45</v>
      </c>
      <c r="D259" t="s">
        <v>17</v>
      </c>
      <c r="E259" t="s">
        <v>49</v>
      </c>
      <c r="F259" t="s">
        <v>19</v>
      </c>
      <c r="G259" t="s">
        <v>26</v>
      </c>
      <c r="H259" t="s">
        <v>21</v>
      </c>
      <c r="I259" t="s">
        <v>64</v>
      </c>
      <c r="J259" t="s">
        <v>148</v>
      </c>
      <c r="K259" t="s">
        <v>23</v>
      </c>
      <c r="L259">
        <v>432</v>
      </c>
      <c r="M259" s="10">
        <v>11.931187700000001</v>
      </c>
      <c r="N259" s="10">
        <v>61.834885539466271</v>
      </c>
      <c r="O259" s="10">
        <v>-24.150305155580263</v>
      </c>
      <c r="P259" s="1" t="str">
        <f>HYPERLINK(".\sm_car_250819_0008\sm_car_250819_0008_258_Ca182TrN_MaTUR_DrSt_ode23t_1.png","figure")</f>
        <v>figure</v>
      </c>
      <c r="Q259" t="s">
        <v>15</v>
      </c>
    </row>
    <row r="260" spans="1:17" x14ac:dyDescent="0.25">
      <c r="A260">
        <v>259</v>
      </c>
      <c r="B260">
        <v>203</v>
      </c>
      <c r="C260" t="s">
        <v>45</v>
      </c>
      <c r="D260" t="s">
        <v>17</v>
      </c>
      <c r="E260" t="s">
        <v>107</v>
      </c>
      <c r="F260" t="s">
        <v>19</v>
      </c>
      <c r="G260" t="s">
        <v>26</v>
      </c>
      <c r="H260" t="s">
        <v>21</v>
      </c>
      <c r="I260" t="s">
        <v>64</v>
      </c>
      <c r="J260" t="s">
        <v>148</v>
      </c>
      <c r="K260" t="s">
        <v>23</v>
      </c>
      <c r="L260">
        <v>369</v>
      </c>
      <c r="M260" s="10">
        <v>4.4809289000000003</v>
      </c>
      <c r="N260" s="10">
        <v>61.848255627251518</v>
      </c>
      <c r="O260" s="10">
        <v>-24.169725154647598</v>
      </c>
      <c r="P260" s="1" t="str">
        <f>HYPERLINK(".\sm_car_250819_0008\sm_car_250819_0008_259_Ca203TrN_MaTUR_DrSt_ode23t_1.png","figure")</f>
        <v>figure</v>
      </c>
      <c r="Q260" t="s">
        <v>15</v>
      </c>
    </row>
    <row r="261" spans="1:17" x14ac:dyDescent="0.25">
      <c r="A261">
        <v>260</v>
      </c>
      <c r="B261">
        <v>185</v>
      </c>
      <c r="C261" t="s">
        <v>45</v>
      </c>
      <c r="D261" t="s">
        <v>17</v>
      </c>
      <c r="E261" t="s">
        <v>18</v>
      </c>
      <c r="F261" t="s">
        <v>19</v>
      </c>
      <c r="G261" t="s">
        <v>26</v>
      </c>
      <c r="H261" t="s">
        <v>21</v>
      </c>
      <c r="I261" t="s">
        <v>64</v>
      </c>
      <c r="J261" t="s">
        <v>148</v>
      </c>
      <c r="K261" t="s">
        <v>23</v>
      </c>
      <c r="L261">
        <v>525</v>
      </c>
      <c r="M261" s="10">
        <v>19.3891685</v>
      </c>
      <c r="N261" s="10">
        <v>111.95281659102216</v>
      </c>
      <c r="O261" s="10">
        <v>-78.457169937270109</v>
      </c>
      <c r="P261" s="1" t="str">
        <f>HYPERLINK(".\sm_car_250819_0008\sm_car_250819_0008_260_Ca185TrN_MaTUR_DrSt_ode23t_1.png","figure")</f>
        <v>figure</v>
      </c>
      <c r="Q261" t="s">
        <v>15</v>
      </c>
    </row>
    <row r="262" spans="1:17" x14ac:dyDescent="0.25">
      <c r="A262">
        <v>261</v>
      </c>
      <c r="B262">
        <v>188</v>
      </c>
      <c r="C262" t="s">
        <v>45</v>
      </c>
      <c r="D262" t="s">
        <v>113</v>
      </c>
      <c r="E262" t="s">
        <v>49</v>
      </c>
      <c r="F262" t="s">
        <v>19</v>
      </c>
      <c r="G262" t="s">
        <v>26</v>
      </c>
      <c r="H262" t="s">
        <v>21</v>
      </c>
      <c r="I262" t="s">
        <v>64</v>
      </c>
      <c r="J262" t="s">
        <v>148</v>
      </c>
      <c r="K262" t="s">
        <v>23</v>
      </c>
      <c r="L262">
        <v>537</v>
      </c>
      <c r="M262" s="10">
        <v>6.8726547</v>
      </c>
      <c r="N262" s="10">
        <v>140.58787729740934</v>
      </c>
      <c r="O262" s="10">
        <v>-71.735643550699706</v>
      </c>
      <c r="P262" s="1" t="str">
        <f>HYPERLINK(".\sm_car_250819_0008\sm_car_250819_0008_261_Ca188TrN_MaTUR_DrSt_ode23t_1.png","figure")</f>
        <v>figure</v>
      </c>
      <c r="Q262" t="s">
        <v>15</v>
      </c>
    </row>
    <row r="263" spans="1:17" x14ac:dyDescent="0.25">
      <c r="A263">
        <v>262</v>
      </c>
      <c r="B263" t="s">
        <v>94</v>
      </c>
      <c r="C263" t="s">
        <v>95</v>
      </c>
      <c r="D263" t="s">
        <v>35</v>
      </c>
      <c r="E263" t="s">
        <v>18</v>
      </c>
      <c r="F263" t="s">
        <v>19</v>
      </c>
      <c r="G263" t="s">
        <v>96</v>
      </c>
      <c r="H263" t="s">
        <v>21</v>
      </c>
      <c r="I263" t="s">
        <v>22</v>
      </c>
      <c r="J263" t="s">
        <v>148</v>
      </c>
      <c r="K263" t="s">
        <v>23</v>
      </c>
      <c r="L263">
        <v>439</v>
      </c>
      <c r="M263" s="10">
        <v>14.720913599999999</v>
      </c>
      <c r="N263" s="10">
        <v>79.18191404399154</v>
      </c>
      <c r="O263" s="10">
        <v>-0.33333805086646962</v>
      </c>
      <c r="P263" s="1" t="str">
        <f>HYPERLINK(".\sm_car_250819_0008\sm_car_Axle3_250819_0008_262_CaAxle3_000TrN_MaWOT_DrSt_ode23t_1.png","figure")</f>
        <v>figure</v>
      </c>
      <c r="Q263" t="s">
        <v>15</v>
      </c>
    </row>
    <row r="264" spans="1:17" x14ac:dyDescent="0.25">
      <c r="A264">
        <v>263</v>
      </c>
      <c r="B264" t="s">
        <v>99</v>
      </c>
      <c r="C264" t="s">
        <v>100</v>
      </c>
      <c r="D264" t="s">
        <v>35</v>
      </c>
      <c r="E264" t="s">
        <v>18</v>
      </c>
      <c r="F264" t="s">
        <v>19</v>
      </c>
      <c r="G264" t="s">
        <v>96</v>
      </c>
      <c r="H264" t="s">
        <v>21</v>
      </c>
      <c r="I264" t="s">
        <v>22</v>
      </c>
      <c r="J264" t="s">
        <v>148</v>
      </c>
      <c r="K264" t="s">
        <v>23</v>
      </c>
      <c r="L264">
        <v>543</v>
      </c>
      <c r="M264" s="10">
        <v>15.6292165</v>
      </c>
      <c r="N264" s="10">
        <v>61.77981990600604</v>
      </c>
      <c r="O264" s="10">
        <v>-7.8774394819635968E-2</v>
      </c>
      <c r="P264" s="1" t="str">
        <f>HYPERLINK(".\sm_car_250819_0008\sm_car_Axle3_250819_0008_263_CaAxle3_008TrN_MaWOT_DrSt_ode23t_1.png","figure")</f>
        <v>figure</v>
      </c>
      <c r="Q264" t="s">
        <v>15</v>
      </c>
    </row>
    <row r="265" spans="1:17" x14ac:dyDescent="0.25">
      <c r="A265">
        <v>264</v>
      </c>
      <c r="B265" t="s">
        <v>97</v>
      </c>
      <c r="C265" t="s">
        <v>95</v>
      </c>
      <c r="D265" t="s">
        <v>35</v>
      </c>
      <c r="E265" t="s">
        <v>49</v>
      </c>
      <c r="F265" t="s">
        <v>19</v>
      </c>
      <c r="G265" t="s">
        <v>98</v>
      </c>
      <c r="H265" t="s">
        <v>21</v>
      </c>
      <c r="I265" t="s">
        <v>22</v>
      </c>
      <c r="J265" t="s">
        <v>148</v>
      </c>
      <c r="K265" t="s">
        <v>23</v>
      </c>
      <c r="L265">
        <v>425</v>
      </c>
      <c r="M265" s="10">
        <v>12.0501725</v>
      </c>
      <c r="N265" s="10">
        <v>79.267785357633912</v>
      </c>
      <c r="O265" s="10">
        <v>-0.31325812773398548</v>
      </c>
      <c r="P265" s="1" t="str">
        <f>HYPERLINK(".\sm_car_250819_0008\sm_car_Axle3_250819_0008_264_CaAxle3_003TrN_MaWOT_DrSt_ode23t_1.png","figure")</f>
        <v>figure</v>
      </c>
      <c r="Q265" t="s">
        <v>15</v>
      </c>
    </row>
    <row r="266" spans="1:17" x14ac:dyDescent="0.25">
      <c r="A266">
        <v>265</v>
      </c>
      <c r="B266" t="s">
        <v>114</v>
      </c>
      <c r="C266" t="s">
        <v>95</v>
      </c>
      <c r="D266" t="s">
        <v>35</v>
      </c>
      <c r="E266" t="s">
        <v>107</v>
      </c>
      <c r="F266" t="s">
        <v>19</v>
      </c>
      <c r="G266" t="s">
        <v>98</v>
      </c>
      <c r="H266" t="s">
        <v>21</v>
      </c>
      <c r="I266" t="s">
        <v>22</v>
      </c>
      <c r="J266" t="s">
        <v>148</v>
      </c>
      <c r="K266" t="s">
        <v>23</v>
      </c>
      <c r="L266">
        <v>427</v>
      </c>
      <c r="M266" s="10">
        <v>2.0506850000000001</v>
      </c>
      <c r="N266" s="10">
        <v>80.145520056216895</v>
      </c>
      <c r="O266" s="10">
        <v>-0.31945069771391377</v>
      </c>
      <c r="P266" s="1" t="str">
        <f>HYPERLINK(".\sm_car_250819_0008\sm_car_Axle3_250819_0008_265_CaAxle3_017TrN_MaWOT_DrSt_ode23t_1.png","figure")</f>
        <v>figure</v>
      </c>
      <c r="Q266" t="s">
        <v>15</v>
      </c>
    </row>
    <row r="267" spans="1:17" x14ac:dyDescent="0.25">
      <c r="A267">
        <v>266</v>
      </c>
      <c r="B267" t="s">
        <v>101</v>
      </c>
      <c r="C267" t="s">
        <v>100</v>
      </c>
      <c r="D267" t="s">
        <v>35</v>
      </c>
      <c r="E267" t="s">
        <v>49</v>
      </c>
      <c r="F267" t="s">
        <v>19</v>
      </c>
      <c r="G267" t="s">
        <v>96</v>
      </c>
      <c r="H267" t="s">
        <v>102</v>
      </c>
      <c r="I267" t="s">
        <v>22</v>
      </c>
      <c r="J267" t="s">
        <v>148</v>
      </c>
      <c r="K267" t="s">
        <v>23</v>
      </c>
      <c r="L267">
        <v>392</v>
      </c>
      <c r="M267" s="10">
        <v>32.479005000000001</v>
      </c>
      <c r="N267" s="10">
        <v>44.189670453626576</v>
      </c>
      <c r="O267" s="10">
        <v>2.2667559725565202E-2</v>
      </c>
      <c r="P267" s="1" t="str">
        <f>HYPERLINK(".\sm_car_250819_0008\sm_car_Axle3_250819_0008_266_CaAxle3_010TrK_MaWOT_DrSt_ode23t_1.png","figure")</f>
        <v>figure</v>
      </c>
      <c r="Q267" t="s">
        <v>15</v>
      </c>
    </row>
    <row r="268" spans="1:17" x14ac:dyDescent="0.25">
      <c r="A268">
        <v>267</v>
      </c>
      <c r="B268" t="s">
        <v>101</v>
      </c>
      <c r="C268" t="s">
        <v>100</v>
      </c>
      <c r="D268" t="s">
        <v>35</v>
      </c>
      <c r="E268" t="s">
        <v>49</v>
      </c>
      <c r="F268" t="s">
        <v>19</v>
      </c>
      <c r="G268" t="s">
        <v>96</v>
      </c>
      <c r="H268" t="s">
        <v>102</v>
      </c>
      <c r="I268" t="s">
        <v>22</v>
      </c>
      <c r="J268" t="s">
        <v>148</v>
      </c>
      <c r="K268" t="s">
        <v>23</v>
      </c>
      <c r="L268">
        <v>406</v>
      </c>
      <c r="M268" s="10">
        <v>31.948426099999999</v>
      </c>
      <c r="N268" s="10">
        <v>44.312924711828757</v>
      </c>
      <c r="O268" s="10">
        <v>2.2832810444894373E-2</v>
      </c>
      <c r="P268" s="1" t="str">
        <f>HYPERLINK(".\sm_car_250819_0008\sm_car_Axle3_250819_0008_267_CaAxle3_010TrK_MaWOT_DrSt_ode23t_1.png","figure")</f>
        <v>figure</v>
      </c>
      <c r="Q268" t="s">
        <v>15</v>
      </c>
    </row>
    <row r="269" spans="1:17" x14ac:dyDescent="0.25">
      <c r="A269">
        <v>268</v>
      </c>
      <c r="B269" t="s">
        <v>115</v>
      </c>
      <c r="C269" t="s">
        <v>100</v>
      </c>
      <c r="D269" t="s">
        <v>35</v>
      </c>
      <c r="E269" t="s">
        <v>107</v>
      </c>
      <c r="F269" t="s">
        <v>19</v>
      </c>
      <c r="G269" t="s">
        <v>96</v>
      </c>
      <c r="H269" t="s">
        <v>102</v>
      </c>
      <c r="I269" t="s">
        <v>22</v>
      </c>
      <c r="J269" t="s">
        <v>148</v>
      </c>
      <c r="K269" t="s">
        <v>23</v>
      </c>
      <c r="L269">
        <v>398</v>
      </c>
      <c r="M269" s="10">
        <v>2.8869172999999999</v>
      </c>
      <c r="N269" s="10">
        <v>48.183630404109145</v>
      </c>
      <c r="O269" s="10">
        <v>2.6474643088302156E-2</v>
      </c>
      <c r="P269" s="1" t="str">
        <f>HYPERLINK(".\sm_car_250819_0008\sm_car_Axle3_250819_0008_268_CaAxle3_019TrK_MaWOT_DrSt_ode23t_1.png","figure")</f>
        <v>figure</v>
      </c>
      <c r="Q269" t="s">
        <v>15</v>
      </c>
    </row>
    <row r="270" spans="1:17" x14ac:dyDescent="0.25">
      <c r="A270">
        <v>269</v>
      </c>
      <c r="B270" t="s">
        <v>115</v>
      </c>
      <c r="C270" t="s">
        <v>100</v>
      </c>
      <c r="D270" t="s">
        <v>35</v>
      </c>
      <c r="E270" t="s">
        <v>107</v>
      </c>
      <c r="F270" t="s">
        <v>19</v>
      </c>
      <c r="G270" t="s">
        <v>96</v>
      </c>
      <c r="H270" t="s">
        <v>102</v>
      </c>
      <c r="I270" t="s">
        <v>22</v>
      </c>
      <c r="J270" t="s">
        <v>148</v>
      </c>
      <c r="K270" t="s">
        <v>23</v>
      </c>
      <c r="L270">
        <v>401</v>
      </c>
      <c r="M270" s="10">
        <v>3.0929853</v>
      </c>
      <c r="N270" s="10">
        <v>48.113115966530458</v>
      </c>
      <c r="O270" s="10">
        <v>2.637444045770107E-2</v>
      </c>
      <c r="P270" s="1" t="str">
        <f>HYPERLINK(".\sm_car_250819_0008\sm_car_Axle3_250819_0008_269_CaAxle3_019TrK_MaWOT_DrSt_ode23t_1.png","figure")</f>
        <v>figure</v>
      </c>
      <c r="Q270" t="s">
        <v>15</v>
      </c>
    </row>
    <row r="271" spans="1:17" x14ac:dyDescent="0.25">
      <c r="A271">
        <v>270</v>
      </c>
      <c r="B271" t="s">
        <v>115</v>
      </c>
      <c r="C271" t="s">
        <v>100</v>
      </c>
      <c r="D271" t="s">
        <v>35</v>
      </c>
      <c r="E271" t="s">
        <v>107</v>
      </c>
      <c r="F271" t="s">
        <v>19</v>
      </c>
      <c r="G271" t="s">
        <v>96</v>
      </c>
      <c r="H271" t="s">
        <v>102</v>
      </c>
      <c r="I271" t="s">
        <v>53</v>
      </c>
      <c r="J271" t="s">
        <v>148</v>
      </c>
      <c r="K271" t="s">
        <v>23</v>
      </c>
      <c r="L271">
        <v>638</v>
      </c>
      <c r="M271" s="10">
        <v>4.4468154000000002</v>
      </c>
      <c r="N271" s="10">
        <v>253.24838707261961</v>
      </c>
      <c r="O271" s="10">
        <v>-0.10868539897714324</v>
      </c>
      <c r="P271" s="1" t="str">
        <f>HYPERLINK(".\sm_car_250819_0008\sm_car_Axle3_250819_0008_270_CaAxle3_019TrK_MaDLC_DrSt_ode23t_1.png","figure")</f>
        <v>figure</v>
      </c>
      <c r="Q271" t="s">
        <v>15</v>
      </c>
    </row>
    <row r="272" spans="1:17" x14ac:dyDescent="0.25">
      <c r="A272">
        <v>271</v>
      </c>
      <c r="B272" t="s">
        <v>115</v>
      </c>
      <c r="C272" t="s">
        <v>100</v>
      </c>
      <c r="D272" t="s">
        <v>35</v>
      </c>
      <c r="E272" t="s">
        <v>107</v>
      </c>
      <c r="F272" t="s">
        <v>19</v>
      </c>
      <c r="G272" t="s">
        <v>96</v>
      </c>
      <c r="H272" t="s">
        <v>102</v>
      </c>
      <c r="I272" t="s">
        <v>53</v>
      </c>
      <c r="J272" t="s">
        <v>148</v>
      </c>
      <c r="K272" t="s">
        <v>23</v>
      </c>
      <c r="L272">
        <v>789</v>
      </c>
      <c r="M272" s="10">
        <v>4.4358445</v>
      </c>
      <c r="N272" s="10">
        <v>253.77740027801423</v>
      </c>
      <c r="O272" s="10">
        <v>-0.11408886273147356</v>
      </c>
      <c r="P272" s="1" t="str">
        <f>HYPERLINK(".\sm_car_250819_0008\sm_car_Axle3_250819_0008_271_CaAxle3_019TrK_MaDLC_DrSt_ode23t_1.png","figure")</f>
        <v>figure</v>
      </c>
      <c r="Q272" t="s">
        <v>15</v>
      </c>
    </row>
    <row r="273" spans="1:17" x14ac:dyDescent="0.25">
      <c r="A273">
        <v>272</v>
      </c>
      <c r="B273" t="s">
        <v>115</v>
      </c>
      <c r="C273" t="s">
        <v>100</v>
      </c>
      <c r="D273" t="s">
        <v>35</v>
      </c>
      <c r="E273" t="s">
        <v>107</v>
      </c>
      <c r="F273" t="s">
        <v>19</v>
      </c>
      <c r="G273" t="s">
        <v>96</v>
      </c>
      <c r="H273" t="s">
        <v>102</v>
      </c>
      <c r="I273" t="s">
        <v>53</v>
      </c>
      <c r="J273" t="s">
        <v>148</v>
      </c>
      <c r="K273" t="s">
        <v>23</v>
      </c>
      <c r="L273">
        <v>636</v>
      </c>
      <c r="M273" s="10">
        <v>4.6796692999999996</v>
      </c>
      <c r="N273" s="10">
        <v>256.66312674483788</v>
      </c>
      <c r="O273" s="10">
        <v>-0.11789157189242339</v>
      </c>
      <c r="P273" s="1" t="str">
        <f>HYPERLINK(".\sm_car_250819_0008\sm_car_Axle3_250819_0008_272_CaAxle3_019TrK_MaDLC_DrSt_ode23t_1.png","figure")</f>
        <v>figure</v>
      </c>
      <c r="Q273" t="s">
        <v>15</v>
      </c>
    </row>
    <row r="274" spans="1:17" x14ac:dyDescent="0.25">
      <c r="A274">
        <v>273</v>
      </c>
      <c r="B274" t="s">
        <v>115</v>
      </c>
      <c r="C274" t="s">
        <v>100</v>
      </c>
      <c r="D274" t="s">
        <v>35</v>
      </c>
      <c r="E274" t="s">
        <v>107</v>
      </c>
      <c r="F274" t="s">
        <v>19</v>
      </c>
      <c r="G274" t="s">
        <v>96</v>
      </c>
      <c r="H274" t="s">
        <v>102</v>
      </c>
      <c r="I274" t="s">
        <v>53</v>
      </c>
      <c r="J274" t="s">
        <v>148</v>
      </c>
      <c r="K274" t="s">
        <v>23</v>
      </c>
      <c r="L274">
        <v>836</v>
      </c>
      <c r="M274" s="10">
        <v>5.0116905000000003</v>
      </c>
      <c r="N274" s="10">
        <v>253.37413009992412</v>
      </c>
      <c r="O274" s="10">
        <v>-0.10549365777436037</v>
      </c>
      <c r="P274" s="1" t="str">
        <f>HYPERLINK(".\sm_car_250819_0008\sm_car_Axle3_250819_0008_273_CaAxle3_019TrK_MaDLC_DrSt_ode23t_1.png","figure")</f>
        <v>figure</v>
      </c>
      <c r="Q274" t="s">
        <v>15</v>
      </c>
    </row>
    <row r="275" spans="1:17" x14ac:dyDescent="0.25">
      <c r="A275">
        <v>274</v>
      </c>
      <c r="B275" t="s">
        <v>138</v>
      </c>
      <c r="C275" t="s">
        <v>139</v>
      </c>
      <c r="D275" t="s">
        <v>35</v>
      </c>
      <c r="E275" t="s">
        <v>49</v>
      </c>
      <c r="F275" t="s">
        <v>19</v>
      </c>
      <c r="G275" t="s">
        <v>96</v>
      </c>
      <c r="H275" t="s">
        <v>102</v>
      </c>
      <c r="I275" t="s">
        <v>22</v>
      </c>
      <c r="J275" t="s">
        <v>148</v>
      </c>
      <c r="K275" t="s">
        <v>23</v>
      </c>
      <c r="L275">
        <v>376</v>
      </c>
      <c r="M275" s="10">
        <v>2.7876979999999998</v>
      </c>
      <c r="N275" s="10">
        <v>136.82811147455655</v>
      </c>
      <c r="O275" s="10">
        <v>0.19635394855258298</v>
      </c>
      <c r="P275" s="1" t="str">
        <f>HYPERLINK(".\sm_car_250819_0008\sm_car_Axle3_250819_0008_274_CaAxle3_023TrK_MaWOT_DrSt_ode23t_1.png","figure")</f>
        <v>figure</v>
      </c>
      <c r="Q275" t="s">
        <v>15</v>
      </c>
    </row>
  </sheetData>
  <autoFilter ref="A1:Q275" xr:uid="{CA3ED754-E464-478A-8A0D-DEE566328395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720F-5E70-493C-9F71-EC830FC4F448}">
  <dimension ref="A1:S275"/>
  <sheetViews>
    <sheetView workbookViewId="0">
      <selection activeCell="M1" sqref="M1:M1048576"/>
    </sheetView>
  </sheetViews>
  <sheetFormatPr defaultRowHeight="15" x14ac:dyDescent="0.25"/>
  <cols>
    <col min="1" max="1" width="6.28515625" bestFit="1" customWidth="1"/>
    <col min="2" max="2" width="9.42578125" bestFit="1" customWidth="1"/>
    <col min="3" max="3" width="12.5703125" bestFit="1" customWidth="1"/>
    <col min="4" max="4" width="12" bestFit="1" customWidth="1"/>
    <col min="5" max="5" width="11.140625" bestFit="1" customWidth="1"/>
    <col min="6" max="6" width="11" bestFit="1" customWidth="1"/>
    <col min="7" max="7" width="15.42578125" bestFit="1" customWidth="1"/>
    <col min="8" max="8" width="7.7109375" bestFit="1" customWidth="1"/>
    <col min="9" max="9" width="25.140625" bestFit="1" customWidth="1"/>
    <col min="10" max="10" width="11.28515625" bestFit="1" customWidth="1"/>
    <col min="11" max="11" width="6.7109375" bestFit="1" customWidth="1"/>
    <col min="12" max="12" width="9" bestFit="1" customWidth="1"/>
    <col min="13" max="13" width="7.28515625" bestFit="1" customWidth="1"/>
    <col min="14" max="14" width="7.85546875" bestFit="1" customWidth="1"/>
    <col min="15" max="15" width="8.28515625" bestFit="1" customWidth="1"/>
    <col min="16" max="16" width="8.140625" bestFit="1" customWidth="1"/>
    <col min="17" max="17" width="6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S1" s="2" t="s">
        <v>170</v>
      </c>
    </row>
    <row r="2" spans="1:19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148</v>
      </c>
      <c r="K2" t="s">
        <v>23</v>
      </c>
      <c r="L2">
        <v>416</v>
      </c>
      <c r="M2" s="10">
        <v>6.606395</v>
      </c>
      <c r="N2" s="10">
        <v>230.11045501013601</v>
      </c>
      <c r="O2" s="10">
        <v>-6.4069828188937777E-3</v>
      </c>
      <c r="P2" s="1" t="str">
        <f>HYPERLINK(".\sm_car_250819_2005\sm_car_250819_2005_001_Ca000TrN_MaWOT_DrSt_ode23t.png","figure")</f>
        <v>figure</v>
      </c>
      <c r="Q2" t="s">
        <v>15</v>
      </c>
      <c r="S2" s="2" t="s">
        <v>116</v>
      </c>
    </row>
    <row r="3" spans="1:19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24</v>
      </c>
      <c r="J3" t="s">
        <v>148</v>
      </c>
      <c r="K3" t="s">
        <v>23</v>
      </c>
      <c r="L3">
        <v>536</v>
      </c>
      <c r="M3" s="10">
        <v>7.1202095999999999</v>
      </c>
      <c r="N3" s="10">
        <v>70.870636032636526</v>
      </c>
      <c r="O3" s="10">
        <v>-0.53444607256030063</v>
      </c>
      <c r="P3" s="1" t="str">
        <f>HYPERLINK(".\sm_car_250819_2005\sm_car_250819_2005_002_Ca000TrN_MaLSS_DrSt_ode23t.png","figure")</f>
        <v>figure</v>
      </c>
      <c r="Q3" t="s">
        <v>15</v>
      </c>
      <c r="S3" s="2" t="s">
        <v>117</v>
      </c>
    </row>
    <row r="4" spans="1:19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21</v>
      </c>
      <c r="I4" t="s">
        <v>22</v>
      </c>
      <c r="J4" t="s">
        <v>148</v>
      </c>
      <c r="K4" t="s">
        <v>23</v>
      </c>
      <c r="L4">
        <v>403</v>
      </c>
      <c r="M4" s="10">
        <v>6.9309412000000004</v>
      </c>
      <c r="N4" s="10">
        <v>229.2023361390462</v>
      </c>
      <c r="O4" s="10">
        <v>-1.6726552398236498E-2</v>
      </c>
      <c r="P4" s="1" t="str">
        <f>HYPERLINK(".\sm_car_250819_2005\sm_car_250819_2005_003_Ca001TrN_MaWOT_DrSt_ode23t.png","figure")</f>
        <v>figure</v>
      </c>
      <c r="Q4" t="s">
        <v>15</v>
      </c>
      <c r="S4" s="2" t="s">
        <v>164</v>
      </c>
    </row>
    <row r="5" spans="1:19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25</v>
      </c>
      <c r="H5" t="s">
        <v>21</v>
      </c>
      <c r="I5" t="s">
        <v>24</v>
      </c>
      <c r="J5" t="s">
        <v>148</v>
      </c>
      <c r="K5" t="s">
        <v>23</v>
      </c>
      <c r="L5">
        <v>505</v>
      </c>
      <c r="M5" s="10">
        <v>8.0135111000000006</v>
      </c>
      <c r="N5" s="10">
        <v>70.602052477448424</v>
      </c>
      <c r="O5" s="10">
        <v>-0.52933590327780344</v>
      </c>
      <c r="P5" s="1" t="str">
        <f>HYPERLINK(".\sm_car_250819_2005\sm_car_250819_2005_004_Ca001TrN_MaLSS_DrSt_ode23t.png","figure")</f>
        <v>figure</v>
      </c>
      <c r="Q5" t="s">
        <v>15</v>
      </c>
      <c r="S5" t="s">
        <v>171</v>
      </c>
    </row>
    <row r="6" spans="1:19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26</v>
      </c>
      <c r="H6" t="s">
        <v>21</v>
      </c>
      <c r="I6" t="s">
        <v>22</v>
      </c>
      <c r="J6" t="s">
        <v>148</v>
      </c>
      <c r="K6" t="s">
        <v>23</v>
      </c>
      <c r="L6">
        <v>441</v>
      </c>
      <c r="M6" s="10">
        <v>10.861804599999999</v>
      </c>
      <c r="N6" s="10">
        <v>229.14618664616387</v>
      </c>
      <c r="O6" s="10">
        <v>4.9843218616042025E-2</v>
      </c>
      <c r="P6" s="1" t="str">
        <f>HYPERLINK(".\sm_car_250819_2005\sm_car_250819_2005_005_Ca002TrN_MaWOT_DrSt_ode23t.png","figure")</f>
        <v>figure</v>
      </c>
      <c r="Q6" t="s">
        <v>15</v>
      </c>
    </row>
    <row r="7" spans="1:19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26</v>
      </c>
      <c r="H7" t="s">
        <v>21</v>
      </c>
      <c r="I7" t="s">
        <v>24</v>
      </c>
      <c r="J7" t="s">
        <v>148</v>
      </c>
      <c r="K7" t="s">
        <v>23</v>
      </c>
      <c r="L7">
        <v>533</v>
      </c>
      <c r="M7" s="10">
        <v>10.644864699999999</v>
      </c>
      <c r="N7" s="10">
        <v>70.582574800098868</v>
      </c>
      <c r="O7" s="10">
        <v>-0.5225752399123339</v>
      </c>
      <c r="P7" s="1" t="str">
        <f>HYPERLINK(".\sm_car_250819_2005\sm_car_250819_2005_006_Ca002TrN_MaLSS_DrSt_ode23t.png","figure")</f>
        <v>figure</v>
      </c>
      <c r="Q7" t="s">
        <v>15</v>
      </c>
    </row>
    <row r="8" spans="1:19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27</v>
      </c>
      <c r="H8" t="s">
        <v>21</v>
      </c>
      <c r="I8" t="s">
        <v>22</v>
      </c>
      <c r="J8" t="s">
        <v>148</v>
      </c>
      <c r="K8" t="s">
        <v>23</v>
      </c>
      <c r="L8">
        <v>480</v>
      </c>
      <c r="M8" s="10">
        <v>11.885244699999999</v>
      </c>
      <c r="N8" s="10">
        <v>228.66807335611335</v>
      </c>
      <c r="O8" s="10">
        <v>4.9135838966006311E-2</v>
      </c>
      <c r="P8" s="1" t="str">
        <f>HYPERLINK(".\sm_car_250819_2005\sm_car_250819_2005_007_Ca003TrN_MaWOT_DrSt_ode23t.png","figure")</f>
        <v>figure</v>
      </c>
      <c r="Q8" t="s">
        <v>15</v>
      </c>
    </row>
    <row r="9" spans="1:19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27</v>
      </c>
      <c r="H9" t="s">
        <v>21</v>
      </c>
      <c r="I9" t="s">
        <v>24</v>
      </c>
      <c r="J9" t="s">
        <v>148</v>
      </c>
      <c r="K9" t="s">
        <v>23</v>
      </c>
      <c r="L9">
        <v>541</v>
      </c>
      <c r="M9" s="10">
        <v>11.5451657</v>
      </c>
      <c r="N9" s="10">
        <v>70.458171650248374</v>
      </c>
      <c r="O9" s="10">
        <v>-0.52119416231414462</v>
      </c>
      <c r="P9" s="1" t="str">
        <f>HYPERLINK(".\sm_car_250819_2005\sm_car_250819_2005_008_Ca003TrN_MaLSS_DrSt_ode23t.png","figure")</f>
        <v>figure</v>
      </c>
      <c r="Q9" t="s">
        <v>15</v>
      </c>
    </row>
    <row r="10" spans="1:19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20</v>
      </c>
      <c r="H10" t="s">
        <v>21</v>
      </c>
      <c r="I10" t="s">
        <v>22</v>
      </c>
      <c r="J10" t="s">
        <v>148</v>
      </c>
      <c r="K10" t="s">
        <v>23</v>
      </c>
      <c r="L10">
        <v>1102</v>
      </c>
      <c r="M10" s="10">
        <v>10.561356099999999</v>
      </c>
      <c r="N10" s="10">
        <v>230.06991908943164</v>
      </c>
      <c r="O10" s="10">
        <v>-1.1791141717215226E-2</v>
      </c>
      <c r="P10" s="1" t="str">
        <f>HYPERLINK(".\sm_car_250819_2005\sm_car_250819_2005_009_Ca004TrN_MaWOT_DrSt_ode23t.png","figure")</f>
        <v>figure</v>
      </c>
      <c r="Q10" t="s">
        <v>15</v>
      </c>
    </row>
    <row r="11" spans="1:19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20</v>
      </c>
      <c r="H11" t="s">
        <v>21</v>
      </c>
      <c r="I11" t="s">
        <v>24</v>
      </c>
      <c r="J11" t="s">
        <v>148</v>
      </c>
      <c r="K11" t="s">
        <v>23</v>
      </c>
      <c r="L11">
        <v>1231</v>
      </c>
      <c r="M11" s="10">
        <v>12.0835504</v>
      </c>
      <c r="N11" s="10">
        <v>70.885260269211827</v>
      </c>
      <c r="O11" s="10">
        <v>-0.53750320931050044</v>
      </c>
      <c r="P11" s="1" t="str">
        <f>HYPERLINK(".\sm_car_250819_2005\sm_car_250819_2005_010_Ca004TrN_MaLSS_DrSt_ode23t.png","figure")</f>
        <v>figure</v>
      </c>
      <c r="Q11" t="s">
        <v>15</v>
      </c>
    </row>
    <row r="12" spans="1:19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25</v>
      </c>
      <c r="H12" t="s">
        <v>21</v>
      </c>
      <c r="I12" t="s">
        <v>22</v>
      </c>
      <c r="J12" t="s">
        <v>148</v>
      </c>
      <c r="K12" t="s">
        <v>23</v>
      </c>
      <c r="L12">
        <v>1088</v>
      </c>
      <c r="M12" s="10">
        <v>11.7614226</v>
      </c>
      <c r="N12" s="10">
        <v>228.74756262871091</v>
      </c>
      <c r="O12" s="10">
        <v>-1.2898904690793623E-2</v>
      </c>
      <c r="P12" s="1" t="str">
        <f>HYPERLINK(".\sm_car_250819_2005\sm_car_250819_2005_011_Ca005TrN_MaWOT_DrSt_ode23t.png","figure")</f>
        <v>figure</v>
      </c>
      <c r="Q12" t="s">
        <v>15</v>
      </c>
    </row>
    <row r="13" spans="1:19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25</v>
      </c>
      <c r="H13" t="s">
        <v>21</v>
      </c>
      <c r="I13" t="s">
        <v>24</v>
      </c>
      <c r="J13" t="s">
        <v>148</v>
      </c>
      <c r="K13" t="s">
        <v>23</v>
      </c>
      <c r="L13">
        <v>1214</v>
      </c>
      <c r="M13" s="10">
        <v>13.4596103</v>
      </c>
      <c r="N13" s="10">
        <v>70.596546137576425</v>
      </c>
      <c r="O13" s="10">
        <v>-0.5314056639892103</v>
      </c>
      <c r="P13" s="1" t="str">
        <f>HYPERLINK(".\sm_car_250819_2005\sm_car_250819_2005_012_Ca005TrN_MaLSS_DrSt_ode23t.png","figure")</f>
        <v>figure</v>
      </c>
      <c r="Q13" t="s">
        <v>15</v>
      </c>
    </row>
    <row r="14" spans="1:19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26</v>
      </c>
      <c r="H14" t="s">
        <v>21</v>
      </c>
      <c r="I14" t="s">
        <v>22</v>
      </c>
      <c r="J14" t="s">
        <v>148</v>
      </c>
      <c r="K14" t="s">
        <v>23</v>
      </c>
      <c r="L14">
        <v>1215</v>
      </c>
      <c r="M14" s="10">
        <v>15.717753399999999</v>
      </c>
      <c r="N14" s="10">
        <v>229.07836669584987</v>
      </c>
      <c r="O14" s="10">
        <v>4.6848233913051984E-2</v>
      </c>
      <c r="P14" s="1" t="str">
        <f>HYPERLINK(".\sm_car_250819_2005\sm_car_250819_2005_013_Ca006TrN_MaWOT_DrSt_ode23t.png","figure")</f>
        <v>figure</v>
      </c>
      <c r="Q14" t="s">
        <v>15</v>
      </c>
    </row>
    <row r="15" spans="1:19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26</v>
      </c>
      <c r="H15" t="s">
        <v>21</v>
      </c>
      <c r="I15" t="s">
        <v>24</v>
      </c>
      <c r="J15" t="s">
        <v>148</v>
      </c>
      <c r="K15" t="s">
        <v>23</v>
      </c>
      <c r="L15">
        <v>1286</v>
      </c>
      <c r="M15" s="10">
        <v>13.619324900000001</v>
      </c>
      <c r="N15" s="10">
        <v>70.592194421357917</v>
      </c>
      <c r="O15" s="10">
        <v>-0.52829649999610007</v>
      </c>
      <c r="P15" s="1" t="str">
        <f>HYPERLINK(".\sm_car_250819_2005\sm_car_250819_2005_014_Ca006TrN_MaLSS_DrSt_ode23t.png","figure")</f>
        <v>figure</v>
      </c>
      <c r="Q15" t="s">
        <v>15</v>
      </c>
    </row>
    <row r="16" spans="1:19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27</v>
      </c>
      <c r="H16" t="s">
        <v>21</v>
      </c>
      <c r="I16" t="s">
        <v>22</v>
      </c>
      <c r="J16" t="s">
        <v>148</v>
      </c>
      <c r="K16" t="s">
        <v>23</v>
      </c>
      <c r="L16">
        <v>1166</v>
      </c>
      <c r="M16" s="10">
        <v>13.2055255</v>
      </c>
      <c r="N16" s="10">
        <v>228.5243468678357</v>
      </c>
      <c r="O16" s="10">
        <v>4.5076339614135381E-2</v>
      </c>
      <c r="P16" s="1" t="str">
        <f>HYPERLINK(".\sm_car_250819_2005\sm_car_250819_2005_015_Ca007TrN_MaWOT_DrSt_ode23t.png","figure")</f>
        <v>figure</v>
      </c>
      <c r="Q16" t="s">
        <v>15</v>
      </c>
    </row>
    <row r="17" spans="1:17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27</v>
      </c>
      <c r="H17" t="s">
        <v>21</v>
      </c>
      <c r="I17" t="s">
        <v>24</v>
      </c>
      <c r="J17" t="s">
        <v>148</v>
      </c>
      <c r="K17" t="s">
        <v>23</v>
      </c>
      <c r="L17">
        <v>1270</v>
      </c>
      <c r="M17" s="10">
        <v>15.5941466</v>
      </c>
      <c r="N17" s="10">
        <v>70.462921737557778</v>
      </c>
      <c r="O17" s="10">
        <v>-0.52297546253415805</v>
      </c>
      <c r="P17" s="1" t="str">
        <f>HYPERLINK(".\sm_car_250819_2005\sm_car_250819_2005_016_Ca007TrN_MaLSS_DrSt_ode23t.png","figure")</f>
        <v>figure</v>
      </c>
      <c r="Q17" t="s">
        <v>15</v>
      </c>
    </row>
    <row r="18" spans="1:17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148</v>
      </c>
      <c r="K18" t="s">
        <v>23</v>
      </c>
      <c r="L18">
        <v>407</v>
      </c>
      <c r="M18" s="10">
        <v>5.6240547999999997</v>
      </c>
      <c r="N18" s="10">
        <v>230.72588787159594</v>
      </c>
      <c r="O18" s="10">
        <v>-7.4083687681159943E-2</v>
      </c>
      <c r="P18" s="1" t="str">
        <f>HYPERLINK(".\sm_car_250819_2005\sm_car_250819_2005_017_Ca016TrN_MaWOT_DrSt_ode23t.png","figure")</f>
        <v>figure</v>
      </c>
      <c r="Q18" t="s">
        <v>15</v>
      </c>
    </row>
    <row r="19" spans="1:17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20</v>
      </c>
      <c r="H19" t="s">
        <v>21</v>
      </c>
      <c r="I19" t="s">
        <v>24</v>
      </c>
      <c r="J19" t="s">
        <v>148</v>
      </c>
      <c r="K19" t="s">
        <v>23</v>
      </c>
      <c r="L19">
        <v>497</v>
      </c>
      <c r="M19" s="10">
        <v>5.4404504999999999</v>
      </c>
      <c r="N19" s="10">
        <v>71.1446454734604</v>
      </c>
      <c r="O19" s="10">
        <v>-2.1754912716215807E-2</v>
      </c>
      <c r="P19" s="1" t="str">
        <f>HYPERLINK(".\sm_car_250819_2005\sm_car_250819_2005_018_Ca016TrN_MaLSS_DrSt_ode23t.png","figure")</f>
        <v>figure</v>
      </c>
      <c r="Q19" t="s">
        <v>15</v>
      </c>
    </row>
    <row r="20" spans="1:17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148</v>
      </c>
      <c r="K20" t="s">
        <v>23</v>
      </c>
      <c r="L20">
        <v>406</v>
      </c>
      <c r="M20" s="10">
        <v>7.2579881000000004</v>
      </c>
      <c r="N20" s="10">
        <v>230.03027069408438</v>
      </c>
      <c r="O20" s="10">
        <v>4.547350097684563E-3</v>
      </c>
      <c r="P20" s="1" t="str">
        <f>HYPERLINK(".\sm_car_250819_2005\sm_car_250819_2005_019_Ca032TrN_MaWOT_DrSt_ode23t.png","figure")</f>
        <v>figure</v>
      </c>
      <c r="Q20" t="s">
        <v>15</v>
      </c>
    </row>
    <row r="21" spans="1:17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20</v>
      </c>
      <c r="H21" t="s">
        <v>21</v>
      </c>
      <c r="I21" t="s">
        <v>24</v>
      </c>
      <c r="J21" t="s">
        <v>148</v>
      </c>
      <c r="K21" t="s">
        <v>23</v>
      </c>
      <c r="L21">
        <v>528</v>
      </c>
      <c r="M21" s="10">
        <v>7.8939649000000003</v>
      </c>
      <c r="N21" s="10">
        <v>70.885847502650094</v>
      </c>
      <c r="O21" s="10">
        <v>-0.51602338166764228</v>
      </c>
      <c r="P21" s="1" t="str">
        <f>HYPERLINK(".\sm_car_250819_2005\sm_car_250819_2005_020_Ca032TrN_MaLSS_DrSt_ode23t.png","figure")</f>
        <v>figure</v>
      </c>
      <c r="Q21" t="s">
        <v>15</v>
      </c>
    </row>
    <row r="22" spans="1:17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148</v>
      </c>
      <c r="K22" t="s">
        <v>23</v>
      </c>
      <c r="L22">
        <v>413</v>
      </c>
      <c r="M22" s="10">
        <v>7.7761255</v>
      </c>
      <c r="N22" s="10">
        <v>229.79925175338818</v>
      </c>
      <c r="O22" s="10">
        <v>-2.1690564370559363E-2</v>
      </c>
      <c r="P22" s="1" t="str">
        <f>HYPERLINK(".\sm_car_250819_2005\sm_car_250819_2005_021_Ca048TrN_MaWOT_DrSt_ode23t.png","figure")</f>
        <v>figure</v>
      </c>
      <c r="Q22" t="s">
        <v>15</v>
      </c>
    </row>
    <row r="23" spans="1:17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20</v>
      </c>
      <c r="H23" t="s">
        <v>21</v>
      </c>
      <c r="I23" t="s">
        <v>24</v>
      </c>
      <c r="J23" t="s">
        <v>148</v>
      </c>
      <c r="K23" t="s">
        <v>23</v>
      </c>
      <c r="L23">
        <v>523</v>
      </c>
      <c r="M23" s="10">
        <v>8.3141075999999998</v>
      </c>
      <c r="N23" s="10">
        <v>70.863163512362746</v>
      </c>
      <c r="O23" s="10">
        <v>-0.52228485212698739</v>
      </c>
      <c r="P23" s="1" t="str">
        <f>HYPERLINK(".\sm_car_250819_2005\sm_car_250819_2005_022_Ca048TrN_MaLSS_DrSt_ode23t.png","figure")</f>
        <v>figure</v>
      </c>
      <c r="Q23" t="s">
        <v>15</v>
      </c>
    </row>
    <row r="24" spans="1:17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 t="s">
        <v>148</v>
      </c>
      <c r="K24" t="s">
        <v>23</v>
      </c>
      <c r="L24">
        <v>412</v>
      </c>
      <c r="M24" s="10">
        <v>8.1036604000000008</v>
      </c>
      <c r="N24" s="10">
        <v>229.96359211485589</v>
      </c>
      <c r="O24" s="10">
        <v>4.2572337602979921E-3</v>
      </c>
      <c r="P24" s="1" t="str">
        <f>HYPERLINK(".\sm_car_250819_2005\sm_car_250819_2005_023_Ca064TrN_MaWOT_DrSt_ode23t.png","figure")</f>
        <v>figure</v>
      </c>
      <c r="Q24" t="s">
        <v>15</v>
      </c>
    </row>
    <row r="25" spans="1:17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20</v>
      </c>
      <c r="H25" t="s">
        <v>21</v>
      </c>
      <c r="I25" t="s">
        <v>24</v>
      </c>
      <c r="J25" t="s">
        <v>148</v>
      </c>
      <c r="K25" t="s">
        <v>23</v>
      </c>
      <c r="L25">
        <v>503</v>
      </c>
      <c r="M25" s="10">
        <v>8.1802630000000001</v>
      </c>
      <c r="N25" s="10">
        <v>70.895195347557305</v>
      </c>
      <c r="O25" s="10">
        <v>-0.51144989480349567</v>
      </c>
      <c r="P25" s="1" t="str">
        <f>HYPERLINK(".\sm_car_250819_2005\sm_car_250819_2005_024_Ca064TrN_MaLSS_DrSt_ode23t.png","figure")</f>
        <v>figure</v>
      </c>
      <c r="Q25" t="s">
        <v>15</v>
      </c>
    </row>
    <row r="26" spans="1:17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148</v>
      </c>
      <c r="K26" t="s">
        <v>23</v>
      </c>
      <c r="L26">
        <v>409</v>
      </c>
      <c r="M26" s="10">
        <v>8.6993639999999992</v>
      </c>
      <c r="N26" s="10">
        <v>229.82358304714037</v>
      </c>
      <c r="O26" s="10">
        <v>-2.4472098816911116E-2</v>
      </c>
      <c r="P26" s="1" t="str">
        <f>HYPERLINK(".\sm_car_250819_2005\sm_car_250819_2005_025_Ca080TrN_MaWOT_DrSt_ode23t.png","figure")</f>
        <v>figure</v>
      </c>
      <c r="Q26" t="s">
        <v>15</v>
      </c>
    </row>
    <row r="27" spans="1:17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20</v>
      </c>
      <c r="H27" t="s">
        <v>21</v>
      </c>
      <c r="I27" t="s">
        <v>24</v>
      </c>
      <c r="J27" t="s">
        <v>148</v>
      </c>
      <c r="K27" t="s">
        <v>23</v>
      </c>
      <c r="L27">
        <v>533</v>
      </c>
      <c r="M27" s="10">
        <v>8.4858104000000001</v>
      </c>
      <c r="N27" s="10">
        <v>70.869728983456937</v>
      </c>
      <c r="O27" s="10">
        <v>-0.52043555953802989</v>
      </c>
      <c r="P27" s="1" t="str">
        <f>HYPERLINK(".\sm_car_250819_2005\sm_car_250819_2005_026_Ca080TrN_MaLSS_DrSt_ode23t.png","figure")</f>
        <v>figure</v>
      </c>
      <c r="Q27" t="s">
        <v>15</v>
      </c>
    </row>
    <row r="28" spans="1:17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148</v>
      </c>
      <c r="K28" t="s">
        <v>23</v>
      </c>
      <c r="L28">
        <v>399</v>
      </c>
      <c r="M28" s="10">
        <v>6.3655562999999997</v>
      </c>
      <c r="N28" s="10">
        <v>231.5613580141526</v>
      </c>
      <c r="O28" s="10">
        <v>1.8423419510803583E-2</v>
      </c>
      <c r="P28" s="1" t="str">
        <f>HYPERLINK(".\sm_car_250819_2005\sm_car_250819_2005_027_Ca096TrN_MaWOT_DrSt_ode23t.png","figure")</f>
        <v>figure</v>
      </c>
      <c r="Q28" t="s">
        <v>15</v>
      </c>
    </row>
    <row r="29" spans="1:17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20</v>
      </c>
      <c r="H29" t="s">
        <v>21</v>
      </c>
      <c r="I29" t="s">
        <v>24</v>
      </c>
      <c r="J29" t="s">
        <v>148</v>
      </c>
      <c r="K29" t="s">
        <v>23</v>
      </c>
      <c r="L29">
        <v>518</v>
      </c>
      <c r="M29" s="10">
        <v>6.8284637999999998</v>
      </c>
      <c r="N29" s="10">
        <v>71.376614032968362</v>
      </c>
      <c r="O29" s="10">
        <v>-0.52122989114972951</v>
      </c>
      <c r="P29" s="1" t="str">
        <f>HYPERLINK(".\sm_car_250819_2005\sm_car_250819_2005_028_Ca096TrN_MaLSS_DrSt_ode23t.png","figure")</f>
        <v>figure</v>
      </c>
      <c r="Q29" t="s">
        <v>15</v>
      </c>
    </row>
    <row r="30" spans="1:17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 t="s">
        <v>148</v>
      </c>
      <c r="K30" t="s">
        <v>23</v>
      </c>
      <c r="L30">
        <v>371</v>
      </c>
      <c r="M30" s="10">
        <v>2.8087111999999999</v>
      </c>
      <c r="N30" s="10">
        <v>242.6385086934819</v>
      </c>
      <c r="O30" s="10">
        <v>0.23540517481115167</v>
      </c>
      <c r="P30" s="1" t="str">
        <f>HYPERLINK(".\sm_car_250819_2005\sm_car_250819_2005_029_Ca112TrN_MaWOT_DrSt_ode23t.png","figure")</f>
        <v>figure</v>
      </c>
      <c r="Q30" t="s">
        <v>15</v>
      </c>
    </row>
    <row r="31" spans="1:17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20</v>
      </c>
      <c r="H31" t="s">
        <v>21</v>
      </c>
      <c r="I31" t="s">
        <v>24</v>
      </c>
      <c r="J31" t="s">
        <v>148</v>
      </c>
      <c r="K31" t="s">
        <v>23</v>
      </c>
      <c r="L31">
        <v>484</v>
      </c>
      <c r="M31" s="10">
        <v>2.7978543</v>
      </c>
      <c r="N31" s="10">
        <v>74.671083334168515</v>
      </c>
      <c r="O31" s="10">
        <v>-0.3369934257717313</v>
      </c>
      <c r="P31" s="1" t="str">
        <f>HYPERLINK(".\sm_car_250819_2005\sm_car_250819_2005_030_Ca112TrN_MaLSS_DrSt_ode23t.png","figure")</f>
        <v>figure</v>
      </c>
      <c r="Q31" t="s">
        <v>15</v>
      </c>
    </row>
    <row r="32" spans="1:17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25</v>
      </c>
      <c r="H32" t="s">
        <v>21</v>
      </c>
      <c r="I32" t="s">
        <v>22</v>
      </c>
      <c r="J32" t="s">
        <v>148</v>
      </c>
      <c r="K32" t="s">
        <v>23</v>
      </c>
      <c r="L32">
        <v>376</v>
      </c>
      <c r="M32" s="10">
        <v>2.9292221999999999</v>
      </c>
      <c r="N32" s="10">
        <v>241.62953780953444</v>
      </c>
      <c r="O32" s="10">
        <v>0.23230223293694249</v>
      </c>
      <c r="P32" s="1" t="str">
        <f>HYPERLINK(".\sm_car_250819_2005\sm_car_250819_2005_031_Ca113TrN_MaWOT_DrSt_ode23t.png","figure")</f>
        <v>figure</v>
      </c>
      <c r="Q32" t="s">
        <v>15</v>
      </c>
    </row>
    <row r="33" spans="1:17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25</v>
      </c>
      <c r="H33" t="s">
        <v>21</v>
      </c>
      <c r="I33" t="s">
        <v>24</v>
      </c>
      <c r="J33" t="s">
        <v>148</v>
      </c>
      <c r="K33" t="s">
        <v>23</v>
      </c>
      <c r="L33">
        <v>484</v>
      </c>
      <c r="M33" s="10">
        <v>3.0986601999999999</v>
      </c>
      <c r="N33" s="10">
        <v>74.340098687509567</v>
      </c>
      <c r="O33" s="10">
        <v>-0.33372692734011278</v>
      </c>
      <c r="P33" s="1" t="str">
        <f>HYPERLINK(".\sm_car_250819_2005\sm_car_250819_2005_032_Ca113TrN_MaLSS_DrSt_ode23t.png","figure")</f>
        <v>figure</v>
      </c>
      <c r="Q33" t="s">
        <v>15</v>
      </c>
    </row>
    <row r="34" spans="1:17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26</v>
      </c>
      <c r="H34" t="s">
        <v>21</v>
      </c>
      <c r="I34" t="s">
        <v>22</v>
      </c>
      <c r="J34" t="s">
        <v>148</v>
      </c>
      <c r="K34" t="s">
        <v>23</v>
      </c>
      <c r="L34">
        <v>372</v>
      </c>
      <c r="M34" s="10">
        <v>3.3053708999999998</v>
      </c>
      <c r="N34" s="10">
        <v>241.70449738947406</v>
      </c>
      <c r="O34" s="10">
        <v>0.23128168946887298</v>
      </c>
      <c r="P34" s="1" t="str">
        <f>HYPERLINK(".\sm_car_250819_2005\sm_car_250819_2005_033_Ca114TrN_MaWOT_DrSt_ode23t.png","figure")</f>
        <v>figure</v>
      </c>
      <c r="Q34" t="s">
        <v>15</v>
      </c>
    </row>
    <row r="35" spans="1:17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26</v>
      </c>
      <c r="H35" t="s">
        <v>21</v>
      </c>
      <c r="I35" t="s">
        <v>24</v>
      </c>
      <c r="J35" t="s">
        <v>148</v>
      </c>
      <c r="K35" t="s">
        <v>23</v>
      </c>
      <c r="L35">
        <v>486</v>
      </c>
      <c r="M35" s="10">
        <v>3.5609278</v>
      </c>
      <c r="N35" s="10">
        <v>74.361345656173739</v>
      </c>
      <c r="O35" s="10">
        <v>-0.33462528282329457</v>
      </c>
      <c r="P35" s="1" t="str">
        <f>HYPERLINK(".\sm_car_250819_2005\sm_car_250819_2005_034_Ca114TrN_MaLSS_DrSt_ode23t.png","figure")</f>
        <v>figure</v>
      </c>
      <c r="Q35" t="s">
        <v>15</v>
      </c>
    </row>
    <row r="36" spans="1:17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27</v>
      </c>
      <c r="H36" t="s">
        <v>21</v>
      </c>
      <c r="I36" t="s">
        <v>22</v>
      </c>
      <c r="J36" t="s">
        <v>148</v>
      </c>
      <c r="K36" t="s">
        <v>23</v>
      </c>
      <c r="L36">
        <v>399</v>
      </c>
      <c r="M36" s="10">
        <v>3.3230985999999998</v>
      </c>
      <c r="N36" s="10">
        <v>241.09827564855482</v>
      </c>
      <c r="O36" s="10">
        <v>0.20814756310660232</v>
      </c>
      <c r="P36" s="1" t="str">
        <f>HYPERLINK(".\sm_car_250819_2005\sm_car_250819_2005_035_Ca115TrN_MaWOT_DrSt_ode23t.png","figure")</f>
        <v>figure</v>
      </c>
      <c r="Q36" t="s">
        <v>15</v>
      </c>
    </row>
    <row r="37" spans="1:17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27</v>
      </c>
      <c r="H37" t="s">
        <v>21</v>
      </c>
      <c r="I37" t="s">
        <v>24</v>
      </c>
      <c r="J37" t="s">
        <v>148</v>
      </c>
      <c r="K37" t="s">
        <v>23</v>
      </c>
      <c r="L37">
        <v>508</v>
      </c>
      <c r="M37" s="10">
        <v>3.5587092999999999</v>
      </c>
      <c r="N37" s="10">
        <v>74.196675134173418</v>
      </c>
      <c r="O37" s="10">
        <v>-0.33201652149680444</v>
      </c>
      <c r="P37" s="1" t="str">
        <f>HYPERLINK(".\sm_car_250819_2005\sm_car_250819_2005_036_Ca115TrN_MaLSS_DrSt_ode23t.png","figure")</f>
        <v>figure</v>
      </c>
      <c r="Q37" t="s">
        <v>15</v>
      </c>
    </row>
    <row r="38" spans="1:17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20</v>
      </c>
      <c r="H38" t="s">
        <v>21</v>
      </c>
      <c r="I38" t="s">
        <v>22</v>
      </c>
      <c r="J38" t="s">
        <v>148</v>
      </c>
      <c r="K38" t="s">
        <v>23</v>
      </c>
      <c r="L38">
        <v>917</v>
      </c>
      <c r="M38" s="10">
        <v>4.5310243000000003</v>
      </c>
      <c r="N38" s="10">
        <v>242.55284377109695</v>
      </c>
      <c r="O38" s="10">
        <v>0.23659137482604095</v>
      </c>
      <c r="P38" s="1" t="str">
        <f>HYPERLINK(".\sm_car_250819_2005\sm_car_250819_2005_037_Ca116TrN_MaWOT_DrSt_ode23t.png","figure")</f>
        <v>figure</v>
      </c>
      <c r="Q38" t="s">
        <v>15</v>
      </c>
    </row>
    <row r="39" spans="1:17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20</v>
      </c>
      <c r="H39" t="s">
        <v>21</v>
      </c>
      <c r="I39" t="s">
        <v>24</v>
      </c>
      <c r="J39" t="s">
        <v>148</v>
      </c>
      <c r="K39" t="s">
        <v>23</v>
      </c>
      <c r="L39">
        <v>1057</v>
      </c>
      <c r="M39" s="10">
        <v>5.1009361000000002</v>
      </c>
      <c r="N39" s="10">
        <v>74.662659723869751</v>
      </c>
      <c r="O39" s="10">
        <v>-0.3401055901651473</v>
      </c>
      <c r="P39" s="1" t="str">
        <f>HYPERLINK(".\sm_car_250819_2005\sm_car_250819_2005_038_Ca116TrN_MaLSS_DrSt_ode23t.png","figure")</f>
        <v>figure</v>
      </c>
      <c r="Q39" t="s">
        <v>15</v>
      </c>
    </row>
    <row r="40" spans="1:17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25</v>
      </c>
      <c r="H40" t="s">
        <v>21</v>
      </c>
      <c r="I40" t="s">
        <v>22</v>
      </c>
      <c r="J40" t="s">
        <v>148</v>
      </c>
      <c r="K40" t="s">
        <v>23</v>
      </c>
      <c r="L40">
        <v>963</v>
      </c>
      <c r="M40" s="10">
        <v>5.2100884000000001</v>
      </c>
      <c r="N40" s="10">
        <v>241.50229099389202</v>
      </c>
      <c r="O40" s="10">
        <v>0.23261616238238711</v>
      </c>
      <c r="P40" s="1" t="str">
        <f>HYPERLINK(".\sm_car_250819_2005\sm_car_250819_2005_039_Ca117TrN_MaWOT_DrSt_ode23t.png","figure")</f>
        <v>figure</v>
      </c>
      <c r="Q40" t="s">
        <v>15</v>
      </c>
    </row>
    <row r="41" spans="1:17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25</v>
      </c>
      <c r="H41" t="s">
        <v>21</v>
      </c>
      <c r="I41" t="s">
        <v>24</v>
      </c>
      <c r="J41" t="s">
        <v>148</v>
      </c>
      <c r="K41" t="s">
        <v>23</v>
      </c>
      <c r="L41">
        <v>1063</v>
      </c>
      <c r="M41" s="10">
        <v>5.8964502000000003</v>
      </c>
      <c r="N41" s="10">
        <v>74.339005108528042</v>
      </c>
      <c r="O41" s="10">
        <v>-0.33658754453363837</v>
      </c>
      <c r="P41" s="1" t="str">
        <f>HYPERLINK(".\sm_car_250819_2005\sm_car_250819_2005_040_Ca117TrN_MaLSS_DrSt_ode23t.png","figure")</f>
        <v>figure</v>
      </c>
      <c r="Q41" t="s">
        <v>15</v>
      </c>
    </row>
    <row r="42" spans="1:17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26</v>
      </c>
      <c r="H42" t="s">
        <v>21</v>
      </c>
      <c r="I42" t="s">
        <v>22</v>
      </c>
      <c r="J42" t="s">
        <v>148</v>
      </c>
      <c r="K42" t="s">
        <v>23</v>
      </c>
      <c r="L42">
        <v>952</v>
      </c>
      <c r="M42" s="10">
        <v>5.2258819000000001</v>
      </c>
      <c r="N42" s="10">
        <v>241.36532401579007</v>
      </c>
      <c r="O42" s="10">
        <v>0.23298292468366089</v>
      </c>
      <c r="P42" s="1" t="str">
        <f>HYPERLINK(".\sm_car_250819_2005\sm_car_250819_2005_041_Ca118TrN_MaWOT_DrSt_ode23t.png","figure")</f>
        <v>figure</v>
      </c>
      <c r="Q42" t="s">
        <v>15</v>
      </c>
    </row>
    <row r="43" spans="1:17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26</v>
      </c>
      <c r="H43" t="s">
        <v>21</v>
      </c>
      <c r="I43" t="s">
        <v>24</v>
      </c>
      <c r="J43" t="s">
        <v>148</v>
      </c>
      <c r="K43" t="s">
        <v>23</v>
      </c>
      <c r="L43">
        <v>1069</v>
      </c>
      <c r="M43" s="10">
        <v>6.1275177999999997</v>
      </c>
      <c r="N43" s="10">
        <v>74.336586889550276</v>
      </c>
      <c r="O43" s="10">
        <v>-0.33434453915553519</v>
      </c>
      <c r="P43" s="1" t="str">
        <f>HYPERLINK(".\sm_car_250819_2005\sm_car_250819_2005_042_Ca118TrN_MaLSS_DrSt_ode23t.png","figure")</f>
        <v>figure</v>
      </c>
      <c r="Q43" t="s">
        <v>15</v>
      </c>
    </row>
    <row r="44" spans="1:17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27</v>
      </c>
      <c r="H44" t="s">
        <v>21</v>
      </c>
      <c r="I44" t="s">
        <v>22</v>
      </c>
      <c r="J44" t="s">
        <v>148</v>
      </c>
      <c r="K44" t="s">
        <v>23</v>
      </c>
      <c r="L44">
        <v>994</v>
      </c>
      <c r="M44" s="10">
        <v>5.6207650999999998</v>
      </c>
      <c r="N44" s="10">
        <v>241.1068233618283</v>
      </c>
      <c r="O44" s="10">
        <v>0.23358159870149733</v>
      </c>
      <c r="P44" s="1" t="str">
        <f>HYPERLINK(".\sm_car_250819_2005\sm_car_250819_2005_043_Ca119TrN_MaWOT_DrSt_ode23t.png","figure")</f>
        <v>figure</v>
      </c>
      <c r="Q44" t="s">
        <v>15</v>
      </c>
    </row>
    <row r="45" spans="1:17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27</v>
      </c>
      <c r="H45" t="s">
        <v>21</v>
      </c>
      <c r="I45" t="s">
        <v>24</v>
      </c>
      <c r="J45" t="s">
        <v>148</v>
      </c>
      <c r="K45" t="s">
        <v>23</v>
      </c>
      <c r="L45">
        <v>1106</v>
      </c>
      <c r="M45" s="10">
        <v>5.9979912999999998</v>
      </c>
      <c r="N45" s="10">
        <v>74.193918413612963</v>
      </c>
      <c r="O45" s="10">
        <v>-0.33192196573177418</v>
      </c>
      <c r="P45" s="1" t="str">
        <f>HYPERLINK(".\sm_car_250819_2005\sm_car_250819_2005_044_Ca119TrN_MaLSS_DrSt_ode23t.png","figure")</f>
        <v>figure</v>
      </c>
      <c r="Q45" t="s">
        <v>15</v>
      </c>
    </row>
    <row r="46" spans="1:17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148</v>
      </c>
      <c r="K46" t="s">
        <v>23</v>
      </c>
      <c r="L46">
        <v>326</v>
      </c>
      <c r="M46" s="10">
        <v>5.8003910999999997</v>
      </c>
      <c r="N46" s="10">
        <v>98.945575850525998</v>
      </c>
      <c r="O46" s="10">
        <v>-1.8582083737113907E-2</v>
      </c>
      <c r="P46" s="1" t="str">
        <f>HYPERLINK(".\sm_car_250819_2005\sm_car_250819_2005_045_Ca128TrN_MaWOT_DrSt_ode23t.png","figure")</f>
        <v>figure</v>
      </c>
      <c r="Q46" t="s">
        <v>15</v>
      </c>
    </row>
    <row r="47" spans="1:17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148</v>
      </c>
      <c r="K47" t="s">
        <v>23</v>
      </c>
      <c r="L47">
        <v>456</v>
      </c>
      <c r="M47" s="10">
        <v>6.8476375999999997</v>
      </c>
      <c r="N47" s="10">
        <v>36.723347994776852</v>
      </c>
      <c r="O47" s="10">
        <v>-0.12840575905936971</v>
      </c>
      <c r="P47" s="1" t="str">
        <f>HYPERLINK(".\sm_car_250819_2005\sm_car_250819_2005_046_Ca128TrN_MaLSS_DrSt_ode23t.png","figure")</f>
        <v>figure</v>
      </c>
      <c r="Q47" t="s">
        <v>15</v>
      </c>
    </row>
    <row r="48" spans="1:17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148</v>
      </c>
      <c r="K48" t="s">
        <v>23</v>
      </c>
      <c r="L48">
        <v>345</v>
      </c>
      <c r="M48" s="10">
        <v>6.3004050999999999</v>
      </c>
      <c r="N48" s="10">
        <v>228.22862791820285</v>
      </c>
      <c r="O48" s="10">
        <v>5.1994269746547701E-2</v>
      </c>
      <c r="P48" s="1" t="str">
        <f>HYPERLINK(".\sm_car_250819_2005\sm_car_250819_2005_047_Ca129TrN_MaWOT_DrSt_ode23t.png","figure")</f>
        <v>figure</v>
      </c>
      <c r="Q48" t="s">
        <v>15</v>
      </c>
    </row>
    <row r="49" spans="1:17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148</v>
      </c>
      <c r="K49" t="s">
        <v>23</v>
      </c>
      <c r="L49">
        <v>475</v>
      </c>
      <c r="M49" s="10">
        <v>8.1736897000000006</v>
      </c>
      <c r="N49" s="10">
        <v>70.380185727731558</v>
      </c>
      <c r="O49" s="10">
        <v>-0.51808237867485729</v>
      </c>
      <c r="P49" s="1" t="str">
        <f>HYPERLINK(".\sm_car_250819_2005\sm_car_250819_2005_048_Ca129TrN_MaLSS_DrSt_ode23t.png","figure")</f>
        <v>figure</v>
      </c>
      <c r="Q49" t="s">
        <v>15</v>
      </c>
    </row>
    <row r="50" spans="1:17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148</v>
      </c>
      <c r="K50" t="s">
        <v>23</v>
      </c>
      <c r="L50">
        <v>804</v>
      </c>
      <c r="M50" s="10">
        <v>22.382975999999999</v>
      </c>
      <c r="N50" s="10">
        <v>215.61687038766246</v>
      </c>
      <c r="O50" s="10">
        <v>-1.5784471575431833</v>
      </c>
      <c r="P50" s="1" t="str">
        <f>HYPERLINK(".\sm_car_250819_2005\sm_car_250819_2005_049_Ca130TrN_MaWOT_DrSt_ode23t.png","figure")</f>
        <v>figure</v>
      </c>
      <c r="Q50" t="s">
        <v>15</v>
      </c>
    </row>
    <row r="51" spans="1:17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148</v>
      </c>
      <c r="K51" t="s">
        <v>23</v>
      </c>
      <c r="L51">
        <v>778</v>
      </c>
      <c r="M51" s="10">
        <v>19.7510218</v>
      </c>
      <c r="N51" s="10">
        <v>68.383086165648933</v>
      </c>
      <c r="O51" s="10">
        <v>-0.54061422187657349</v>
      </c>
      <c r="P51" s="1" t="str">
        <f>HYPERLINK(".\sm_car_250819_2005\sm_car_250819_2005_050_Ca130TrN_MaLSS_DrSt_ode23t.png","figure")</f>
        <v>figure</v>
      </c>
      <c r="Q51" t="s">
        <v>15</v>
      </c>
    </row>
    <row r="52" spans="1:17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148</v>
      </c>
      <c r="K52" t="s">
        <v>23</v>
      </c>
      <c r="L52">
        <v>343</v>
      </c>
      <c r="M52" s="10">
        <v>4.6072335000000004</v>
      </c>
      <c r="N52" s="10">
        <v>229.16135903416696</v>
      </c>
      <c r="O52" s="10">
        <v>-4.5875075565293182E-2</v>
      </c>
      <c r="P52" s="1" t="str">
        <f>HYPERLINK(".\sm_car_250819_2005\sm_car_250819_2005_051_Ca131TrN_MaWOT_DrSt_ode23t.png","figure")</f>
        <v>figure</v>
      </c>
      <c r="Q52" t="s">
        <v>15</v>
      </c>
    </row>
    <row r="53" spans="1:17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148</v>
      </c>
      <c r="K53" t="s">
        <v>23</v>
      </c>
      <c r="L53">
        <v>491</v>
      </c>
      <c r="M53" s="10">
        <v>5.3448210999999999</v>
      </c>
      <c r="N53" s="10">
        <v>70.603093904910537</v>
      </c>
      <c r="O53" s="10">
        <v>-0.5316473280265227</v>
      </c>
      <c r="P53" s="1" t="str">
        <f>HYPERLINK(".\sm_car_250819_2005\sm_car_250819_2005_052_Ca131TrN_MaLSS_DrSt_ode23t.png","figure")</f>
        <v>figure</v>
      </c>
      <c r="Q53" t="s">
        <v>15</v>
      </c>
    </row>
    <row r="54" spans="1:17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148</v>
      </c>
      <c r="K54" t="s">
        <v>23</v>
      </c>
      <c r="L54">
        <v>347</v>
      </c>
      <c r="M54" s="10">
        <v>4.5046061000000002</v>
      </c>
      <c r="N54" s="10">
        <v>229.12707859939488</v>
      </c>
      <c r="O54" s="10">
        <v>-1.3473405779730963E-2</v>
      </c>
      <c r="P54" s="1" t="str">
        <f>HYPERLINK(".\sm_car_250819_2005\sm_car_250819_2005_053_Ca132TrN_MaWOT_DrSt_ode23t.png","figure")</f>
        <v>figure</v>
      </c>
      <c r="Q54" t="s">
        <v>15</v>
      </c>
    </row>
    <row r="55" spans="1:17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148</v>
      </c>
      <c r="K55" t="s">
        <v>23</v>
      </c>
      <c r="L55">
        <v>493</v>
      </c>
      <c r="M55" s="10">
        <v>5.4284619999999997</v>
      </c>
      <c r="N55" s="10">
        <v>70.589378565263019</v>
      </c>
      <c r="O55" s="10">
        <v>-0.52930678649246732</v>
      </c>
      <c r="P55" s="1" t="str">
        <f>HYPERLINK(".\sm_car_250819_2005\sm_car_250819_2005_054_Ca132TrN_MaLSS_DrSt_ode23t.png","figure")</f>
        <v>figure</v>
      </c>
      <c r="Q55" t="s">
        <v>15</v>
      </c>
    </row>
    <row r="56" spans="1:17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148</v>
      </c>
      <c r="K56" t="s">
        <v>23</v>
      </c>
      <c r="L56">
        <v>352</v>
      </c>
      <c r="M56" s="10">
        <v>4.5483399000000002</v>
      </c>
      <c r="N56" s="10">
        <v>228.79602948166371</v>
      </c>
      <c r="O56" s="10">
        <v>-1.6033138834852516E-2</v>
      </c>
      <c r="P56" s="1" t="str">
        <f>HYPERLINK(".\sm_car_250819_2005\sm_car_250819_2005_055_Ca133TrN_MaWOT_DrSt_ode23t.png","figure")</f>
        <v>figure</v>
      </c>
      <c r="Q56" t="s">
        <v>15</v>
      </c>
    </row>
    <row r="57" spans="1:17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148</v>
      </c>
      <c r="K57" t="s">
        <v>23</v>
      </c>
      <c r="L57">
        <v>490</v>
      </c>
      <c r="M57" s="10">
        <v>5.4639683000000003</v>
      </c>
      <c r="N57" s="10">
        <v>70.601697490596038</v>
      </c>
      <c r="O57" s="10">
        <v>-0.52833308380087529</v>
      </c>
      <c r="P57" s="1" t="str">
        <f>HYPERLINK(".\sm_car_250819_2005\sm_car_250819_2005_056_Ca133TrN_MaLSS_DrSt_ode23t.png","figure")</f>
        <v>figure</v>
      </c>
      <c r="Q57" t="s">
        <v>15</v>
      </c>
    </row>
    <row r="58" spans="1:17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148</v>
      </c>
      <c r="K58" t="s">
        <v>23</v>
      </c>
      <c r="L58">
        <v>351</v>
      </c>
      <c r="M58" s="10">
        <v>4.5384438999999999</v>
      </c>
      <c r="N58" s="10">
        <v>229.06854083103434</v>
      </c>
      <c r="O58" s="10">
        <v>-1.6781003752303847E-2</v>
      </c>
      <c r="P58" s="1" t="str">
        <f>HYPERLINK(".\sm_car_250819_2005\sm_car_250819_2005_057_Ca134TrN_MaWOT_DrSt_ode23t.png","figure")</f>
        <v>figure</v>
      </c>
      <c r="Q58" t="s">
        <v>15</v>
      </c>
    </row>
    <row r="59" spans="1:17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148</v>
      </c>
      <c r="K59" t="s">
        <v>23</v>
      </c>
      <c r="L59">
        <v>485</v>
      </c>
      <c r="M59" s="10">
        <v>5.4236272000000003</v>
      </c>
      <c r="N59" s="10">
        <v>70.604490403108798</v>
      </c>
      <c r="O59" s="10">
        <v>-0.52609884419076625</v>
      </c>
      <c r="P59" s="1" t="str">
        <f>HYPERLINK(".\sm_car_250819_2005\sm_car_250819_2005_058_Ca134TrN_MaLSS_DrSt_ode23t.png","figure")</f>
        <v>figure</v>
      </c>
      <c r="Q59" t="s">
        <v>15</v>
      </c>
    </row>
    <row r="60" spans="1:17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148</v>
      </c>
      <c r="K60" t="s">
        <v>23</v>
      </c>
      <c r="L60">
        <v>343</v>
      </c>
      <c r="M60" s="10">
        <v>4.5984078999999998</v>
      </c>
      <c r="N60" s="10">
        <v>229.01657333200694</v>
      </c>
      <c r="O60" s="10">
        <v>-1.6244505607017148E-2</v>
      </c>
      <c r="P60" s="1" t="str">
        <f>HYPERLINK(".\sm_car_250819_2005\sm_car_250819_2005_059_Ca135TrN_MaWOT_DrSt_ode23t.png","figure")</f>
        <v>figure</v>
      </c>
      <c r="Q60" t="s">
        <v>15</v>
      </c>
    </row>
    <row r="61" spans="1:17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148</v>
      </c>
      <c r="K61" t="s">
        <v>23</v>
      </c>
      <c r="L61">
        <v>494</v>
      </c>
      <c r="M61" s="10">
        <v>5.2545282000000002</v>
      </c>
      <c r="N61" s="10">
        <v>70.601876317921025</v>
      </c>
      <c r="O61" s="10">
        <v>-0.52770489718531011</v>
      </c>
      <c r="P61" s="1" t="str">
        <f>HYPERLINK(".\sm_car_250819_2005\sm_car_250819_2005_060_Ca135TrN_MaLSS_DrSt_ode23t.png","figure")</f>
        <v>figure</v>
      </c>
      <c r="Q61" t="s">
        <v>15</v>
      </c>
    </row>
    <row r="62" spans="1:17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148</v>
      </c>
      <c r="K62" t="s">
        <v>23</v>
      </c>
      <c r="L62">
        <v>384</v>
      </c>
      <c r="M62" s="10">
        <v>5.6190319999999998</v>
      </c>
      <c r="N62" s="10">
        <v>229.10457283769887</v>
      </c>
      <c r="O62" s="10">
        <v>4.6599941067758922E-2</v>
      </c>
      <c r="P62" s="1" t="str">
        <f>HYPERLINK(".\sm_car_250819_2005\sm_car_250819_2005_061_Ca136TrN_MaWOT_DrSt_ode23t.png","figure")</f>
        <v>figure</v>
      </c>
      <c r="Q62" t="s">
        <v>15</v>
      </c>
    </row>
    <row r="63" spans="1:17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148</v>
      </c>
      <c r="K63" t="s">
        <v>23</v>
      </c>
      <c r="L63">
        <v>508</v>
      </c>
      <c r="M63" s="10">
        <v>6.6926021000000002</v>
      </c>
      <c r="N63" s="10">
        <v>70.603737753890996</v>
      </c>
      <c r="O63" s="10">
        <v>-0.52095348749870163</v>
      </c>
      <c r="P63" s="1" t="str">
        <f>HYPERLINK(".\sm_car_250819_2005\sm_car_250819_2005_062_Ca136TrN_MaLSS_DrSt_ode23t.png","figure")</f>
        <v>figure</v>
      </c>
      <c r="Q63" t="s">
        <v>15</v>
      </c>
    </row>
    <row r="64" spans="1:17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148</v>
      </c>
      <c r="K64" t="s">
        <v>23</v>
      </c>
      <c r="L64">
        <v>330</v>
      </c>
      <c r="M64" s="10">
        <v>3.7320148</v>
      </c>
      <c r="N64" s="10">
        <v>229.94949984565895</v>
      </c>
      <c r="O64" s="10">
        <v>0.13753040320227727</v>
      </c>
      <c r="P64" s="1" t="str">
        <f>HYPERLINK(".\sm_car_250819_2005\sm_car_250819_2005_063_Ca137TrN_MaWOT_DrSt_ode23t.png","figure")</f>
        <v>figure</v>
      </c>
      <c r="Q64" t="s">
        <v>15</v>
      </c>
    </row>
    <row r="65" spans="1:17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148</v>
      </c>
      <c r="K65" t="s">
        <v>23</v>
      </c>
      <c r="L65">
        <v>476</v>
      </c>
      <c r="M65" s="10">
        <v>4.5122026000000002</v>
      </c>
      <c r="N65" s="10">
        <v>70.872021640054001</v>
      </c>
      <c r="O65" s="10">
        <v>-0.50679515378360318</v>
      </c>
      <c r="P65" s="1" t="str">
        <f>HYPERLINK(".\sm_car_250819_2005\sm_car_250819_2005_064_Ca137TrN_MaLSS_DrSt_ode23t.png","figure")</f>
        <v>figure</v>
      </c>
      <c r="Q65" t="s">
        <v>15</v>
      </c>
    </row>
    <row r="66" spans="1:17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148</v>
      </c>
      <c r="K66" t="s">
        <v>23</v>
      </c>
      <c r="L66">
        <v>332</v>
      </c>
      <c r="M66" s="10">
        <v>5.9553789999999998</v>
      </c>
      <c r="N66" s="10">
        <v>230.03479467965266</v>
      </c>
      <c r="O66" s="10">
        <v>0.15099959514325031</v>
      </c>
      <c r="P66" s="1" t="str">
        <f>HYPERLINK(".\sm_car_250819_2005\sm_car_250819_2005_065_Ca138TrN_MaWOT_DrSt_ode23t.png","figure")</f>
        <v>figure</v>
      </c>
      <c r="Q66" t="s">
        <v>15</v>
      </c>
    </row>
    <row r="67" spans="1:17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148</v>
      </c>
      <c r="K67" t="s">
        <v>23</v>
      </c>
      <c r="L67">
        <v>488</v>
      </c>
      <c r="M67" s="10">
        <v>6.2381548999999996</v>
      </c>
      <c r="N67" s="10">
        <v>70.76561859425523</v>
      </c>
      <c r="O67" s="10">
        <v>-0.81715887743635596</v>
      </c>
      <c r="P67" s="1" t="str">
        <f>HYPERLINK(".\sm_car_250819_2005\sm_car_250819_2005_066_Ca138TrN_MaLSS_DrSt_ode23t.png","figure")</f>
        <v>figure</v>
      </c>
      <c r="Q67" t="s">
        <v>15</v>
      </c>
    </row>
    <row r="68" spans="1:17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148</v>
      </c>
      <c r="K68" t="s">
        <v>23</v>
      </c>
      <c r="L68">
        <v>673</v>
      </c>
      <c r="M68" s="10">
        <v>25.774863700000001</v>
      </c>
      <c r="N68" s="10">
        <v>402.22401175962904</v>
      </c>
      <c r="O68" s="10">
        <v>1.6879724570637744</v>
      </c>
      <c r="P68" s="1" t="str">
        <f>HYPERLINK(".\sm_car_250819_2005\sm_car_250819_2005_067_Ca139TrN_MaWOT_DrSt_ode23t.png","figure")</f>
        <v>figure</v>
      </c>
      <c r="Q68" t="s">
        <v>15</v>
      </c>
    </row>
    <row r="69" spans="1:17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148</v>
      </c>
      <c r="K69" t="s">
        <v>23</v>
      </c>
      <c r="L69">
        <v>626</v>
      </c>
      <c r="M69" s="10">
        <v>14.370045599999999</v>
      </c>
      <c r="N69" s="10">
        <v>153.03154650633022</v>
      </c>
      <c r="O69" s="10">
        <v>-0.57607537158825983</v>
      </c>
      <c r="P69" s="1" t="str">
        <f>HYPERLINK(".\sm_car_250819_2005\sm_car_250819_2005_068_Ca139TrN_MaLSS_DrSt_ode23t.png","figure")</f>
        <v>figure</v>
      </c>
      <c r="Q69" t="s">
        <v>15</v>
      </c>
    </row>
    <row r="70" spans="1:17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148</v>
      </c>
      <c r="K70" t="s">
        <v>23</v>
      </c>
      <c r="L70">
        <v>1971</v>
      </c>
      <c r="M70" s="10">
        <v>35.276564</v>
      </c>
      <c r="N70" s="10">
        <v>402.31783731222907</v>
      </c>
      <c r="O70" s="10">
        <v>1.7113412172754674</v>
      </c>
      <c r="P70" s="1" t="str">
        <f>HYPERLINK(".\sm_car_250819_2005\sm_car_250819_2005_069_Ca141TrN_MaWOT_DrSt_ode23t.png","figure")</f>
        <v>figure</v>
      </c>
      <c r="Q70" t="s">
        <v>15</v>
      </c>
    </row>
    <row r="71" spans="1:17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148</v>
      </c>
      <c r="K71" t="s">
        <v>23</v>
      </c>
      <c r="L71">
        <v>1869</v>
      </c>
      <c r="M71" s="10">
        <v>25.1463824</v>
      </c>
      <c r="N71" s="10">
        <v>153.09735259459936</v>
      </c>
      <c r="O71" s="10">
        <v>-0.56908661255971871</v>
      </c>
      <c r="P71" s="1" t="str">
        <f>HYPERLINK(".\sm_car_250819_2005\sm_car_250819_2005_070_Ca141TrN_MaLSS_DrSt_ode23t.png","figure")</f>
        <v>figure</v>
      </c>
      <c r="Q71" t="s">
        <v>15</v>
      </c>
    </row>
    <row r="72" spans="1:17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148</v>
      </c>
      <c r="K72" t="s">
        <v>23</v>
      </c>
      <c r="L72">
        <v>360</v>
      </c>
      <c r="M72" s="10">
        <v>16.350545799999999</v>
      </c>
      <c r="N72" s="10">
        <v>62.428055937650697</v>
      </c>
      <c r="O72" s="10">
        <v>1.9139612135929084E-2</v>
      </c>
      <c r="P72" s="1" t="str">
        <f>HYPERLINK(".\sm_car_250819_2005\sm_car_250819_2005_071_Ca143TrN_MaWOT_DrSt_ode23t.png","figure")</f>
        <v>figure</v>
      </c>
      <c r="Q72" t="s">
        <v>15</v>
      </c>
    </row>
    <row r="73" spans="1:17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148</v>
      </c>
      <c r="K73" t="s">
        <v>23</v>
      </c>
      <c r="L73">
        <v>454</v>
      </c>
      <c r="M73" s="10">
        <v>19.626472</v>
      </c>
      <c r="N73" s="10">
        <v>24.931286332644017</v>
      </c>
      <c r="O73" s="10">
        <v>-5.2269820199117328E-2</v>
      </c>
      <c r="P73" s="1" t="str">
        <f>HYPERLINK(".\sm_car_250819_2005\sm_car_250819_2005_072_Ca143TrN_MaLSS_DrSt_ode23t.png","figure")</f>
        <v>figure</v>
      </c>
      <c r="Q73" t="s">
        <v>15</v>
      </c>
    </row>
    <row r="74" spans="1:17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148</v>
      </c>
      <c r="K74" t="s">
        <v>23</v>
      </c>
      <c r="L74">
        <v>333</v>
      </c>
      <c r="M74" s="10">
        <v>11.536028200000001</v>
      </c>
      <c r="N74" s="10">
        <v>76.987820290800315</v>
      </c>
      <c r="O74" s="10">
        <v>0.24464213861026024</v>
      </c>
      <c r="P74" s="1" t="str">
        <f>HYPERLINK(".\sm_car_250819_2005\sm_car_250819_2005_073_Ca144TrN_MaWOT_DrSt_ode23t.png","figure")</f>
        <v>figure</v>
      </c>
      <c r="Q74" t="s">
        <v>15</v>
      </c>
    </row>
    <row r="75" spans="1:17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148</v>
      </c>
      <c r="K75" t="s">
        <v>23</v>
      </c>
      <c r="L75">
        <v>458</v>
      </c>
      <c r="M75" s="10">
        <v>14.1666115</v>
      </c>
      <c r="N75" s="10">
        <v>35.473524210421573</v>
      </c>
      <c r="O75" s="10">
        <v>-3.1174470389253504E-2</v>
      </c>
      <c r="P75" s="1" t="str">
        <f>HYPERLINK(".\sm_car_250819_2005\sm_car_250819_2005_074_Ca144TrN_MaLSS_DrSt_ode23t.png","figure")</f>
        <v>figure</v>
      </c>
      <c r="Q75" t="s">
        <v>15</v>
      </c>
    </row>
    <row r="76" spans="1:17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148</v>
      </c>
      <c r="K76" t="s">
        <v>23</v>
      </c>
      <c r="L76">
        <v>2422</v>
      </c>
      <c r="M76" s="10">
        <v>29.905156300000002</v>
      </c>
      <c r="N76" s="10">
        <v>396.63192439097992</v>
      </c>
      <c r="O76" s="10">
        <v>-13.563422858403504</v>
      </c>
      <c r="P76" s="1" t="str">
        <f>HYPERLINK(".\sm_car_250819_2005\sm_car_250819_2005_075_Ca147TrN_MaWOT_DrSt_ode23t.png","figure")</f>
        <v>figure</v>
      </c>
      <c r="Q76" t="s">
        <v>15</v>
      </c>
    </row>
    <row r="77" spans="1:17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148</v>
      </c>
      <c r="K77" t="s">
        <v>23</v>
      </c>
      <c r="L77">
        <v>1309</v>
      </c>
      <c r="M77" s="10">
        <v>18.330017399999999</v>
      </c>
      <c r="N77" s="10">
        <v>150.40632181286207</v>
      </c>
      <c r="O77" s="10">
        <v>-2.2439964057370991</v>
      </c>
      <c r="P77" s="1" t="str">
        <f>HYPERLINK(".\sm_car_250819_2005\sm_car_250819_2005_076_Ca147TrN_MaLSS_DrSt_ode23t.png","figure")</f>
        <v>figure</v>
      </c>
      <c r="Q77" t="s">
        <v>15</v>
      </c>
    </row>
    <row r="78" spans="1:17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148</v>
      </c>
      <c r="K78" t="s">
        <v>23</v>
      </c>
      <c r="L78">
        <v>306</v>
      </c>
      <c r="M78" s="10">
        <v>7.5776145000000001</v>
      </c>
      <c r="N78" s="10">
        <v>229.6730166283497</v>
      </c>
      <c r="O78" s="10">
        <v>5.1408575898884848E-3</v>
      </c>
      <c r="P78" s="1" t="str">
        <f>HYPERLINK(".\sm_car_250819_2005\sm_car_250819_2005_077_Ca215TrN_MaWOT_DrSt_ode23t.png","figure")</f>
        <v>figure</v>
      </c>
      <c r="Q78" t="s">
        <v>15</v>
      </c>
    </row>
    <row r="79" spans="1:17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148</v>
      </c>
      <c r="K79" t="s">
        <v>23</v>
      </c>
      <c r="L79">
        <v>494</v>
      </c>
      <c r="M79" s="10">
        <v>8.0830173999999992</v>
      </c>
      <c r="N79" s="10">
        <v>81.274670644985392</v>
      </c>
      <c r="O79" s="10">
        <v>-0.22217667069138153</v>
      </c>
      <c r="P79" s="1" t="str">
        <f>HYPERLINK(".\sm_car_250819_2005\sm_car_250819_2005_078_Ca215TrN_MaLSS_DrSt_ode23t.png","figure")</f>
        <v>figure</v>
      </c>
      <c r="Q79" t="s">
        <v>15</v>
      </c>
    </row>
    <row r="80" spans="1:17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26</v>
      </c>
      <c r="H80" t="s">
        <v>21</v>
      </c>
      <c r="I80" t="s">
        <v>22</v>
      </c>
      <c r="J80" t="s">
        <v>148</v>
      </c>
      <c r="K80" t="s">
        <v>23</v>
      </c>
      <c r="L80">
        <v>359</v>
      </c>
      <c r="M80" s="10">
        <v>4.4787344999999998</v>
      </c>
      <c r="N80" s="10">
        <v>229.75837444554017</v>
      </c>
      <c r="O80" s="10">
        <v>0.1712694636570451</v>
      </c>
      <c r="P80" s="1" t="str">
        <f>HYPERLINK(".\sm_car_250819_2005\sm_car_250819_2005_079_Ca218TrN_MaWOT_DrSt_ode23t.png","figure")</f>
        <v>figure</v>
      </c>
      <c r="Q80" t="s">
        <v>15</v>
      </c>
    </row>
    <row r="81" spans="1:17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26</v>
      </c>
      <c r="H81" t="s">
        <v>21</v>
      </c>
      <c r="I81" t="s">
        <v>24</v>
      </c>
      <c r="J81" t="s">
        <v>148</v>
      </c>
      <c r="K81" t="s">
        <v>23</v>
      </c>
      <c r="L81">
        <v>494</v>
      </c>
      <c r="M81" s="10">
        <v>5.6332561999999999</v>
      </c>
      <c r="N81" s="10">
        <v>70.784242712622003</v>
      </c>
      <c r="O81" s="10">
        <v>-0.53208952822967093</v>
      </c>
      <c r="P81" s="1" t="str">
        <f>HYPERLINK(".\sm_car_250819_2005\sm_car_250819_2005_080_Ca218TrN_MaLSS_DrSt_ode23t.png","figure")</f>
        <v>figure</v>
      </c>
      <c r="Q81" t="s">
        <v>15</v>
      </c>
    </row>
    <row r="82" spans="1:17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26</v>
      </c>
      <c r="H82" t="s">
        <v>21</v>
      </c>
      <c r="I82" t="s">
        <v>22</v>
      </c>
      <c r="J82" t="s">
        <v>148</v>
      </c>
      <c r="K82" t="s">
        <v>23</v>
      </c>
      <c r="L82">
        <v>379</v>
      </c>
      <c r="M82" s="10">
        <v>6.7372297000000003</v>
      </c>
      <c r="N82" s="10">
        <v>228.87933303850758</v>
      </c>
      <c r="O82" s="10">
        <v>0.17330288774146971</v>
      </c>
      <c r="P82" s="1" t="str">
        <f>HYPERLINK(".\sm_car_250819_2005\sm_car_250819_2005_081_Ca219TrN_MaWOT_DrSt_ode23t.png","figure")</f>
        <v>figure</v>
      </c>
      <c r="Q82" t="s">
        <v>15</v>
      </c>
    </row>
    <row r="83" spans="1:17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26</v>
      </c>
      <c r="H83" t="s">
        <v>21</v>
      </c>
      <c r="I83" t="s">
        <v>24</v>
      </c>
      <c r="J83" t="s">
        <v>148</v>
      </c>
      <c r="K83" t="s">
        <v>23</v>
      </c>
      <c r="L83">
        <v>522</v>
      </c>
      <c r="M83" s="10">
        <v>8.3060366999999999</v>
      </c>
      <c r="N83" s="10">
        <v>70.603504706511671</v>
      </c>
      <c r="O83" s="10">
        <v>-0.55478518598653126</v>
      </c>
      <c r="P83" s="1" t="str">
        <f>HYPERLINK(".\sm_car_250819_2005\sm_car_250819_2005_082_Ca219TrN_MaLSS_DrSt_ode23t.png","figure")</f>
        <v>figure</v>
      </c>
      <c r="Q83" t="s">
        <v>15</v>
      </c>
    </row>
    <row r="84" spans="1:17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26</v>
      </c>
      <c r="H84" t="s">
        <v>21</v>
      </c>
      <c r="I84" t="s">
        <v>22</v>
      </c>
      <c r="J84" t="s">
        <v>148</v>
      </c>
      <c r="K84" t="s">
        <v>23</v>
      </c>
      <c r="L84">
        <v>943</v>
      </c>
      <c r="M84" s="10">
        <v>30.6354969</v>
      </c>
      <c r="N84" s="10">
        <v>223.20430490928044</v>
      </c>
      <c r="O84" s="10">
        <v>-1.2215644418465585</v>
      </c>
      <c r="P84" s="1" t="str">
        <f>HYPERLINK(".\sm_car_250819_2005\sm_car_250819_2005_083_Ca220TrN_MaWOT_DrSt_ode23t.png","figure")</f>
        <v>figure</v>
      </c>
      <c r="Q84" t="s">
        <v>15</v>
      </c>
    </row>
    <row r="85" spans="1:17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26</v>
      </c>
      <c r="H85" t="s">
        <v>21</v>
      </c>
      <c r="I85" t="s">
        <v>24</v>
      </c>
      <c r="J85" t="s">
        <v>148</v>
      </c>
      <c r="K85" t="s">
        <v>23</v>
      </c>
      <c r="L85">
        <v>1098</v>
      </c>
      <c r="M85" s="10">
        <v>36.459902599999999</v>
      </c>
      <c r="N85" s="10">
        <v>69.288030261336516</v>
      </c>
      <c r="O85" s="10">
        <v>-1.4994025136601543</v>
      </c>
      <c r="P85" s="1" t="str">
        <f>HYPERLINK(".\sm_car_250819_2005\sm_car_250819_2005_084_Ca220TrN_MaLSS_DrSt_ode23t.png","figure")</f>
        <v>figure</v>
      </c>
      <c r="Q85" t="s">
        <v>15</v>
      </c>
    </row>
    <row r="86" spans="1:17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148</v>
      </c>
      <c r="K86" t="s">
        <v>23</v>
      </c>
      <c r="L86">
        <v>464</v>
      </c>
      <c r="M86" s="10">
        <v>6.7083101999999997</v>
      </c>
      <c r="N86" s="10">
        <v>293.7992283157281</v>
      </c>
      <c r="O86" s="10">
        <v>4.8977384507214021E-5</v>
      </c>
      <c r="P86" s="1" t="str">
        <f>HYPERLINK(".\sm_car_250819_2005\sm_car_250819_2005_085_Ca223TrN_MaWOT_DrSt_ode23t.png","figure")</f>
        <v>figure</v>
      </c>
      <c r="Q86" t="s">
        <v>15</v>
      </c>
    </row>
    <row r="87" spans="1:17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148</v>
      </c>
      <c r="K87" t="s">
        <v>23</v>
      </c>
      <c r="L87">
        <v>658</v>
      </c>
      <c r="M87" s="10">
        <v>6.9748580000000002</v>
      </c>
      <c r="N87" s="10">
        <v>103.82444663327816</v>
      </c>
      <c r="O87" s="10">
        <v>-0.15651588008016154</v>
      </c>
      <c r="P87" s="1" t="str">
        <f>HYPERLINK(".\sm_car_250819_2005\sm_car_250819_2005_086_Ca223TrN_MaLSS_DrSt_ode23t.png","figure")</f>
        <v>figure</v>
      </c>
      <c r="Q87" t="s">
        <v>15</v>
      </c>
    </row>
    <row r="88" spans="1:17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148</v>
      </c>
      <c r="K88" t="s">
        <v>23</v>
      </c>
      <c r="L88">
        <v>768</v>
      </c>
      <c r="M88" s="10">
        <v>21.589242200000001</v>
      </c>
      <c r="N88" s="10">
        <v>405.74034317103968</v>
      </c>
      <c r="O88" s="10">
        <v>-11.897276456208196</v>
      </c>
      <c r="P88" s="1" t="str">
        <f>HYPERLINK(".\sm_car_250819_2005\sm_car_250819_2005_087_Ca227TrN_MaWOT_DrSt_ode23t.png","figure")</f>
        <v>figure</v>
      </c>
      <c r="Q88" t="s">
        <v>15</v>
      </c>
    </row>
    <row r="89" spans="1:17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148</v>
      </c>
      <c r="K89" t="s">
        <v>23</v>
      </c>
      <c r="L89">
        <v>720</v>
      </c>
      <c r="M89" s="10">
        <v>13.020664200000001</v>
      </c>
      <c r="N89" s="10">
        <v>154.52991452750317</v>
      </c>
      <c r="O89" s="10">
        <v>-2.846971553820842</v>
      </c>
      <c r="P89" s="1" t="str">
        <f>HYPERLINK(".\sm_car_250819_2005\sm_car_250819_2005_088_Ca227TrN_MaLSS_DrSt_ode23t.png","figure")</f>
        <v>figure</v>
      </c>
      <c r="Q89" t="s">
        <v>15</v>
      </c>
    </row>
    <row r="90" spans="1:17" x14ac:dyDescent="0.25">
      <c r="A90">
        <v>89</v>
      </c>
      <c r="B90">
        <v>8</v>
      </c>
      <c r="C90" t="s">
        <v>16</v>
      </c>
      <c r="D90" t="s">
        <v>17</v>
      </c>
      <c r="E90" t="s">
        <v>49</v>
      </c>
      <c r="F90" t="s">
        <v>19</v>
      </c>
      <c r="G90" t="s">
        <v>20</v>
      </c>
      <c r="H90" t="s">
        <v>21</v>
      </c>
      <c r="I90" t="s">
        <v>22</v>
      </c>
      <c r="J90" t="s">
        <v>148</v>
      </c>
      <c r="K90" t="s">
        <v>23</v>
      </c>
      <c r="L90">
        <v>382</v>
      </c>
      <c r="M90" s="10">
        <v>9.9037953000000005</v>
      </c>
      <c r="N90" s="10">
        <v>230.05376168818401</v>
      </c>
      <c r="O90" s="10">
        <v>-7.4708615412977779E-3</v>
      </c>
      <c r="P90" s="1" t="str">
        <f>HYPERLINK(".\sm_car_250819_2005\sm_car_250819_2005_089_Ca008TrN_MaWOT_DrSt_ode23t_1.png","figure")</f>
        <v>figure</v>
      </c>
      <c r="Q90" t="s">
        <v>15</v>
      </c>
    </row>
    <row r="91" spans="1:17" x14ac:dyDescent="0.25">
      <c r="A91">
        <v>90</v>
      </c>
      <c r="B91">
        <v>8</v>
      </c>
      <c r="C91" t="s">
        <v>16</v>
      </c>
      <c r="D91" t="s">
        <v>17</v>
      </c>
      <c r="E91" t="s">
        <v>49</v>
      </c>
      <c r="F91" t="s">
        <v>19</v>
      </c>
      <c r="G91" t="s">
        <v>20</v>
      </c>
      <c r="H91" t="s">
        <v>21</v>
      </c>
      <c r="I91" t="s">
        <v>24</v>
      </c>
      <c r="J91" t="s">
        <v>148</v>
      </c>
      <c r="K91" t="s">
        <v>23</v>
      </c>
      <c r="L91">
        <v>545</v>
      </c>
      <c r="M91" s="10">
        <v>12.010055700000001</v>
      </c>
      <c r="N91" s="10">
        <v>70.878576677039646</v>
      </c>
      <c r="O91" s="10">
        <v>-0.5292598321127977</v>
      </c>
      <c r="P91" s="1" t="str">
        <f>HYPERLINK(".\sm_car_250819_2005\sm_car_250819_2005_090_Ca008TrN_MaLSS_DrSt_ode23t_1.png","figure")</f>
        <v>figure</v>
      </c>
      <c r="Q91" t="s">
        <v>15</v>
      </c>
    </row>
    <row r="92" spans="1:17" x14ac:dyDescent="0.25">
      <c r="A92">
        <v>91</v>
      </c>
      <c r="B92">
        <v>13</v>
      </c>
      <c r="C92" t="s">
        <v>16</v>
      </c>
      <c r="D92" t="s">
        <v>17</v>
      </c>
      <c r="E92" t="s">
        <v>49</v>
      </c>
      <c r="F92" t="s">
        <v>28</v>
      </c>
      <c r="G92" t="s">
        <v>25</v>
      </c>
      <c r="H92" t="s">
        <v>21</v>
      </c>
      <c r="I92" t="s">
        <v>22</v>
      </c>
      <c r="J92" t="s">
        <v>148</v>
      </c>
      <c r="K92" t="s">
        <v>23</v>
      </c>
      <c r="L92">
        <v>850</v>
      </c>
      <c r="M92" s="10">
        <v>12.7435312</v>
      </c>
      <c r="N92" s="10">
        <v>229.05499163968926</v>
      </c>
      <c r="O92" s="10">
        <v>-1.6363183358596066E-2</v>
      </c>
      <c r="P92" s="1" t="str">
        <f>HYPERLINK(".\sm_car_250819_2005\sm_car_250819_2005_091_Ca013TrN_MaWOT_DrSt_ode23t_1.png","figure")</f>
        <v>figure</v>
      </c>
      <c r="Q92" t="s">
        <v>15</v>
      </c>
    </row>
    <row r="93" spans="1:17" x14ac:dyDescent="0.25">
      <c r="A93">
        <v>92</v>
      </c>
      <c r="B93">
        <v>13</v>
      </c>
      <c r="C93" t="s">
        <v>16</v>
      </c>
      <c r="D93" t="s">
        <v>17</v>
      </c>
      <c r="E93" t="s">
        <v>49</v>
      </c>
      <c r="F93" t="s">
        <v>28</v>
      </c>
      <c r="G93" t="s">
        <v>25</v>
      </c>
      <c r="H93" t="s">
        <v>21</v>
      </c>
      <c r="I93" t="s">
        <v>24</v>
      </c>
      <c r="J93" t="s">
        <v>148</v>
      </c>
      <c r="K93" t="s">
        <v>23</v>
      </c>
      <c r="L93">
        <v>1006</v>
      </c>
      <c r="M93" s="10">
        <v>15.3362111</v>
      </c>
      <c r="N93" s="10">
        <v>70.58902809723746</v>
      </c>
      <c r="O93" s="10">
        <v>-0.53202302412495239</v>
      </c>
      <c r="P93" s="1" t="str">
        <f>HYPERLINK(".\sm_car_250819_2005\sm_car_250819_2005_092_Ca013TrN_MaLSS_DrSt_ode23t_1.png","figure")</f>
        <v>figure</v>
      </c>
      <c r="Q93" t="s">
        <v>15</v>
      </c>
    </row>
    <row r="94" spans="1:17" x14ac:dyDescent="0.25">
      <c r="A94">
        <v>93</v>
      </c>
      <c r="B94">
        <v>120</v>
      </c>
      <c r="C94" t="s">
        <v>16</v>
      </c>
      <c r="D94" t="s">
        <v>35</v>
      </c>
      <c r="E94" t="s">
        <v>49</v>
      </c>
      <c r="F94" t="s">
        <v>19</v>
      </c>
      <c r="G94" t="s">
        <v>20</v>
      </c>
      <c r="H94" t="s">
        <v>21</v>
      </c>
      <c r="I94" t="s">
        <v>22</v>
      </c>
      <c r="J94" t="s">
        <v>148</v>
      </c>
      <c r="K94" t="s">
        <v>23</v>
      </c>
      <c r="L94">
        <v>416</v>
      </c>
      <c r="M94" s="10">
        <v>3.5817418000000001</v>
      </c>
      <c r="N94" s="10">
        <v>242.69170005986123</v>
      </c>
      <c r="O94" s="10">
        <v>0.23529589119818642</v>
      </c>
      <c r="P94" s="1" t="str">
        <f>HYPERLINK(".\sm_car_250819_2005\sm_car_250819_2005_093_Ca120TrN_MaWOT_DrSt_ode23t_1.png","figure")</f>
        <v>figure</v>
      </c>
      <c r="Q94" t="s">
        <v>15</v>
      </c>
    </row>
    <row r="95" spans="1:17" x14ac:dyDescent="0.25">
      <c r="A95">
        <v>94</v>
      </c>
      <c r="B95">
        <v>120</v>
      </c>
      <c r="C95" t="s">
        <v>16</v>
      </c>
      <c r="D95" t="s">
        <v>35</v>
      </c>
      <c r="E95" t="s">
        <v>49</v>
      </c>
      <c r="F95" t="s">
        <v>19</v>
      </c>
      <c r="G95" t="s">
        <v>20</v>
      </c>
      <c r="H95" t="s">
        <v>21</v>
      </c>
      <c r="I95" t="s">
        <v>24</v>
      </c>
      <c r="J95" t="s">
        <v>148</v>
      </c>
      <c r="K95" t="s">
        <v>23</v>
      </c>
      <c r="L95">
        <v>534</v>
      </c>
      <c r="M95" s="10">
        <v>3.9669403000000001</v>
      </c>
      <c r="N95" s="10">
        <v>74.671860856374394</v>
      </c>
      <c r="O95" s="10">
        <v>-0.33802521122689189</v>
      </c>
      <c r="P95" s="1" t="str">
        <f>HYPERLINK(".\sm_car_250819_2005\sm_car_250819_2005_094_Ca120TrN_MaLSS_DrSt_ode23t_1.png","figure")</f>
        <v>figure</v>
      </c>
      <c r="Q95" t="s">
        <v>15</v>
      </c>
    </row>
    <row r="96" spans="1:17" x14ac:dyDescent="0.25">
      <c r="A96">
        <v>95</v>
      </c>
      <c r="B96">
        <v>126</v>
      </c>
      <c r="C96" t="s">
        <v>16</v>
      </c>
      <c r="D96" t="s">
        <v>35</v>
      </c>
      <c r="E96" t="s">
        <v>49</v>
      </c>
      <c r="F96" t="s">
        <v>28</v>
      </c>
      <c r="G96" t="s">
        <v>26</v>
      </c>
      <c r="H96" t="s">
        <v>21</v>
      </c>
      <c r="I96" t="s">
        <v>22</v>
      </c>
      <c r="J96" t="s">
        <v>148</v>
      </c>
      <c r="K96" t="s">
        <v>23</v>
      </c>
      <c r="L96">
        <v>1021</v>
      </c>
      <c r="M96" s="10">
        <v>5.4098024999999996</v>
      </c>
      <c r="N96" s="10">
        <v>241.41642724986067</v>
      </c>
      <c r="O96" s="10">
        <v>0.23235374620598437</v>
      </c>
      <c r="P96" s="1" t="str">
        <f>HYPERLINK(".\sm_car_250819_2005\sm_car_250819_2005_095_Ca126TrN_MaWOT_DrSt_ode23t_1.png","figure")</f>
        <v>figure</v>
      </c>
      <c r="Q96" t="s">
        <v>15</v>
      </c>
    </row>
    <row r="97" spans="1:17" x14ac:dyDescent="0.25">
      <c r="A97">
        <v>96</v>
      </c>
      <c r="B97">
        <v>126</v>
      </c>
      <c r="C97" t="s">
        <v>16</v>
      </c>
      <c r="D97" t="s">
        <v>35</v>
      </c>
      <c r="E97" t="s">
        <v>49</v>
      </c>
      <c r="F97" t="s">
        <v>28</v>
      </c>
      <c r="G97" t="s">
        <v>26</v>
      </c>
      <c r="H97" t="s">
        <v>21</v>
      </c>
      <c r="I97" t="s">
        <v>24</v>
      </c>
      <c r="J97" t="s">
        <v>148</v>
      </c>
      <c r="K97" t="s">
        <v>23</v>
      </c>
      <c r="L97">
        <v>1146</v>
      </c>
      <c r="M97" s="10">
        <v>6.1391818000000002</v>
      </c>
      <c r="N97" s="10">
        <v>74.340172688289186</v>
      </c>
      <c r="O97" s="10">
        <v>-0.3354664429166006</v>
      </c>
      <c r="P97" s="1" t="str">
        <f>HYPERLINK(".\sm_car_250819_2005\sm_car_250819_2005_096_Ca126TrN_MaLSS_DrSt_ode23t_1.png","figure")</f>
        <v>figure</v>
      </c>
      <c r="Q97" t="s">
        <v>15</v>
      </c>
    </row>
    <row r="98" spans="1:17" x14ac:dyDescent="0.25">
      <c r="A98">
        <v>97</v>
      </c>
      <c r="B98">
        <v>127</v>
      </c>
      <c r="C98" t="s">
        <v>16</v>
      </c>
      <c r="D98" t="s">
        <v>35</v>
      </c>
      <c r="E98" t="s">
        <v>49</v>
      </c>
      <c r="F98" t="s">
        <v>28</v>
      </c>
      <c r="G98" t="s">
        <v>27</v>
      </c>
      <c r="H98" t="s">
        <v>21</v>
      </c>
      <c r="I98" t="s">
        <v>22</v>
      </c>
      <c r="J98" t="s">
        <v>148</v>
      </c>
      <c r="K98" t="s">
        <v>23</v>
      </c>
      <c r="L98">
        <v>1053</v>
      </c>
      <c r="M98" s="10">
        <v>5.6443171999999997</v>
      </c>
      <c r="N98" s="10">
        <v>241.05536954644745</v>
      </c>
      <c r="O98" s="10">
        <v>0.23100331212525366</v>
      </c>
      <c r="P98" s="1" t="str">
        <f>HYPERLINK(".\sm_car_250819_2005\sm_car_250819_2005_097_Ca127TrN_MaWOT_DrSt_ode23t_1.png","figure")</f>
        <v>figure</v>
      </c>
      <c r="Q98" t="s">
        <v>15</v>
      </c>
    </row>
    <row r="99" spans="1:17" x14ac:dyDescent="0.25">
      <c r="A99">
        <v>98</v>
      </c>
      <c r="B99">
        <v>127</v>
      </c>
      <c r="C99" t="s">
        <v>16</v>
      </c>
      <c r="D99" t="s">
        <v>35</v>
      </c>
      <c r="E99" t="s">
        <v>49</v>
      </c>
      <c r="F99" t="s">
        <v>28</v>
      </c>
      <c r="G99" t="s">
        <v>27</v>
      </c>
      <c r="H99" t="s">
        <v>21</v>
      </c>
      <c r="I99" t="s">
        <v>24</v>
      </c>
      <c r="J99" t="s">
        <v>148</v>
      </c>
      <c r="K99" t="s">
        <v>23</v>
      </c>
      <c r="L99">
        <v>1175</v>
      </c>
      <c r="M99" s="10">
        <v>6.5221283999999997</v>
      </c>
      <c r="N99" s="10">
        <v>74.195637812943474</v>
      </c>
      <c r="O99" s="10">
        <v>-0.33253745102725341</v>
      </c>
      <c r="P99" s="1" t="str">
        <f>HYPERLINK(".\sm_car_250819_2005\sm_car_250819_2005_098_Ca127TrN_MaLSS_DrSt_ode23t_1.png","figure")</f>
        <v>figure</v>
      </c>
      <c r="Q99" t="s">
        <v>15</v>
      </c>
    </row>
    <row r="100" spans="1:17" x14ac:dyDescent="0.25">
      <c r="A100">
        <v>99</v>
      </c>
      <c r="B100">
        <v>145</v>
      </c>
      <c r="C100" t="s">
        <v>46</v>
      </c>
      <c r="D100" t="s">
        <v>17</v>
      </c>
      <c r="E100" t="s">
        <v>50</v>
      </c>
      <c r="F100" t="s">
        <v>19</v>
      </c>
      <c r="G100" t="s">
        <v>26</v>
      </c>
      <c r="H100" t="s">
        <v>21</v>
      </c>
      <c r="I100" t="s">
        <v>22</v>
      </c>
      <c r="J100" t="s">
        <v>148</v>
      </c>
      <c r="K100" t="s">
        <v>23</v>
      </c>
      <c r="L100">
        <v>352</v>
      </c>
      <c r="M100" s="10">
        <v>12.872502799999999</v>
      </c>
      <c r="N100" s="10">
        <v>62.39895439545981</v>
      </c>
      <c r="O100" s="10">
        <v>1.9024297056399325E-2</v>
      </c>
      <c r="P100" s="1" t="str">
        <f>HYPERLINK(".\sm_car_250819_2005\sm_car_250819_2005_099_Ca145TrN_MaWOT_DrSt_ode23t_1.png","figure")</f>
        <v>figure</v>
      </c>
      <c r="Q100" t="s">
        <v>15</v>
      </c>
    </row>
    <row r="101" spans="1:17" x14ac:dyDescent="0.25">
      <c r="A101">
        <v>100</v>
      </c>
      <c r="B101">
        <v>145</v>
      </c>
      <c r="C101" t="s">
        <v>46</v>
      </c>
      <c r="D101" t="s">
        <v>17</v>
      </c>
      <c r="E101" t="s">
        <v>50</v>
      </c>
      <c r="F101" t="s">
        <v>19</v>
      </c>
      <c r="G101" t="s">
        <v>26</v>
      </c>
      <c r="H101" t="s">
        <v>21</v>
      </c>
      <c r="I101" t="s">
        <v>24</v>
      </c>
      <c r="J101" t="s">
        <v>148</v>
      </c>
      <c r="K101" t="s">
        <v>23</v>
      </c>
      <c r="L101">
        <v>446</v>
      </c>
      <c r="M101" s="10">
        <v>16.062369100000002</v>
      </c>
      <c r="N101" s="10">
        <v>24.926034666867814</v>
      </c>
      <c r="O101" s="10">
        <v>-4.910005416593187E-2</v>
      </c>
      <c r="P101" s="1" t="str">
        <f>HYPERLINK(".\sm_car_250819_2005\sm_car_250819_2005_100_Ca145TrN_MaLSS_DrSt_ode23t_1.png","figure")</f>
        <v>figure</v>
      </c>
      <c r="Q101" t="s">
        <v>15</v>
      </c>
    </row>
    <row r="102" spans="1:17" x14ac:dyDescent="0.25">
      <c r="A102">
        <v>101</v>
      </c>
      <c r="B102">
        <v>184</v>
      </c>
      <c r="C102" t="s">
        <v>105</v>
      </c>
      <c r="D102" t="s">
        <v>120</v>
      </c>
      <c r="E102" t="s">
        <v>49</v>
      </c>
      <c r="F102" t="s">
        <v>19</v>
      </c>
      <c r="G102" t="s">
        <v>20</v>
      </c>
      <c r="H102" t="s">
        <v>21</v>
      </c>
      <c r="I102" t="s">
        <v>22</v>
      </c>
      <c r="J102" t="s">
        <v>148</v>
      </c>
      <c r="K102" t="s">
        <v>23</v>
      </c>
      <c r="L102">
        <v>303</v>
      </c>
      <c r="M102" s="10">
        <v>16.3097523</v>
      </c>
      <c r="N102" s="10">
        <v>294.63379630214121</v>
      </c>
      <c r="O102" s="10">
        <v>1.8059886843932189E-4</v>
      </c>
      <c r="P102" s="1" t="str">
        <f>HYPERLINK(".\sm_car_250819_2005\sm_car_250819_2005_101_Ca184TrN_MaWOT_DrSt_ode23t_1.png","figure")</f>
        <v>figure</v>
      </c>
      <c r="Q102" t="s">
        <v>15</v>
      </c>
    </row>
    <row r="103" spans="1:17" x14ac:dyDescent="0.25">
      <c r="A103">
        <v>102</v>
      </c>
      <c r="B103">
        <v>184</v>
      </c>
      <c r="C103" t="s">
        <v>105</v>
      </c>
      <c r="D103" t="s">
        <v>120</v>
      </c>
      <c r="E103" t="s">
        <v>49</v>
      </c>
      <c r="F103" t="s">
        <v>19</v>
      </c>
      <c r="G103" t="s">
        <v>20</v>
      </c>
      <c r="H103" t="s">
        <v>21</v>
      </c>
      <c r="I103" t="s">
        <v>24</v>
      </c>
      <c r="J103" t="s">
        <v>148</v>
      </c>
      <c r="K103" t="s">
        <v>23</v>
      </c>
      <c r="L103">
        <v>477</v>
      </c>
      <c r="M103" s="10">
        <v>11.920568299999999</v>
      </c>
      <c r="N103" s="10">
        <v>103.55245800054142</v>
      </c>
      <c r="O103" s="10">
        <v>-0.21314779231165731</v>
      </c>
      <c r="P103" s="1" t="str">
        <f>HYPERLINK(".\sm_car_250819_2005\sm_car_250819_2005_102_Ca184TrN_MaLSS_DrSt_ode23t_1.png","figure")</f>
        <v>figure</v>
      </c>
      <c r="Q103" t="s">
        <v>15</v>
      </c>
    </row>
    <row r="104" spans="1:17" x14ac:dyDescent="0.25">
      <c r="A104">
        <v>103</v>
      </c>
      <c r="B104">
        <v>217</v>
      </c>
      <c r="C104" t="s">
        <v>45</v>
      </c>
      <c r="D104" t="s">
        <v>17</v>
      </c>
      <c r="E104" t="s">
        <v>107</v>
      </c>
      <c r="F104" t="s">
        <v>119</v>
      </c>
      <c r="G104" t="s">
        <v>26</v>
      </c>
      <c r="H104" t="s">
        <v>21</v>
      </c>
      <c r="I104" t="s">
        <v>22</v>
      </c>
      <c r="J104" t="s">
        <v>148</v>
      </c>
      <c r="K104" t="s">
        <v>23</v>
      </c>
      <c r="L104">
        <v>733</v>
      </c>
      <c r="M104" s="10">
        <v>32.484105999999997</v>
      </c>
      <c r="N104" s="10">
        <v>276.37912911038921</v>
      </c>
      <c r="O104" s="10">
        <v>0.74691483654217783</v>
      </c>
      <c r="P104" s="1" t="str">
        <f>HYPERLINK(".\sm_car_250819_2005\sm_car_250819_2005_103_Ca217TrN_MaWOT_DrSt_ode23t_1.png","figure")</f>
        <v>figure</v>
      </c>
      <c r="Q104" t="s">
        <v>15</v>
      </c>
    </row>
    <row r="105" spans="1:17" x14ac:dyDescent="0.25">
      <c r="A105">
        <v>104</v>
      </c>
      <c r="B105">
        <v>217</v>
      </c>
      <c r="C105" t="s">
        <v>45</v>
      </c>
      <c r="D105" t="s">
        <v>17</v>
      </c>
      <c r="E105" t="s">
        <v>107</v>
      </c>
      <c r="F105" t="s">
        <v>119</v>
      </c>
      <c r="G105" t="s">
        <v>26</v>
      </c>
      <c r="H105" t="s">
        <v>21</v>
      </c>
      <c r="I105" t="s">
        <v>24</v>
      </c>
      <c r="J105" t="s">
        <v>148</v>
      </c>
      <c r="K105" t="s">
        <v>23</v>
      </c>
      <c r="L105">
        <v>845</v>
      </c>
      <c r="M105" s="10">
        <v>34.818702399999999</v>
      </c>
      <c r="N105" s="10">
        <v>109.18610629294641</v>
      </c>
      <c r="O105" s="10">
        <v>-0.34156151463218348</v>
      </c>
      <c r="P105" s="1" t="str">
        <f>HYPERLINK(".\sm_car_250819_2005\sm_car_250819_2005_104_Ca217TrN_MaLSS_DrSt_ode23t_1.png","figure")</f>
        <v>figure</v>
      </c>
      <c r="Q105" t="s">
        <v>15</v>
      </c>
    </row>
    <row r="106" spans="1:17" x14ac:dyDescent="0.25">
      <c r="A106">
        <v>105</v>
      </c>
      <c r="B106">
        <v>12</v>
      </c>
      <c r="C106" t="s">
        <v>16</v>
      </c>
      <c r="D106" t="s">
        <v>17</v>
      </c>
      <c r="E106" t="s">
        <v>49</v>
      </c>
      <c r="F106" t="s">
        <v>28</v>
      </c>
      <c r="G106" t="s">
        <v>20</v>
      </c>
      <c r="H106" t="s">
        <v>21</v>
      </c>
      <c r="I106" t="s">
        <v>53</v>
      </c>
      <c r="J106" t="s">
        <v>148</v>
      </c>
      <c r="K106" t="s">
        <v>23</v>
      </c>
      <c r="L106">
        <v>861</v>
      </c>
      <c r="M106" s="10">
        <v>10.2458469</v>
      </c>
      <c r="N106" s="10">
        <v>255.26210606250055</v>
      </c>
      <c r="O106" s="10">
        <v>4.06542418477982E-2</v>
      </c>
      <c r="P106" s="1" t="str">
        <f>HYPERLINK(".\sm_car_250819_2005\sm_car_250819_2005_105_Ca012TrN_MaDLC_DrSt_ode23t_1.png","figure")</f>
        <v>figure</v>
      </c>
      <c r="Q106" t="s">
        <v>15</v>
      </c>
    </row>
    <row r="107" spans="1:17" x14ac:dyDescent="0.25">
      <c r="A107">
        <v>106</v>
      </c>
      <c r="B107">
        <v>12</v>
      </c>
      <c r="C107" t="s">
        <v>16</v>
      </c>
      <c r="D107" t="s">
        <v>17</v>
      </c>
      <c r="E107" t="s">
        <v>49</v>
      </c>
      <c r="F107" t="s">
        <v>28</v>
      </c>
      <c r="G107" t="s">
        <v>20</v>
      </c>
      <c r="H107" t="s">
        <v>21</v>
      </c>
      <c r="I107" t="s">
        <v>54</v>
      </c>
      <c r="J107" t="s">
        <v>148</v>
      </c>
      <c r="K107" t="s">
        <v>23</v>
      </c>
      <c r="L107">
        <v>902</v>
      </c>
      <c r="M107" s="10">
        <v>13.901559900000001</v>
      </c>
      <c r="N107" s="10">
        <v>74.40465403117858</v>
      </c>
      <c r="O107" s="10">
        <v>0.70185950080412518</v>
      </c>
      <c r="P107" s="1" t="str">
        <f>HYPERLINK(".\sm_car_250819_2005\sm_car_250819_2005_106_Ca012TrN_MaIPA_DrSt_ode23t_1.png","figure")</f>
        <v>figure</v>
      </c>
      <c r="Q107" t="s">
        <v>15</v>
      </c>
    </row>
    <row r="108" spans="1:17" x14ac:dyDescent="0.25">
      <c r="A108">
        <v>107</v>
      </c>
      <c r="B108">
        <v>142</v>
      </c>
      <c r="C108" t="s">
        <v>45</v>
      </c>
      <c r="D108" t="s">
        <v>17</v>
      </c>
      <c r="E108" t="s">
        <v>49</v>
      </c>
      <c r="F108" t="s">
        <v>28</v>
      </c>
      <c r="G108" t="s">
        <v>26</v>
      </c>
      <c r="H108" t="s">
        <v>21</v>
      </c>
      <c r="I108" t="s">
        <v>53</v>
      </c>
      <c r="J108" t="s">
        <v>148</v>
      </c>
      <c r="K108" t="s">
        <v>23</v>
      </c>
      <c r="L108">
        <v>983</v>
      </c>
      <c r="M108" s="10">
        <v>15.0427944</v>
      </c>
      <c r="N108" s="10">
        <v>254.55501024241693</v>
      </c>
      <c r="O108" s="10">
        <v>-7.4365839307120041E-3</v>
      </c>
      <c r="P108" s="1" t="str">
        <f>HYPERLINK(".\sm_car_250819_2005\sm_car_250819_2005_107_Ca142TrN_MaDLC_DrSt_ode23t_1.png","figure")</f>
        <v>figure</v>
      </c>
      <c r="Q108" t="s">
        <v>15</v>
      </c>
    </row>
    <row r="109" spans="1:17" x14ac:dyDescent="0.25">
      <c r="A109">
        <v>108</v>
      </c>
      <c r="B109">
        <v>142</v>
      </c>
      <c r="C109" t="s">
        <v>45</v>
      </c>
      <c r="D109" t="s">
        <v>17</v>
      </c>
      <c r="E109" t="s">
        <v>49</v>
      </c>
      <c r="F109" t="s">
        <v>28</v>
      </c>
      <c r="G109" t="s">
        <v>26</v>
      </c>
      <c r="H109" t="s">
        <v>21</v>
      </c>
      <c r="I109" t="s">
        <v>54</v>
      </c>
      <c r="J109" t="s">
        <v>148</v>
      </c>
      <c r="K109" t="s">
        <v>23</v>
      </c>
      <c r="L109">
        <v>1359</v>
      </c>
      <c r="M109" s="10">
        <v>34.999813799999998</v>
      </c>
      <c r="N109" s="10">
        <v>82.609457976043245</v>
      </c>
      <c r="O109" s="10">
        <v>0.63788670942218262</v>
      </c>
      <c r="P109" s="1" t="str">
        <f>HYPERLINK(".\sm_car_250819_2005\sm_car_250819_2005_108_Ca142TrN_MaIPA_DrSt_ode23t_1.png","figure")</f>
        <v>figure</v>
      </c>
      <c r="Q109" t="s">
        <v>15</v>
      </c>
    </row>
    <row r="110" spans="1:17" x14ac:dyDescent="0.25">
      <c r="A110">
        <v>109</v>
      </c>
      <c r="B110">
        <v>145</v>
      </c>
      <c r="C110" t="s">
        <v>46</v>
      </c>
      <c r="D110" t="s">
        <v>17</v>
      </c>
      <c r="E110" t="s">
        <v>50</v>
      </c>
      <c r="F110" t="s">
        <v>19</v>
      </c>
      <c r="G110" t="s">
        <v>26</v>
      </c>
      <c r="H110" t="s">
        <v>21</v>
      </c>
      <c r="I110" t="s">
        <v>53</v>
      </c>
      <c r="J110" t="s">
        <v>148</v>
      </c>
      <c r="K110" t="s">
        <v>23</v>
      </c>
      <c r="L110">
        <v>464</v>
      </c>
      <c r="M110" s="10">
        <v>15.9442118</v>
      </c>
      <c r="N110" s="10">
        <v>255.28779016135792</v>
      </c>
      <c r="O110" s="10">
        <v>6.8415375574617521E-2</v>
      </c>
      <c r="P110" s="1" t="str">
        <f>HYPERLINK(".\sm_car_250819_2005\sm_car_250819_2005_109_Ca145TrN_MaDLC_DrSt_ode23t_1.png","figure")</f>
        <v>figure</v>
      </c>
      <c r="Q110" t="s">
        <v>15</v>
      </c>
    </row>
    <row r="111" spans="1:17" x14ac:dyDescent="0.25">
      <c r="A111">
        <v>110</v>
      </c>
      <c r="B111">
        <v>145</v>
      </c>
      <c r="C111" t="s">
        <v>46</v>
      </c>
      <c r="D111" t="s">
        <v>17</v>
      </c>
      <c r="E111" t="s">
        <v>50</v>
      </c>
      <c r="F111" t="s">
        <v>19</v>
      </c>
      <c r="G111" t="s">
        <v>26</v>
      </c>
      <c r="H111" t="s">
        <v>21</v>
      </c>
      <c r="I111" t="s">
        <v>54</v>
      </c>
      <c r="J111" t="s">
        <v>148</v>
      </c>
      <c r="K111" t="s">
        <v>23</v>
      </c>
      <c r="L111">
        <v>324</v>
      </c>
      <c r="M111" s="10">
        <v>11.560539</v>
      </c>
      <c r="N111" s="10">
        <v>27.998537058085546</v>
      </c>
      <c r="O111" s="10">
        <v>1.570866703714317E-2</v>
      </c>
      <c r="P111" s="1" t="str">
        <f>HYPERLINK(".\sm_car_250819_2005\sm_car_250819_2005_110_Ca145TrN_MaIPA_DrSt_ode23t_1.png","figure")</f>
        <v>figure</v>
      </c>
      <c r="Q111" t="s">
        <v>15</v>
      </c>
    </row>
    <row r="112" spans="1:17" x14ac:dyDescent="0.25">
      <c r="A112">
        <v>111</v>
      </c>
      <c r="B112">
        <v>184</v>
      </c>
      <c r="C112" t="s">
        <v>105</v>
      </c>
      <c r="D112" t="s">
        <v>120</v>
      </c>
      <c r="E112" t="s">
        <v>49</v>
      </c>
      <c r="F112" t="s">
        <v>19</v>
      </c>
      <c r="G112" t="s">
        <v>20</v>
      </c>
      <c r="H112" t="s">
        <v>21</v>
      </c>
      <c r="I112" t="s">
        <v>53</v>
      </c>
      <c r="J112" t="s">
        <v>148</v>
      </c>
      <c r="K112" t="s">
        <v>23</v>
      </c>
      <c r="L112">
        <v>383</v>
      </c>
      <c r="M112" s="10">
        <v>10.3253722</v>
      </c>
      <c r="N112" s="10">
        <v>257.35722780816474</v>
      </c>
      <c r="O112" s="10">
        <v>7.7606557530609521E-3</v>
      </c>
      <c r="P112" s="1" t="str">
        <f>HYPERLINK(".\sm_car_250819_2005\sm_car_250819_2005_111_Ca184TrN_MaDLC_DrSt_ode23t_1.png","figure")</f>
        <v>figure</v>
      </c>
      <c r="Q112" t="s">
        <v>15</v>
      </c>
    </row>
    <row r="113" spans="1:17" x14ac:dyDescent="0.25">
      <c r="A113">
        <v>112</v>
      </c>
      <c r="B113">
        <v>184</v>
      </c>
      <c r="C113" t="s">
        <v>105</v>
      </c>
      <c r="D113" t="s">
        <v>120</v>
      </c>
      <c r="E113" t="s">
        <v>49</v>
      </c>
      <c r="F113" t="s">
        <v>19</v>
      </c>
      <c r="G113" t="s">
        <v>20</v>
      </c>
      <c r="H113" t="s">
        <v>21</v>
      </c>
      <c r="I113" t="s">
        <v>54</v>
      </c>
      <c r="J113" t="s">
        <v>148</v>
      </c>
      <c r="K113" t="s">
        <v>23</v>
      </c>
      <c r="L113">
        <v>323</v>
      </c>
      <c r="M113" s="10">
        <v>12.2354995</v>
      </c>
      <c r="N113" s="10">
        <v>55.268292264342122</v>
      </c>
      <c r="O113" s="10">
        <v>5.6701607031800164E-3</v>
      </c>
      <c r="P113" s="1" t="str">
        <f>HYPERLINK(".\sm_car_250819_2005\sm_car_250819_2005_112_Ca184TrN_MaIPA_DrSt_ode23t_1.png","figure")</f>
        <v>figure</v>
      </c>
      <c r="Q113" t="s">
        <v>15</v>
      </c>
    </row>
    <row r="114" spans="1:17" x14ac:dyDescent="0.25">
      <c r="A114">
        <v>113</v>
      </c>
      <c r="B114">
        <v>204</v>
      </c>
      <c r="C114" t="s">
        <v>105</v>
      </c>
      <c r="D114" t="s">
        <v>106</v>
      </c>
      <c r="E114" t="s">
        <v>18</v>
      </c>
      <c r="F114" t="s">
        <v>19</v>
      </c>
      <c r="G114" t="s">
        <v>20</v>
      </c>
      <c r="H114" t="s">
        <v>21</v>
      </c>
      <c r="I114" t="s">
        <v>53</v>
      </c>
      <c r="J114" t="s">
        <v>148</v>
      </c>
      <c r="K114" t="s">
        <v>23</v>
      </c>
      <c r="L114">
        <v>1846</v>
      </c>
      <c r="M114" s="10">
        <v>25.543376500000001</v>
      </c>
      <c r="N114" s="10">
        <v>254.66277026108662</v>
      </c>
      <c r="O114" s="10">
        <v>1.8069888375600307E-2</v>
      </c>
      <c r="P114" s="1" t="str">
        <f>HYPERLINK(".\sm_car_250819_2005\sm_car_250819_2005_113_Ca204TrN_MaDLC_DrSt_ode23t_1.png","figure")</f>
        <v>figure</v>
      </c>
      <c r="Q114" t="s">
        <v>15</v>
      </c>
    </row>
    <row r="115" spans="1:17" x14ac:dyDescent="0.25">
      <c r="A115">
        <v>114</v>
      </c>
      <c r="B115">
        <v>204</v>
      </c>
      <c r="C115" t="s">
        <v>105</v>
      </c>
      <c r="D115" t="s">
        <v>106</v>
      </c>
      <c r="E115" t="s">
        <v>18</v>
      </c>
      <c r="F115" t="s">
        <v>19</v>
      </c>
      <c r="G115" t="s">
        <v>20</v>
      </c>
      <c r="H115" t="s">
        <v>21</v>
      </c>
      <c r="I115" t="s">
        <v>54</v>
      </c>
      <c r="J115" t="s">
        <v>148</v>
      </c>
      <c r="K115" t="s">
        <v>23</v>
      </c>
      <c r="L115">
        <v>663</v>
      </c>
      <c r="M115" s="10">
        <v>10.8124007</v>
      </c>
      <c r="N115" s="10">
        <v>26.034582908336471</v>
      </c>
      <c r="O115" s="10">
        <v>9.6641497332310318E-3</v>
      </c>
      <c r="P115" s="1" t="str">
        <f>HYPERLINK(".\sm_car_250819_2005\sm_car_250819_2005_114_Ca204TrN_MaIPA_DrSt_ode23t_1.png","figure")</f>
        <v>figure</v>
      </c>
      <c r="Q115" t="s">
        <v>15</v>
      </c>
    </row>
    <row r="116" spans="1:17" x14ac:dyDescent="0.25">
      <c r="A116">
        <v>115</v>
      </c>
      <c r="B116">
        <v>12</v>
      </c>
      <c r="C116" t="s">
        <v>16</v>
      </c>
      <c r="D116" t="s">
        <v>17</v>
      </c>
      <c r="E116" t="s">
        <v>49</v>
      </c>
      <c r="F116" t="s">
        <v>28</v>
      </c>
      <c r="G116" t="s">
        <v>20</v>
      </c>
      <c r="H116" t="s">
        <v>21</v>
      </c>
      <c r="I116" t="s">
        <v>55</v>
      </c>
      <c r="J116" t="s">
        <v>148</v>
      </c>
      <c r="K116" t="s">
        <v>23</v>
      </c>
      <c r="L116">
        <v>2585</v>
      </c>
      <c r="M116" s="10">
        <v>26.349939299999999</v>
      </c>
      <c r="N116" s="10">
        <v>-2.0629093586502431E-2</v>
      </c>
      <c r="O116" s="10">
        <v>-0.64593465569900743</v>
      </c>
      <c r="P116" s="1" t="str">
        <f>HYPERLINK(".\sm_car_250819_2005\sm_car_250819_2005_115_Ca012TrN_MaMPK_DrSt_ode23t_1.png","figure")</f>
        <v>figure</v>
      </c>
      <c r="Q116" t="s">
        <v>15</v>
      </c>
    </row>
    <row r="117" spans="1:17" x14ac:dyDescent="0.25">
      <c r="A117">
        <v>116</v>
      </c>
      <c r="B117">
        <v>12</v>
      </c>
      <c r="C117" t="s">
        <v>16</v>
      </c>
      <c r="D117" t="s">
        <v>17</v>
      </c>
      <c r="E117" t="s">
        <v>49</v>
      </c>
      <c r="F117" t="s">
        <v>28</v>
      </c>
      <c r="G117" t="s">
        <v>20</v>
      </c>
      <c r="H117" t="s">
        <v>21</v>
      </c>
      <c r="I117" t="s">
        <v>55</v>
      </c>
      <c r="J117" t="s">
        <v>149</v>
      </c>
      <c r="K117" t="s">
        <v>23</v>
      </c>
      <c r="L117">
        <v>2382</v>
      </c>
      <c r="M117" s="10">
        <v>22.803418600000001</v>
      </c>
      <c r="N117" s="10">
        <v>-8.757132298674461E-3</v>
      </c>
      <c r="O117" s="10">
        <v>-3.7756162313556704E-2</v>
      </c>
      <c r="P117" s="1" t="str">
        <f>HYPERLINK(".\sm_car_250819_2005\sm_car_250819_2005_116_Ca012TrN_MaMPK_DrSt_ode23t_1.png","figure")</f>
        <v>figure</v>
      </c>
      <c r="Q117" t="s">
        <v>15</v>
      </c>
    </row>
    <row r="118" spans="1:17" x14ac:dyDescent="0.25">
      <c r="A118">
        <v>117</v>
      </c>
      <c r="B118">
        <v>12</v>
      </c>
      <c r="C118" t="s">
        <v>16</v>
      </c>
      <c r="D118" t="s">
        <v>17</v>
      </c>
      <c r="E118" t="s">
        <v>49</v>
      </c>
      <c r="F118" t="s">
        <v>28</v>
      </c>
      <c r="G118" t="s">
        <v>20</v>
      </c>
      <c r="H118" t="s">
        <v>21</v>
      </c>
      <c r="I118" t="s">
        <v>56</v>
      </c>
      <c r="J118" t="s">
        <v>148</v>
      </c>
      <c r="K118" t="s">
        <v>23</v>
      </c>
      <c r="L118">
        <v>2425</v>
      </c>
      <c r="M118" s="10">
        <v>26.077939099999998</v>
      </c>
      <c r="N118" s="10">
        <v>0.78942604956534623</v>
      </c>
      <c r="O118" s="10">
        <v>-0.33091525642731834</v>
      </c>
      <c r="P118" s="1" t="str">
        <f>HYPERLINK(".\sm_car_250819_2005\sm_car_250819_2005_117_Ca012TrN_MaMPC_DrSt_ode23t_1.png","figure")</f>
        <v>figure</v>
      </c>
      <c r="Q118" t="s">
        <v>15</v>
      </c>
    </row>
    <row r="119" spans="1:17" x14ac:dyDescent="0.25">
      <c r="A119">
        <v>118</v>
      </c>
      <c r="B119">
        <v>12</v>
      </c>
      <c r="C119" t="s">
        <v>16</v>
      </c>
      <c r="D119" t="s">
        <v>17</v>
      </c>
      <c r="E119" t="s">
        <v>49</v>
      </c>
      <c r="F119" t="s">
        <v>28</v>
      </c>
      <c r="G119" t="s">
        <v>20</v>
      </c>
      <c r="H119" t="s">
        <v>21</v>
      </c>
      <c r="I119" t="s">
        <v>56</v>
      </c>
      <c r="J119" t="s">
        <v>149</v>
      </c>
      <c r="K119" t="s">
        <v>23</v>
      </c>
      <c r="L119">
        <v>2262</v>
      </c>
      <c r="M119" s="10">
        <v>24.6555119</v>
      </c>
      <c r="N119" s="10">
        <v>0.78567685266048137</v>
      </c>
      <c r="O119" s="10">
        <v>0.10504751602754532</v>
      </c>
      <c r="P119" s="1" t="str">
        <f>HYPERLINK(".\sm_car_250819_2005\sm_car_250819_2005_118_Ca012TrN_MaMPC_DrSt_ode23t_1.png","figure")</f>
        <v>figure</v>
      </c>
      <c r="Q119" t="s">
        <v>15</v>
      </c>
    </row>
    <row r="120" spans="1:17" x14ac:dyDescent="0.25">
      <c r="A120">
        <v>119</v>
      </c>
      <c r="B120">
        <v>142</v>
      </c>
      <c r="C120" t="s">
        <v>45</v>
      </c>
      <c r="D120" t="s">
        <v>17</v>
      </c>
      <c r="E120" t="s">
        <v>49</v>
      </c>
      <c r="F120" t="s">
        <v>28</v>
      </c>
      <c r="G120" t="s">
        <v>26</v>
      </c>
      <c r="H120" t="s">
        <v>21</v>
      </c>
      <c r="I120" t="s">
        <v>55</v>
      </c>
      <c r="J120" t="s">
        <v>148</v>
      </c>
      <c r="K120" t="s">
        <v>23</v>
      </c>
      <c r="L120">
        <v>2565</v>
      </c>
      <c r="M120" s="10">
        <v>38.694372899999998</v>
      </c>
      <c r="N120" s="10">
        <v>-6.9433460483666609E-3</v>
      </c>
      <c r="O120" s="10">
        <v>-0.55914196649901282</v>
      </c>
      <c r="P120" s="1" t="str">
        <f>HYPERLINK(".\sm_car_250819_2005\sm_car_250819_2005_119_Ca142TrN_MaMPK_DrSt_ode23t_1.png","figure")</f>
        <v>figure</v>
      </c>
      <c r="Q120" t="s">
        <v>15</v>
      </c>
    </row>
    <row r="121" spans="1:17" x14ac:dyDescent="0.25">
      <c r="A121">
        <v>120</v>
      </c>
      <c r="B121">
        <v>142</v>
      </c>
      <c r="C121" t="s">
        <v>45</v>
      </c>
      <c r="D121" t="s">
        <v>17</v>
      </c>
      <c r="E121" t="s">
        <v>49</v>
      </c>
      <c r="F121" t="s">
        <v>28</v>
      </c>
      <c r="G121" t="s">
        <v>26</v>
      </c>
      <c r="H121" t="s">
        <v>21</v>
      </c>
      <c r="I121" t="s">
        <v>55</v>
      </c>
      <c r="J121" t="s">
        <v>149</v>
      </c>
      <c r="K121" t="s">
        <v>23</v>
      </c>
      <c r="L121">
        <v>2924</v>
      </c>
      <c r="M121" s="10">
        <v>35.029153899999997</v>
      </c>
      <c r="N121" s="10">
        <v>-9.8743940283370218E-3</v>
      </c>
      <c r="O121" s="10">
        <v>-7.9209557457091712E-2</v>
      </c>
      <c r="P121" s="1" t="str">
        <f>HYPERLINK(".\sm_car_250819_2005\sm_car_250819_2005_120_Ca142TrN_MaMPK_DrSt_ode23t_1.png","figure")</f>
        <v>figure</v>
      </c>
      <c r="Q121" t="s">
        <v>15</v>
      </c>
    </row>
    <row r="122" spans="1:17" x14ac:dyDescent="0.25">
      <c r="A122">
        <v>121</v>
      </c>
      <c r="B122">
        <v>142</v>
      </c>
      <c r="C122" t="s">
        <v>45</v>
      </c>
      <c r="D122" t="s">
        <v>17</v>
      </c>
      <c r="E122" t="s">
        <v>49</v>
      </c>
      <c r="F122" t="s">
        <v>28</v>
      </c>
      <c r="G122" t="s">
        <v>26</v>
      </c>
      <c r="H122" t="s">
        <v>21</v>
      </c>
      <c r="I122" t="s">
        <v>56</v>
      </c>
      <c r="J122" t="s">
        <v>148</v>
      </c>
      <c r="K122" t="s">
        <v>23</v>
      </c>
      <c r="L122">
        <v>2403</v>
      </c>
      <c r="M122" s="10">
        <v>37.176993699999997</v>
      </c>
      <c r="N122" s="10">
        <v>0.7886861143095576</v>
      </c>
      <c r="O122" s="10">
        <v>-0.3725001293340276</v>
      </c>
      <c r="P122" s="1" t="str">
        <f>HYPERLINK(".\sm_car_250819_2005\sm_car_250819_2005_121_Ca142TrN_MaMPC_DrSt_ode23t_1.png","figure")</f>
        <v>figure</v>
      </c>
      <c r="Q122" t="s">
        <v>15</v>
      </c>
    </row>
    <row r="123" spans="1:17" x14ac:dyDescent="0.25">
      <c r="A123">
        <v>122</v>
      </c>
      <c r="B123">
        <v>142</v>
      </c>
      <c r="C123" t="s">
        <v>45</v>
      </c>
      <c r="D123" t="s">
        <v>17</v>
      </c>
      <c r="E123" t="s">
        <v>49</v>
      </c>
      <c r="F123" t="s">
        <v>28</v>
      </c>
      <c r="G123" t="s">
        <v>26</v>
      </c>
      <c r="H123" t="s">
        <v>21</v>
      </c>
      <c r="I123" t="s">
        <v>56</v>
      </c>
      <c r="J123" t="s">
        <v>149</v>
      </c>
      <c r="K123" t="s">
        <v>23</v>
      </c>
      <c r="L123">
        <v>2778</v>
      </c>
      <c r="M123" s="10">
        <v>39.730255999999997</v>
      </c>
      <c r="N123" s="10">
        <v>0.76919531902451332</v>
      </c>
      <c r="O123" s="10">
        <v>1.9460578381337773E-2</v>
      </c>
      <c r="P123" s="1" t="str">
        <f>HYPERLINK(".\sm_car_250819_2005\sm_car_250819_2005_122_Ca142TrN_MaMPC_DrSt_ode23t_1.png","figure")</f>
        <v>figure</v>
      </c>
      <c r="Q123" t="s">
        <v>15</v>
      </c>
    </row>
    <row r="124" spans="1:17" x14ac:dyDescent="0.25">
      <c r="A124">
        <v>123</v>
      </c>
      <c r="B124">
        <v>116</v>
      </c>
      <c r="C124" t="s">
        <v>16</v>
      </c>
      <c r="D124" t="s">
        <v>35</v>
      </c>
      <c r="E124" t="s">
        <v>18</v>
      </c>
      <c r="F124" t="s">
        <v>28</v>
      </c>
      <c r="G124" t="s">
        <v>20</v>
      </c>
      <c r="H124" t="s">
        <v>21</v>
      </c>
      <c r="I124" t="s">
        <v>55</v>
      </c>
      <c r="J124" t="s">
        <v>148</v>
      </c>
      <c r="K124" t="s">
        <v>23</v>
      </c>
      <c r="L124">
        <v>2864</v>
      </c>
      <c r="M124" s="10">
        <v>14.6622203</v>
      </c>
      <c r="N124" s="10">
        <v>-1.7414599569133979E-2</v>
      </c>
      <c r="O124" s="10">
        <v>-0.54245933815137337</v>
      </c>
      <c r="P124" s="1" t="str">
        <f>HYPERLINK(".\sm_car_250819_2005\sm_car_250819_2005_123_Ca116TrN_MaMPK_DrSt_ode23t_1.png","figure")</f>
        <v>figure</v>
      </c>
      <c r="Q124" t="s">
        <v>15</v>
      </c>
    </row>
    <row r="125" spans="1:17" x14ac:dyDescent="0.25">
      <c r="A125">
        <v>124</v>
      </c>
      <c r="B125">
        <v>116</v>
      </c>
      <c r="C125" t="s">
        <v>16</v>
      </c>
      <c r="D125" t="s">
        <v>35</v>
      </c>
      <c r="E125" t="s">
        <v>18</v>
      </c>
      <c r="F125" t="s">
        <v>28</v>
      </c>
      <c r="G125" t="s">
        <v>20</v>
      </c>
      <c r="H125" t="s">
        <v>21</v>
      </c>
      <c r="I125" t="s">
        <v>55</v>
      </c>
      <c r="J125" t="s">
        <v>149</v>
      </c>
      <c r="K125" t="s">
        <v>23</v>
      </c>
      <c r="L125">
        <v>2783</v>
      </c>
      <c r="M125" s="10">
        <v>13.966016700000001</v>
      </c>
      <c r="N125" s="10">
        <v>-1.8397055124210179E-2</v>
      </c>
      <c r="O125" s="10">
        <v>-0.53558486049605125</v>
      </c>
      <c r="P125" s="1" t="str">
        <f>HYPERLINK(".\sm_car_250819_2005\sm_car_250819_2005_124_Ca116TrN_MaMPK_DrSt_ode23t_1.png","figure")</f>
        <v>figure</v>
      </c>
      <c r="Q125" t="s">
        <v>15</v>
      </c>
    </row>
    <row r="126" spans="1:17" x14ac:dyDescent="0.25">
      <c r="A126">
        <v>125</v>
      </c>
      <c r="B126">
        <v>116</v>
      </c>
      <c r="C126" t="s">
        <v>16</v>
      </c>
      <c r="D126" t="s">
        <v>35</v>
      </c>
      <c r="E126" t="s">
        <v>18</v>
      </c>
      <c r="F126" t="s">
        <v>28</v>
      </c>
      <c r="G126" t="s">
        <v>20</v>
      </c>
      <c r="H126" t="s">
        <v>21</v>
      </c>
      <c r="I126" t="s">
        <v>56</v>
      </c>
      <c r="J126" t="s">
        <v>148</v>
      </c>
      <c r="K126" t="s">
        <v>23</v>
      </c>
      <c r="L126">
        <v>2768</v>
      </c>
      <c r="M126" s="10">
        <v>14.366665599999999</v>
      </c>
      <c r="N126" s="10">
        <v>0.78798839429490464</v>
      </c>
      <c r="O126" s="10">
        <v>-0.36276275941761932</v>
      </c>
      <c r="P126" s="1" t="str">
        <f>HYPERLINK(".\sm_car_250819_2005\sm_car_250819_2005_125_Ca116TrN_MaMPC_DrSt_ode23t_1.png","figure")</f>
        <v>figure</v>
      </c>
      <c r="Q126" t="s">
        <v>15</v>
      </c>
    </row>
    <row r="127" spans="1:17" x14ac:dyDescent="0.25">
      <c r="A127">
        <v>126</v>
      </c>
      <c r="B127">
        <v>116</v>
      </c>
      <c r="C127" t="s">
        <v>16</v>
      </c>
      <c r="D127" t="s">
        <v>35</v>
      </c>
      <c r="E127" t="s">
        <v>18</v>
      </c>
      <c r="F127" t="s">
        <v>28</v>
      </c>
      <c r="G127" t="s">
        <v>20</v>
      </c>
      <c r="H127" t="s">
        <v>21</v>
      </c>
      <c r="I127" t="s">
        <v>56</v>
      </c>
      <c r="J127" t="s">
        <v>149</v>
      </c>
      <c r="K127" t="s">
        <v>23</v>
      </c>
      <c r="L127">
        <v>2639</v>
      </c>
      <c r="M127" s="10">
        <v>13.4786494</v>
      </c>
      <c r="N127" s="10">
        <v>0.78924363933189667</v>
      </c>
      <c r="O127" s="10">
        <v>0.44067295820595781</v>
      </c>
      <c r="P127" s="1" t="str">
        <f>HYPERLINK(".\sm_car_250819_2005\sm_car_250819_2005_126_Ca116TrN_MaMPC_DrSt_ode23t_1.png","figure")</f>
        <v>figure</v>
      </c>
      <c r="Q127" t="s">
        <v>15</v>
      </c>
    </row>
    <row r="128" spans="1:17" x14ac:dyDescent="0.25">
      <c r="A128">
        <v>127</v>
      </c>
      <c r="B128">
        <v>143</v>
      </c>
      <c r="C128" t="s">
        <v>46</v>
      </c>
      <c r="D128" t="s">
        <v>17</v>
      </c>
      <c r="E128" t="s">
        <v>47</v>
      </c>
      <c r="F128" t="s">
        <v>19</v>
      </c>
      <c r="G128" t="s">
        <v>26</v>
      </c>
      <c r="H128" t="s">
        <v>21</v>
      </c>
      <c r="I128" t="s">
        <v>55</v>
      </c>
      <c r="J128" t="s">
        <v>148</v>
      </c>
      <c r="K128" t="s">
        <v>23</v>
      </c>
      <c r="L128">
        <v>2474</v>
      </c>
      <c r="M128" s="10">
        <v>49.012374800000003</v>
      </c>
      <c r="N128" s="10">
        <v>-1.7232913288221685E-2</v>
      </c>
      <c r="O128" s="10">
        <v>-0.40370609761196213</v>
      </c>
      <c r="P128" s="1" t="str">
        <f>HYPERLINK(".\sm_car_250819_2005\sm_car_250819_2005_127_Ca143TrN_MaMPK_DrSt_ode23t_1.png","figure")</f>
        <v>figure</v>
      </c>
      <c r="Q128" t="s">
        <v>15</v>
      </c>
    </row>
    <row r="129" spans="1:17" x14ac:dyDescent="0.25">
      <c r="A129">
        <v>128</v>
      </c>
      <c r="B129">
        <v>143</v>
      </c>
      <c r="C129" t="s">
        <v>46</v>
      </c>
      <c r="D129" t="s">
        <v>17</v>
      </c>
      <c r="E129" t="s">
        <v>47</v>
      </c>
      <c r="F129" t="s">
        <v>19</v>
      </c>
      <c r="G129" t="s">
        <v>26</v>
      </c>
      <c r="H129" t="s">
        <v>21</v>
      </c>
      <c r="I129" t="s">
        <v>55</v>
      </c>
      <c r="J129" t="s">
        <v>149</v>
      </c>
      <c r="K129" t="s">
        <v>23</v>
      </c>
      <c r="L129">
        <v>2213</v>
      </c>
      <c r="M129" s="10">
        <v>42.920030099999998</v>
      </c>
      <c r="N129" s="10">
        <v>-1.0456680420459538E-2</v>
      </c>
      <c r="O129" s="10">
        <v>-8.9734616205116566E-2</v>
      </c>
      <c r="P129" s="1" t="str">
        <f>HYPERLINK(".\sm_car_250819_2005\sm_car_250819_2005_128_Ca143TrN_MaMPK_DrSt_ode23t_1.png","figure")</f>
        <v>figure</v>
      </c>
      <c r="Q129" t="s">
        <v>15</v>
      </c>
    </row>
    <row r="130" spans="1:17" x14ac:dyDescent="0.25">
      <c r="A130">
        <v>129</v>
      </c>
      <c r="B130">
        <v>143</v>
      </c>
      <c r="C130" t="s">
        <v>46</v>
      </c>
      <c r="D130" t="s">
        <v>17</v>
      </c>
      <c r="E130" t="s">
        <v>47</v>
      </c>
      <c r="F130" t="s">
        <v>19</v>
      </c>
      <c r="G130" t="s">
        <v>26</v>
      </c>
      <c r="H130" t="s">
        <v>21</v>
      </c>
      <c r="I130" t="s">
        <v>56</v>
      </c>
      <c r="J130" t="s">
        <v>148</v>
      </c>
      <c r="K130" t="s">
        <v>23</v>
      </c>
      <c r="L130">
        <v>2363</v>
      </c>
      <c r="M130" s="10">
        <v>51.128809199999999</v>
      </c>
      <c r="N130" s="10">
        <v>0.78847781581590404</v>
      </c>
      <c r="O130" s="10">
        <v>-0.27201963163576759</v>
      </c>
      <c r="P130" s="1" t="str">
        <f>HYPERLINK(".\sm_car_250819_2005\sm_car_250819_2005_129_Ca143TrN_MaMPC_DrSt_ode23t_1.png","figure")</f>
        <v>figure</v>
      </c>
      <c r="Q130" t="s">
        <v>15</v>
      </c>
    </row>
    <row r="131" spans="1:17" x14ac:dyDescent="0.25">
      <c r="A131">
        <v>130</v>
      </c>
      <c r="B131">
        <v>143</v>
      </c>
      <c r="C131" t="s">
        <v>46</v>
      </c>
      <c r="D131" t="s">
        <v>17</v>
      </c>
      <c r="E131" t="s">
        <v>47</v>
      </c>
      <c r="F131" t="s">
        <v>19</v>
      </c>
      <c r="G131" t="s">
        <v>26</v>
      </c>
      <c r="H131" t="s">
        <v>21</v>
      </c>
      <c r="I131" t="s">
        <v>56</v>
      </c>
      <c r="J131" t="s">
        <v>149</v>
      </c>
      <c r="K131" t="s">
        <v>23</v>
      </c>
      <c r="L131">
        <v>2131</v>
      </c>
      <c r="M131" s="10">
        <v>46.429938999999997</v>
      </c>
      <c r="N131" s="10">
        <v>0.78600248733707723</v>
      </c>
      <c r="O131" s="10">
        <v>-0.15682852274492198</v>
      </c>
      <c r="P131" s="1" t="str">
        <f>HYPERLINK(".\sm_car_250819_2005\sm_car_250819_2005_130_Ca143TrN_MaMPC_DrSt_ode23t_1.png","figure")</f>
        <v>figure</v>
      </c>
      <c r="Q131" t="s">
        <v>15</v>
      </c>
    </row>
    <row r="132" spans="1:17" x14ac:dyDescent="0.25">
      <c r="A132">
        <v>131</v>
      </c>
      <c r="B132">
        <v>166</v>
      </c>
      <c r="C132" t="s">
        <v>45</v>
      </c>
      <c r="D132" t="s">
        <v>57</v>
      </c>
      <c r="E132" t="s">
        <v>18</v>
      </c>
      <c r="F132" t="s">
        <v>19</v>
      </c>
      <c r="G132" t="s">
        <v>26</v>
      </c>
      <c r="H132" t="s">
        <v>21</v>
      </c>
      <c r="I132" t="s">
        <v>55</v>
      </c>
      <c r="J132" t="s">
        <v>148</v>
      </c>
      <c r="K132" t="s">
        <v>23</v>
      </c>
      <c r="L132">
        <v>3158</v>
      </c>
      <c r="M132" s="10">
        <v>55.062162899999997</v>
      </c>
      <c r="N132" s="10">
        <v>-1.9659881456310202E-2</v>
      </c>
      <c r="O132" s="10">
        <v>-0.57254016640087868</v>
      </c>
      <c r="P132" s="1" t="str">
        <f>HYPERLINK(".\sm_car_250819_2005\sm_car_250819_2005_131_Ca166TrN_MaMPK_DrSt_ode23t_1.png","figure")</f>
        <v>figure</v>
      </c>
      <c r="Q132" t="s">
        <v>15</v>
      </c>
    </row>
    <row r="133" spans="1:17" x14ac:dyDescent="0.25">
      <c r="A133">
        <v>132</v>
      </c>
      <c r="B133">
        <v>166</v>
      </c>
      <c r="C133" t="s">
        <v>45</v>
      </c>
      <c r="D133" t="s">
        <v>57</v>
      </c>
      <c r="E133" t="s">
        <v>18</v>
      </c>
      <c r="F133" t="s">
        <v>19</v>
      </c>
      <c r="G133" t="s">
        <v>26</v>
      </c>
      <c r="H133" t="s">
        <v>21</v>
      </c>
      <c r="I133" t="s">
        <v>55</v>
      </c>
      <c r="J133" t="s">
        <v>149</v>
      </c>
      <c r="K133" t="s">
        <v>23</v>
      </c>
      <c r="L133">
        <v>3759</v>
      </c>
      <c r="M133" s="10">
        <v>59.726983099999998</v>
      </c>
      <c r="N133" s="10">
        <v>-2.8636948101360415E-3</v>
      </c>
      <c r="O133" s="10">
        <v>-8.4694541711007196E-2</v>
      </c>
      <c r="P133" s="1" t="str">
        <f>HYPERLINK(".\sm_car_250819_2005\sm_car_250819_2005_132_Ca166TrN_MaMPK_DrSt_ode23t_1.png","figure")</f>
        <v>figure</v>
      </c>
      <c r="Q133" t="s">
        <v>15</v>
      </c>
    </row>
    <row r="134" spans="1:17" x14ac:dyDescent="0.25">
      <c r="A134">
        <v>133</v>
      </c>
      <c r="B134">
        <v>166</v>
      </c>
      <c r="C134" t="s">
        <v>45</v>
      </c>
      <c r="D134" t="s">
        <v>57</v>
      </c>
      <c r="E134" t="s">
        <v>18</v>
      </c>
      <c r="F134" t="s">
        <v>19</v>
      </c>
      <c r="G134" t="s">
        <v>26</v>
      </c>
      <c r="H134" t="s">
        <v>21</v>
      </c>
      <c r="I134" t="s">
        <v>56</v>
      </c>
      <c r="J134" t="s">
        <v>148</v>
      </c>
      <c r="K134" t="s">
        <v>23</v>
      </c>
      <c r="L134">
        <v>3028</v>
      </c>
      <c r="M134" s="10">
        <v>54.937611799999999</v>
      </c>
      <c r="N134" s="10">
        <v>0.78732603304547411</v>
      </c>
      <c r="O134" s="10">
        <v>-0.36185250276050279</v>
      </c>
      <c r="P134" s="1" t="str">
        <f>HYPERLINK(".\sm_car_250819_2005\sm_car_250819_2005_133_Ca166TrN_MaMPC_DrSt_ode23t_1.png","figure")</f>
        <v>figure</v>
      </c>
      <c r="Q134" t="s">
        <v>15</v>
      </c>
    </row>
    <row r="135" spans="1:17" x14ac:dyDescent="0.25">
      <c r="A135">
        <v>134</v>
      </c>
      <c r="B135">
        <v>166</v>
      </c>
      <c r="C135" t="s">
        <v>45</v>
      </c>
      <c r="D135" t="s">
        <v>57</v>
      </c>
      <c r="E135" t="s">
        <v>18</v>
      </c>
      <c r="F135" t="s">
        <v>19</v>
      </c>
      <c r="G135" t="s">
        <v>26</v>
      </c>
      <c r="H135" t="s">
        <v>21</v>
      </c>
      <c r="I135" t="s">
        <v>56</v>
      </c>
      <c r="J135" t="s">
        <v>149</v>
      </c>
      <c r="K135" t="s">
        <v>23</v>
      </c>
      <c r="L135">
        <v>3467</v>
      </c>
      <c r="M135" s="10">
        <v>53.680804199999997</v>
      </c>
      <c r="N135" s="10">
        <v>0.78763326438935977</v>
      </c>
      <c r="O135" s="10">
        <v>2.5836934813935397E-2</v>
      </c>
      <c r="P135" s="1" t="str">
        <f>HYPERLINK(".\sm_car_250819_2005\sm_car_250819_2005_134_Ca166TrN_MaMPC_DrSt_ode23t_1.png","figure")</f>
        <v>figure</v>
      </c>
      <c r="Q135" t="s">
        <v>15</v>
      </c>
    </row>
    <row r="136" spans="1:17" x14ac:dyDescent="0.25">
      <c r="A136">
        <v>135</v>
      </c>
      <c r="B136">
        <v>169</v>
      </c>
      <c r="C136" t="s">
        <v>45</v>
      </c>
      <c r="D136" t="s">
        <v>58</v>
      </c>
      <c r="E136" t="s">
        <v>49</v>
      </c>
      <c r="F136" t="s">
        <v>19</v>
      </c>
      <c r="G136" t="s">
        <v>26</v>
      </c>
      <c r="H136" t="s">
        <v>21</v>
      </c>
      <c r="I136" t="s">
        <v>55</v>
      </c>
      <c r="J136" t="s">
        <v>148</v>
      </c>
      <c r="K136" t="s">
        <v>23</v>
      </c>
      <c r="L136">
        <v>3299</v>
      </c>
      <c r="M136" s="10">
        <v>48.142660999999997</v>
      </c>
      <c r="N136" s="10">
        <v>-1.8971251755959831E-2</v>
      </c>
      <c r="O136" s="10">
        <v>-0.57354610793972138</v>
      </c>
      <c r="P136" s="1" t="str">
        <f>HYPERLINK(".\sm_car_250819_2005\sm_car_250819_2005_135_Ca169TrN_MaMPK_DrSt_ode23t_1.png","figure")</f>
        <v>figure</v>
      </c>
      <c r="Q136" t="s">
        <v>15</v>
      </c>
    </row>
    <row r="137" spans="1:17" x14ac:dyDescent="0.25">
      <c r="A137">
        <v>136</v>
      </c>
      <c r="B137">
        <v>169</v>
      </c>
      <c r="C137" t="s">
        <v>45</v>
      </c>
      <c r="D137" t="s">
        <v>58</v>
      </c>
      <c r="E137" t="s">
        <v>49</v>
      </c>
      <c r="F137" t="s">
        <v>19</v>
      </c>
      <c r="G137" t="s">
        <v>26</v>
      </c>
      <c r="H137" t="s">
        <v>21</v>
      </c>
      <c r="I137" t="s">
        <v>55</v>
      </c>
      <c r="J137" t="s">
        <v>149</v>
      </c>
      <c r="K137" t="s">
        <v>23</v>
      </c>
      <c r="L137">
        <v>3896</v>
      </c>
      <c r="M137" s="10">
        <v>56.568225599999998</v>
      </c>
      <c r="N137" s="10">
        <v>-1.0835584344552854E-2</v>
      </c>
      <c r="O137" s="10">
        <v>-8.3861017722350842E-2</v>
      </c>
      <c r="P137" s="1" t="str">
        <f>HYPERLINK(".\sm_car_250819_2005\sm_car_250819_2005_136_Ca169TrN_MaMPK_DrSt_ode23t_1.png","figure")</f>
        <v>figure</v>
      </c>
      <c r="Q137" t="s">
        <v>15</v>
      </c>
    </row>
    <row r="138" spans="1:17" x14ac:dyDescent="0.25">
      <c r="A138">
        <v>137</v>
      </c>
      <c r="B138">
        <v>169</v>
      </c>
      <c r="C138" t="s">
        <v>45</v>
      </c>
      <c r="D138" t="s">
        <v>58</v>
      </c>
      <c r="E138" t="s">
        <v>49</v>
      </c>
      <c r="F138" t="s">
        <v>19</v>
      </c>
      <c r="G138" t="s">
        <v>26</v>
      </c>
      <c r="H138" t="s">
        <v>21</v>
      </c>
      <c r="I138" t="s">
        <v>56</v>
      </c>
      <c r="J138" t="s">
        <v>148</v>
      </c>
      <c r="K138" t="s">
        <v>23</v>
      </c>
      <c r="L138">
        <v>3028</v>
      </c>
      <c r="M138" s="10">
        <v>45.146031899999997</v>
      </c>
      <c r="N138" s="10">
        <v>0.78834757799860533</v>
      </c>
      <c r="O138" s="10">
        <v>-0.35990280777173767</v>
      </c>
      <c r="P138" s="1" t="str">
        <f>HYPERLINK(".\sm_car_250819_2005\sm_car_250819_2005_137_Ca169TrN_MaMPC_DrSt_ode23t_1.png","figure")</f>
        <v>figure</v>
      </c>
      <c r="Q138" t="s">
        <v>15</v>
      </c>
    </row>
    <row r="139" spans="1:17" x14ac:dyDescent="0.25">
      <c r="A139">
        <v>138</v>
      </c>
      <c r="B139">
        <v>169</v>
      </c>
      <c r="C139" t="s">
        <v>45</v>
      </c>
      <c r="D139" t="s">
        <v>58</v>
      </c>
      <c r="E139" t="s">
        <v>49</v>
      </c>
      <c r="F139" t="s">
        <v>19</v>
      </c>
      <c r="G139" t="s">
        <v>26</v>
      </c>
      <c r="H139" t="s">
        <v>21</v>
      </c>
      <c r="I139" t="s">
        <v>56</v>
      </c>
      <c r="J139" t="s">
        <v>149</v>
      </c>
      <c r="K139" t="s">
        <v>23</v>
      </c>
      <c r="L139">
        <v>3486</v>
      </c>
      <c r="M139" s="10">
        <v>49.919751099999999</v>
      </c>
      <c r="N139" s="10">
        <v>0.78752065177263653</v>
      </c>
      <c r="O139" s="10">
        <v>2.8185756918088806E-2</v>
      </c>
      <c r="P139" s="1" t="str">
        <f>HYPERLINK(".\sm_car_250819_2005\sm_car_250819_2005_138_Ca169TrN_MaMPC_DrSt_ode23t_1.png","figure")</f>
        <v>figure</v>
      </c>
      <c r="Q139" t="s">
        <v>15</v>
      </c>
    </row>
    <row r="140" spans="1:17" x14ac:dyDescent="0.25">
      <c r="A140">
        <v>139</v>
      </c>
      <c r="B140">
        <v>184</v>
      </c>
      <c r="C140" t="s">
        <v>105</v>
      </c>
      <c r="D140" t="s">
        <v>120</v>
      </c>
      <c r="E140" t="s">
        <v>49</v>
      </c>
      <c r="F140" t="s">
        <v>19</v>
      </c>
      <c r="G140" t="s">
        <v>20</v>
      </c>
      <c r="H140" t="s">
        <v>21</v>
      </c>
      <c r="I140" t="s">
        <v>55</v>
      </c>
      <c r="J140" t="s">
        <v>148</v>
      </c>
      <c r="K140" t="s">
        <v>23</v>
      </c>
      <c r="L140">
        <v>2208</v>
      </c>
      <c r="M140" s="10">
        <v>50.312534200000002</v>
      </c>
      <c r="N140" s="10">
        <v>-2.2117343957160557E-2</v>
      </c>
      <c r="O140" s="10">
        <v>-0.74271926162471846</v>
      </c>
      <c r="P140" s="1" t="str">
        <f>HYPERLINK(".\sm_car_250819_2005\sm_car_250819_2005_139_Ca184TrN_MaMPK_DrSt_ode23t_1.png","figure")</f>
        <v>figure</v>
      </c>
      <c r="Q140" t="s">
        <v>15</v>
      </c>
    </row>
    <row r="141" spans="1:17" x14ac:dyDescent="0.25">
      <c r="A141">
        <v>140</v>
      </c>
      <c r="B141">
        <v>184</v>
      </c>
      <c r="C141" t="s">
        <v>105</v>
      </c>
      <c r="D141" t="s">
        <v>120</v>
      </c>
      <c r="E141" t="s">
        <v>49</v>
      </c>
      <c r="F141" t="s">
        <v>19</v>
      </c>
      <c r="G141" t="s">
        <v>20</v>
      </c>
      <c r="H141" t="s">
        <v>21</v>
      </c>
      <c r="I141" t="s">
        <v>55</v>
      </c>
      <c r="J141" t="s">
        <v>149</v>
      </c>
      <c r="K141" t="s">
        <v>23</v>
      </c>
      <c r="L141">
        <v>2306</v>
      </c>
      <c r="M141" s="10">
        <v>48.031593299999997</v>
      </c>
      <c r="N141" s="10">
        <v>-1.0372714607681049E-2</v>
      </c>
      <c r="O141" s="10">
        <v>-3.0167214313253199E-2</v>
      </c>
      <c r="P141" s="1" t="str">
        <f>HYPERLINK(".\sm_car_250819_2005\sm_car_250819_2005_140_Ca184TrN_MaMPK_DrSt_ode23t_1.png","figure")</f>
        <v>figure</v>
      </c>
      <c r="Q141" t="s">
        <v>15</v>
      </c>
    </row>
    <row r="142" spans="1:17" x14ac:dyDescent="0.25">
      <c r="A142">
        <v>141</v>
      </c>
      <c r="B142">
        <v>184</v>
      </c>
      <c r="C142" t="s">
        <v>105</v>
      </c>
      <c r="D142" t="s">
        <v>120</v>
      </c>
      <c r="E142" t="s">
        <v>49</v>
      </c>
      <c r="F142" t="s">
        <v>19</v>
      </c>
      <c r="G142" t="s">
        <v>20</v>
      </c>
      <c r="H142" t="s">
        <v>21</v>
      </c>
      <c r="I142" t="s">
        <v>56</v>
      </c>
      <c r="J142" t="s">
        <v>148</v>
      </c>
      <c r="K142" t="s">
        <v>23</v>
      </c>
      <c r="L142">
        <v>2072</v>
      </c>
      <c r="M142" s="10">
        <v>48.885627399999997</v>
      </c>
      <c r="N142" s="10">
        <v>0.77497881401913027</v>
      </c>
      <c r="O142" s="10">
        <v>-0.33795248333457284</v>
      </c>
      <c r="P142" s="1" t="str">
        <f>HYPERLINK(".\sm_car_250819_2005\sm_car_250819_2005_141_Ca184TrN_MaMPC_DrSt_ode23t_1.png","figure")</f>
        <v>figure</v>
      </c>
      <c r="Q142" t="s">
        <v>15</v>
      </c>
    </row>
    <row r="143" spans="1:17" x14ac:dyDescent="0.25">
      <c r="A143">
        <v>142</v>
      </c>
      <c r="B143">
        <v>184</v>
      </c>
      <c r="C143" t="s">
        <v>105</v>
      </c>
      <c r="D143" t="s">
        <v>120</v>
      </c>
      <c r="E143" t="s">
        <v>49</v>
      </c>
      <c r="F143" t="s">
        <v>19</v>
      </c>
      <c r="G143" t="s">
        <v>20</v>
      </c>
      <c r="H143" t="s">
        <v>21</v>
      </c>
      <c r="I143" t="s">
        <v>56</v>
      </c>
      <c r="J143" t="s">
        <v>149</v>
      </c>
      <c r="K143" t="s">
        <v>23</v>
      </c>
      <c r="L143">
        <v>2054</v>
      </c>
      <c r="M143" s="10">
        <v>49.233040000000003</v>
      </c>
      <c r="N143" s="10">
        <v>0.78211905177887076</v>
      </c>
      <c r="O143" s="10">
        <v>-8.2475788669948508E-2</v>
      </c>
      <c r="P143" s="1" t="str">
        <f>HYPERLINK(".\sm_car_250819_2005\sm_car_250819_2005_142_Ca184TrN_MaMPC_DrSt_ode23t_1.png","figure")</f>
        <v>figure</v>
      </c>
      <c r="Q143" t="s">
        <v>15</v>
      </c>
    </row>
    <row r="144" spans="1:17" x14ac:dyDescent="0.25">
      <c r="A144">
        <v>143</v>
      </c>
      <c r="B144">
        <v>195</v>
      </c>
      <c r="C144" t="s">
        <v>45</v>
      </c>
      <c r="D144" t="s">
        <v>58</v>
      </c>
      <c r="E144" t="s">
        <v>107</v>
      </c>
      <c r="F144" t="s">
        <v>19</v>
      </c>
      <c r="G144" t="s">
        <v>26</v>
      </c>
      <c r="H144" t="s">
        <v>21</v>
      </c>
      <c r="I144" t="s">
        <v>55</v>
      </c>
      <c r="J144" t="s">
        <v>148</v>
      </c>
      <c r="K144" t="s">
        <v>23</v>
      </c>
      <c r="L144">
        <v>3305</v>
      </c>
      <c r="M144" s="10">
        <v>49.454332700000002</v>
      </c>
      <c r="N144" s="10">
        <v>-1.9586691260287656E-2</v>
      </c>
      <c r="O144" s="10">
        <v>-0.57357713722516468</v>
      </c>
      <c r="P144" s="1" t="str">
        <f>HYPERLINK(".\sm_car_250819_2005\sm_car_250819_2005_143_Ca195TrN_MaMPK_DrSt_ode23t_1.png","figure")</f>
        <v>figure</v>
      </c>
      <c r="Q144" t="s">
        <v>15</v>
      </c>
    </row>
    <row r="145" spans="1:17" x14ac:dyDescent="0.25">
      <c r="A145">
        <v>144</v>
      </c>
      <c r="B145">
        <v>195</v>
      </c>
      <c r="C145" t="s">
        <v>45</v>
      </c>
      <c r="D145" t="s">
        <v>58</v>
      </c>
      <c r="E145" t="s">
        <v>107</v>
      </c>
      <c r="F145" t="s">
        <v>19</v>
      </c>
      <c r="G145" t="s">
        <v>26</v>
      </c>
      <c r="H145" t="s">
        <v>21</v>
      </c>
      <c r="I145" t="s">
        <v>55</v>
      </c>
      <c r="J145" t="s">
        <v>149</v>
      </c>
      <c r="K145" t="s">
        <v>23</v>
      </c>
      <c r="L145">
        <v>3874</v>
      </c>
      <c r="M145" s="10">
        <v>52.984678700000003</v>
      </c>
      <c r="N145" s="10">
        <v>-1.1117201051614234E-2</v>
      </c>
      <c r="O145" s="10">
        <v>-8.3820345880056921E-2</v>
      </c>
      <c r="P145" s="1" t="str">
        <f>HYPERLINK(".\sm_car_250819_2005\sm_car_250819_2005_144_Ca195TrN_MaMPK_DrSt_ode23t_1.png","figure")</f>
        <v>figure</v>
      </c>
      <c r="Q145" t="s">
        <v>15</v>
      </c>
    </row>
    <row r="146" spans="1:17" x14ac:dyDescent="0.25">
      <c r="A146">
        <v>145</v>
      </c>
      <c r="B146">
        <v>195</v>
      </c>
      <c r="C146" t="s">
        <v>45</v>
      </c>
      <c r="D146" t="s">
        <v>58</v>
      </c>
      <c r="E146" t="s">
        <v>107</v>
      </c>
      <c r="F146" t="s">
        <v>19</v>
      </c>
      <c r="G146" t="s">
        <v>26</v>
      </c>
      <c r="H146" t="s">
        <v>21</v>
      </c>
      <c r="I146" t="s">
        <v>56</v>
      </c>
      <c r="J146" t="s">
        <v>148</v>
      </c>
      <c r="K146" t="s">
        <v>23</v>
      </c>
      <c r="L146">
        <v>3022</v>
      </c>
      <c r="M146" s="10">
        <v>44.950729699999997</v>
      </c>
      <c r="N146" s="10">
        <v>0.78868113258084271</v>
      </c>
      <c r="O146" s="10">
        <v>-0.35992215331930727</v>
      </c>
      <c r="P146" s="1" t="str">
        <f>HYPERLINK(".\sm_car_250819_2005\sm_car_250819_2005_145_Ca195TrN_MaMPC_DrSt_ode23t_1.png","figure")</f>
        <v>figure</v>
      </c>
      <c r="Q146" t="s">
        <v>15</v>
      </c>
    </row>
    <row r="147" spans="1:17" x14ac:dyDescent="0.25">
      <c r="A147">
        <v>146</v>
      </c>
      <c r="B147">
        <v>195</v>
      </c>
      <c r="C147" t="s">
        <v>45</v>
      </c>
      <c r="D147" t="s">
        <v>58</v>
      </c>
      <c r="E147" t="s">
        <v>107</v>
      </c>
      <c r="F147" t="s">
        <v>19</v>
      </c>
      <c r="G147" t="s">
        <v>26</v>
      </c>
      <c r="H147" t="s">
        <v>21</v>
      </c>
      <c r="I147" t="s">
        <v>56</v>
      </c>
      <c r="J147" t="s">
        <v>149</v>
      </c>
      <c r="K147" t="s">
        <v>23</v>
      </c>
      <c r="L147">
        <v>3459</v>
      </c>
      <c r="M147" s="10">
        <v>47.834775499999999</v>
      </c>
      <c r="N147" s="10">
        <v>0.78688115999011465</v>
      </c>
      <c r="O147" s="10">
        <v>2.8188333756775683E-2</v>
      </c>
      <c r="P147" s="1" t="str">
        <f>HYPERLINK(".\sm_car_250819_2005\sm_car_250819_2005_146_Ca195TrN_MaMPC_DrSt_ode23t_1.png","figure")</f>
        <v>figure</v>
      </c>
      <c r="Q147" t="s">
        <v>15</v>
      </c>
    </row>
    <row r="148" spans="1:17" x14ac:dyDescent="0.25">
      <c r="A148">
        <v>147</v>
      </c>
      <c r="B148">
        <v>198</v>
      </c>
      <c r="C148" t="s">
        <v>105</v>
      </c>
      <c r="D148" t="s">
        <v>120</v>
      </c>
      <c r="E148" t="s">
        <v>107</v>
      </c>
      <c r="F148" t="s">
        <v>19</v>
      </c>
      <c r="G148" t="s">
        <v>20</v>
      </c>
      <c r="H148" t="s">
        <v>21</v>
      </c>
      <c r="I148" t="s">
        <v>55</v>
      </c>
      <c r="J148" t="s">
        <v>148</v>
      </c>
      <c r="K148" t="s">
        <v>23</v>
      </c>
      <c r="L148">
        <v>2303</v>
      </c>
      <c r="M148" s="10">
        <v>31.811260300000001</v>
      </c>
      <c r="N148" s="10">
        <v>8.9491580942834964E-3</v>
      </c>
      <c r="O148" s="10">
        <v>-0.74353293562381539</v>
      </c>
      <c r="P148" s="1" t="str">
        <f>HYPERLINK(".\sm_car_250819_2005\sm_car_250819_2005_147_Ca198TrN_MaMPK_DrSt_ode23t_1.png","figure")</f>
        <v>figure</v>
      </c>
      <c r="Q148" t="s">
        <v>15</v>
      </c>
    </row>
    <row r="149" spans="1:17" x14ac:dyDescent="0.25">
      <c r="A149">
        <v>148</v>
      </c>
      <c r="B149">
        <v>198</v>
      </c>
      <c r="C149" t="s">
        <v>105</v>
      </c>
      <c r="D149" t="s">
        <v>120</v>
      </c>
      <c r="E149" t="s">
        <v>107</v>
      </c>
      <c r="F149" t="s">
        <v>19</v>
      </c>
      <c r="G149" t="s">
        <v>20</v>
      </c>
      <c r="H149" t="s">
        <v>21</v>
      </c>
      <c r="I149" t="s">
        <v>55</v>
      </c>
      <c r="J149" t="s">
        <v>149</v>
      </c>
      <c r="K149" t="s">
        <v>23</v>
      </c>
      <c r="L149">
        <v>2610</v>
      </c>
      <c r="M149" s="10">
        <v>35.062920900000002</v>
      </c>
      <c r="N149" s="10">
        <v>-8.5760171372995103E-3</v>
      </c>
      <c r="O149" s="10">
        <v>-3.0368078928762116E-2</v>
      </c>
      <c r="P149" s="1" t="str">
        <f>HYPERLINK(".\sm_car_250819_2005\sm_car_250819_2005_148_Ca198TrN_MaMPK_DrSt_ode23t_1.png","figure")</f>
        <v>figure</v>
      </c>
      <c r="Q149" t="s">
        <v>15</v>
      </c>
    </row>
    <row r="150" spans="1:17" x14ac:dyDescent="0.25">
      <c r="A150">
        <v>149</v>
      </c>
      <c r="B150">
        <v>198</v>
      </c>
      <c r="C150" t="s">
        <v>105</v>
      </c>
      <c r="D150" t="s">
        <v>120</v>
      </c>
      <c r="E150" t="s">
        <v>107</v>
      </c>
      <c r="F150" t="s">
        <v>19</v>
      </c>
      <c r="G150" t="s">
        <v>20</v>
      </c>
      <c r="H150" t="s">
        <v>21</v>
      </c>
      <c r="I150" t="s">
        <v>56</v>
      </c>
      <c r="J150" t="s">
        <v>148</v>
      </c>
      <c r="K150" t="s">
        <v>23</v>
      </c>
      <c r="L150">
        <v>2077</v>
      </c>
      <c r="M150" s="10">
        <v>32.007730500000001</v>
      </c>
      <c r="N150" s="10">
        <v>0.78594009465250991</v>
      </c>
      <c r="O150" s="10">
        <v>-0.33801095391641228</v>
      </c>
      <c r="P150" s="1" t="str">
        <f>HYPERLINK(".\sm_car_250819_2005\sm_car_250819_2005_149_Ca198TrN_MaMPC_DrSt_ode23t_1.png","figure")</f>
        <v>figure</v>
      </c>
      <c r="Q150" t="s">
        <v>15</v>
      </c>
    </row>
    <row r="151" spans="1:17" x14ac:dyDescent="0.25">
      <c r="A151">
        <v>150</v>
      </c>
      <c r="B151">
        <v>198</v>
      </c>
      <c r="C151" t="s">
        <v>105</v>
      </c>
      <c r="D151" t="s">
        <v>120</v>
      </c>
      <c r="E151" t="s">
        <v>107</v>
      </c>
      <c r="F151" t="s">
        <v>19</v>
      </c>
      <c r="G151" t="s">
        <v>20</v>
      </c>
      <c r="H151" t="s">
        <v>21</v>
      </c>
      <c r="I151" t="s">
        <v>56</v>
      </c>
      <c r="J151" t="s">
        <v>149</v>
      </c>
      <c r="K151" t="s">
        <v>23</v>
      </c>
      <c r="L151">
        <v>2143</v>
      </c>
      <c r="M151" s="10">
        <v>33.633521500000001</v>
      </c>
      <c r="N151" s="10">
        <v>0.78864605529092735</v>
      </c>
      <c r="O151" s="10">
        <v>-8.222215141263868E-2</v>
      </c>
      <c r="P151" s="1" t="str">
        <f>HYPERLINK(".\sm_car_250819_2005\sm_car_250819_2005_150_Ca198TrN_MaMPC_DrSt_ode23t_1.png","figure")</f>
        <v>figure</v>
      </c>
      <c r="Q151" t="s">
        <v>15</v>
      </c>
    </row>
    <row r="152" spans="1:17" x14ac:dyDescent="0.25">
      <c r="A152">
        <v>151</v>
      </c>
      <c r="B152">
        <v>151</v>
      </c>
      <c r="C152" t="s">
        <v>16</v>
      </c>
      <c r="D152" t="s">
        <v>17</v>
      </c>
      <c r="E152" t="s">
        <v>18</v>
      </c>
      <c r="F152" t="s">
        <v>19</v>
      </c>
      <c r="G152" t="s">
        <v>59</v>
      </c>
      <c r="H152" t="s">
        <v>21</v>
      </c>
      <c r="I152" t="s">
        <v>24</v>
      </c>
      <c r="J152" t="s">
        <v>148</v>
      </c>
      <c r="K152" t="s">
        <v>23</v>
      </c>
      <c r="L152">
        <v>514</v>
      </c>
      <c r="M152" s="10">
        <v>11.837524</v>
      </c>
      <c r="N152" s="10">
        <v>72.170720197472406</v>
      </c>
      <c r="O152" s="10">
        <v>-0.7881204902985588</v>
      </c>
      <c r="P152" s="1" t="str">
        <f>HYPERLINK(".\sm_car_250819_2005\sm_car_250819_2005_151_Ca151TrN_MaLSS_DrSt_ode23t_1.png","figure")</f>
        <v>figure</v>
      </c>
      <c r="Q152" t="s">
        <v>15</v>
      </c>
    </row>
    <row r="153" spans="1:17" x14ac:dyDescent="0.25">
      <c r="A153">
        <v>152</v>
      </c>
      <c r="B153">
        <v>152</v>
      </c>
      <c r="C153" t="s">
        <v>16</v>
      </c>
      <c r="D153" t="s">
        <v>17</v>
      </c>
      <c r="E153" t="s">
        <v>18</v>
      </c>
      <c r="F153" t="s">
        <v>19</v>
      </c>
      <c r="G153" t="s">
        <v>60</v>
      </c>
      <c r="H153" t="s">
        <v>21</v>
      </c>
      <c r="I153" t="s">
        <v>24</v>
      </c>
      <c r="J153" t="s">
        <v>148</v>
      </c>
      <c r="K153" t="s">
        <v>23</v>
      </c>
      <c r="L153">
        <v>533</v>
      </c>
      <c r="M153" s="10">
        <v>12.762144899999999</v>
      </c>
      <c r="N153" s="10">
        <v>70.582574800098868</v>
      </c>
      <c r="O153" s="10">
        <v>-0.5225752399123339</v>
      </c>
      <c r="P153" s="1" t="str">
        <f>HYPERLINK(".\sm_car_250819_2005\sm_car_250819_2005_152_Ca152TrN_MaLSS_DrSt_ode23t_1.png","figure")</f>
        <v>figure</v>
      </c>
      <c r="Q153" t="s">
        <v>15</v>
      </c>
    </row>
    <row r="154" spans="1:17" x14ac:dyDescent="0.25">
      <c r="A154">
        <v>153</v>
      </c>
      <c r="B154">
        <v>153</v>
      </c>
      <c r="C154" t="s">
        <v>16</v>
      </c>
      <c r="D154" t="s">
        <v>17</v>
      </c>
      <c r="E154" t="s">
        <v>18</v>
      </c>
      <c r="F154" t="s">
        <v>19</v>
      </c>
      <c r="G154" t="s">
        <v>61</v>
      </c>
      <c r="H154" t="s">
        <v>21</v>
      </c>
      <c r="I154" t="s">
        <v>24</v>
      </c>
      <c r="J154" t="s">
        <v>148</v>
      </c>
      <c r="K154" t="s">
        <v>23</v>
      </c>
      <c r="L154">
        <v>543</v>
      </c>
      <c r="M154" s="10">
        <v>12.926188</v>
      </c>
      <c r="N154" s="10">
        <v>70.435288219888065</v>
      </c>
      <c r="O154" s="10">
        <v>-0.85962999888355573</v>
      </c>
      <c r="P154" s="1" t="str">
        <f>HYPERLINK(".\sm_car_250819_2005\sm_car_250819_2005_153_Ca153TrN_MaLSS_DrSt_ode23t_1.png","figure")</f>
        <v>figure</v>
      </c>
      <c r="Q154" t="s">
        <v>15</v>
      </c>
    </row>
    <row r="155" spans="1:17" x14ac:dyDescent="0.25">
      <c r="A155">
        <v>154</v>
      </c>
      <c r="B155">
        <v>154</v>
      </c>
      <c r="C155" t="s">
        <v>16</v>
      </c>
      <c r="D155" t="s">
        <v>17</v>
      </c>
      <c r="E155" t="s">
        <v>18</v>
      </c>
      <c r="F155" t="s">
        <v>19</v>
      </c>
      <c r="G155" t="s">
        <v>108</v>
      </c>
      <c r="H155" t="s">
        <v>21</v>
      </c>
      <c r="I155" t="s">
        <v>24</v>
      </c>
      <c r="J155" t="s">
        <v>148</v>
      </c>
      <c r="K155" t="s">
        <v>23</v>
      </c>
      <c r="L155">
        <v>496</v>
      </c>
      <c r="M155" s="10">
        <v>14.4521458</v>
      </c>
      <c r="N155" s="10">
        <v>70.60983387792875</v>
      </c>
      <c r="O155" s="10">
        <v>-0.35359574413203271</v>
      </c>
      <c r="P155" s="1" t="str">
        <f>HYPERLINK(".\sm_car_250819_2005\sm_car_250819_2005_154_Ca154TrN_MaLSS_DrSt_ode23t_1.png","figure")</f>
        <v>figure</v>
      </c>
      <c r="Q155" t="s">
        <v>15</v>
      </c>
    </row>
    <row r="156" spans="1:17" x14ac:dyDescent="0.25">
      <c r="A156">
        <v>155</v>
      </c>
      <c r="B156">
        <v>155</v>
      </c>
      <c r="C156" t="s">
        <v>16</v>
      </c>
      <c r="D156" t="s">
        <v>17</v>
      </c>
      <c r="E156" t="s">
        <v>18</v>
      </c>
      <c r="F156" t="s">
        <v>19</v>
      </c>
      <c r="G156" t="s">
        <v>62</v>
      </c>
      <c r="H156" t="s">
        <v>21</v>
      </c>
      <c r="I156" t="s">
        <v>24</v>
      </c>
      <c r="J156" t="s">
        <v>148</v>
      </c>
      <c r="K156" t="s">
        <v>23</v>
      </c>
      <c r="L156">
        <v>557</v>
      </c>
      <c r="M156" s="10">
        <v>17.827721100000002</v>
      </c>
      <c r="N156" s="10">
        <v>70.46702992573249</v>
      </c>
      <c r="O156" s="10">
        <v>-0.83646545291369834</v>
      </c>
      <c r="P156" s="1" t="str">
        <f>HYPERLINK(".\sm_car_250819_2005\sm_car_250819_2005_155_Ca155TrN_MaLSS_DrSt_ode23t_1.png","figure")</f>
        <v>figure</v>
      </c>
      <c r="Q156" t="s">
        <v>15</v>
      </c>
    </row>
    <row r="157" spans="1:17" x14ac:dyDescent="0.25">
      <c r="A157">
        <v>156</v>
      </c>
      <c r="B157">
        <v>4</v>
      </c>
      <c r="C157" t="s">
        <v>16</v>
      </c>
      <c r="D157" t="s">
        <v>17</v>
      </c>
      <c r="E157" t="s">
        <v>18</v>
      </c>
      <c r="F157" t="s">
        <v>28</v>
      </c>
      <c r="G157" t="s">
        <v>20</v>
      </c>
      <c r="H157" t="s">
        <v>21</v>
      </c>
      <c r="I157" t="s">
        <v>22</v>
      </c>
      <c r="J157" t="s">
        <v>148</v>
      </c>
      <c r="K157" t="s">
        <v>63</v>
      </c>
      <c r="L157">
        <v>3247</v>
      </c>
      <c r="M157" s="10">
        <v>8.7000130999999996</v>
      </c>
      <c r="N157" s="10">
        <v>230.12391720383511</v>
      </c>
      <c r="O157" s="10">
        <v>-2.7189243063187834E-3</v>
      </c>
      <c r="P157" s="1" t="str">
        <f>HYPERLINK(".\sm_car_250819_2005\sm_car_250819_2005_156_Ca004TrN_MaWOT_DrSt_ode3_1.png","figure")</f>
        <v>figure</v>
      </c>
      <c r="Q157" t="s">
        <v>15</v>
      </c>
    </row>
    <row r="158" spans="1:17" x14ac:dyDescent="0.25">
      <c r="A158">
        <v>157</v>
      </c>
      <c r="B158">
        <v>4</v>
      </c>
      <c r="C158" t="s">
        <v>16</v>
      </c>
      <c r="D158" t="s">
        <v>17</v>
      </c>
      <c r="E158" t="s">
        <v>18</v>
      </c>
      <c r="F158" t="s">
        <v>28</v>
      </c>
      <c r="G158" t="s">
        <v>20</v>
      </c>
      <c r="H158" t="s">
        <v>21</v>
      </c>
      <c r="I158" t="s">
        <v>24</v>
      </c>
      <c r="J158" t="s">
        <v>148</v>
      </c>
      <c r="K158" t="s">
        <v>63</v>
      </c>
      <c r="L158">
        <v>2564</v>
      </c>
      <c r="M158" s="10">
        <v>7.4785896000000003</v>
      </c>
      <c r="N158" s="10">
        <v>70.877460182998419</v>
      </c>
      <c r="O158" s="10">
        <v>-0.53377971206600749</v>
      </c>
      <c r="P158" s="1" t="str">
        <f>HYPERLINK(".\sm_car_250819_2005\sm_car_250819_2005_157_Ca004TrN_MaLSS_DrSt_ode3_1.png","figure")</f>
        <v>figure</v>
      </c>
      <c r="Q158" t="s">
        <v>15</v>
      </c>
    </row>
    <row r="159" spans="1:17" x14ac:dyDescent="0.25">
      <c r="A159">
        <v>158</v>
      </c>
      <c r="B159">
        <v>4</v>
      </c>
      <c r="C159" t="s">
        <v>16</v>
      </c>
      <c r="D159" t="s">
        <v>17</v>
      </c>
      <c r="E159" t="s">
        <v>18</v>
      </c>
      <c r="F159" t="s">
        <v>28</v>
      </c>
      <c r="G159" t="s">
        <v>20</v>
      </c>
      <c r="H159" t="s">
        <v>21</v>
      </c>
      <c r="I159" t="s">
        <v>64</v>
      </c>
      <c r="J159" t="s">
        <v>148</v>
      </c>
      <c r="K159" t="s">
        <v>63</v>
      </c>
      <c r="L159">
        <v>2562</v>
      </c>
      <c r="M159" s="10">
        <v>7.3452842</v>
      </c>
      <c r="N159" s="10">
        <v>63.517181713594383</v>
      </c>
      <c r="O159" s="10">
        <v>-24.808510944630196</v>
      </c>
      <c r="P159" s="1" t="str">
        <f>HYPERLINK(".\sm_car_250819_2005\sm_car_250819_2005_158_Ca004TrN_MaTUR_DrSt_ode3_1.png","figure")</f>
        <v>figure</v>
      </c>
      <c r="Q159" t="s">
        <v>15</v>
      </c>
    </row>
    <row r="160" spans="1:17" x14ac:dyDescent="0.25">
      <c r="A160">
        <v>159</v>
      </c>
      <c r="B160">
        <v>116</v>
      </c>
      <c r="C160" t="s">
        <v>16</v>
      </c>
      <c r="D160" t="s">
        <v>35</v>
      </c>
      <c r="E160" t="s">
        <v>18</v>
      </c>
      <c r="F160" t="s">
        <v>28</v>
      </c>
      <c r="G160" t="s">
        <v>20</v>
      </c>
      <c r="H160" t="s">
        <v>21</v>
      </c>
      <c r="I160" t="s">
        <v>22</v>
      </c>
      <c r="J160" t="s">
        <v>148</v>
      </c>
      <c r="K160" t="s">
        <v>63</v>
      </c>
      <c r="L160">
        <v>3244</v>
      </c>
      <c r="M160" s="10">
        <v>3.9856218000000001</v>
      </c>
      <c r="N160" s="10">
        <v>242.69607452341987</v>
      </c>
      <c r="O160" s="10">
        <v>0.23635446031101723</v>
      </c>
      <c r="P160" s="1" t="str">
        <f>HYPERLINK(".\sm_car_250819_2005\sm_car_250819_2005_159_Ca116TrN_MaWOT_DrSt_ode3_1.png","figure")</f>
        <v>figure</v>
      </c>
      <c r="Q160" t="s">
        <v>15</v>
      </c>
    </row>
    <row r="161" spans="1:17" x14ac:dyDescent="0.25">
      <c r="A161">
        <v>160</v>
      </c>
      <c r="B161">
        <v>116</v>
      </c>
      <c r="C161" t="s">
        <v>16</v>
      </c>
      <c r="D161" t="s">
        <v>35</v>
      </c>
      <c r="E161" t="s">
        <v>18</v>
      </c>
      <c r="F161" t="s">
        <v>28</v>
      </c>
      <c r="G161" t="s">
        <v>20</v>
      </c>
      <c r="H161" t="s">
        <v>21</v>
      </c>
      <c r="I161" t="s">
        <v>24</v>
      </c>
      <c r="J161" t="s">
        <v>148</v>
      </c>
      <c r="K161" t="s">
        <v>63</v>
      </c>
      <c r="L161">
        <v>2564</v>
      </c>
      <c r="M161" s="10">
        <v>3.2255009000000001</v>
      </c>
      <c r="N161" s="10">
        <v>74.657190781644118</v>
      </c>
      <c r="O161" s="10">
        <v>-0.34075824439014252</v>
      </c>
      <c r="P161" s="1" t="str">
        <f>HYPERLINK(".\sm_car_250819_2005\sm_car_250819_2005_160_Ca116TrN_MaLSS_DrSt_ode3_1.png","figure")</f>
        <v>figure</v>
      </c>
      <c r="Q161" t="s">
        <v>15</v>
      </c>
    </row>
    <row r="162" spans="1:17" x14ac:dyDescent="0.25">
      <c r="A162">
        <v>161</v>
      </c>
      <c r="B162">
        <v>116</v>
      </c>
      <c r="C162" t="s">
        <v>16</v>
      </c>
      <c r="D162" t="s">
        <v>35</v>
      </c>
      <c r="E162" t="s">
        <v>18</v>
      </c>
      <c r="F162" t="s">
        <v>28</v>
      </c>
      <c r="G162" t="s">
        <v>20</v>
      </c>
      <c r="H162" t="s">
        <v>21</v>
      </c>
      <c r="I162" t="s">
        <v>64</v>
      </c>
      <c r="J162" t="s">
        <v>148</v>
      </c>
      <c r="K162" t="s">
        <v>63</v>
      </c>
      <c r="L162">
        <v>2563</v>
      </c>
      <c r="M162" s="10">
        <v>3.2678503000000001</v>
      </c>
      <c r="N162" s="10">
        <v>71.322015477791922</v>
      </c>
      <c r="O162" s="10">
        <v>-17.59032913116118</v>
      </c>
      <c r="P162" s="1" t="str">
        <f>HYPERLINK(".\sm_car_250819_2005\sm_car_250819_2005_161_Ca116TrN_MaTUR_DrSt_ode3_1.png","figure")</f>
        <v>figure</v>
      </c>
      <c r="Q162" t="s">
        <v>15</v>
      </c>
    </row>
    <row r="163" spans="1:17" x14ac:dyDescent="0.25">
      <c r="A163">
        <v>162</v>
      </c>
      <c r="B163">
        <v>124</v>
      </c>
      <c r="C163" t="s">
        <v>16</v>
      </c>
      <c r="D163" t="s">
        <v>35</v>
      </c>
      <c r="E163" t="s">
        <v>49</v>
      </c>
      <c r="F163" t="s">
        <v>28</v>
      </c>
      <c r="G163" t="s">
        <v>20</v>
      </c>
      <c r="H163" t="s">
        <v>21</v>
      </c>
      <c r="I163" t="s">
        <v>22</v>
      </c>
      <c r="J163" t="s">
        <v>148</v>
      </c>
      <c r="K163" t="s">
        <v>63</v>
      </c>
      <c r="L163">
        <v>3244</v>
      </c>
      <c r="M163" s="10">
        <v>2.1746485</v>
      </c>
      <c r="N163" s="10">
        <v>242.87242715534217</v>
      </c>
      <c r="O163" s="10">
        <v>0.2361586465591097</v>
      </c>
      <c r="P163" s="1" t="str">
        <f>HYPERLINK(".\sm_car_250819_2005\sm_car_250819_2005_162_Ca124TrN_MaWOT_DrSt_ode3_1.png","figure")</f>
        <v>figure</v>
      </c>
      <c r="Q163" t="s">
        <v>15</v>
      </c>
    </row>
    <row r="164" spans="1:17" x14ac:dyDescent="0.25">
      <c r="A164">
        <v>163</v>
      </c>
      <c r="B164">
        <v>124</v>
      </c>
      <c r="C164" t="s">
        <v>16</v>
      </c>
      <c r="D164" t="s">
        <v>35</v>
      </c>
      <c r="E164" t="s">
        <v>49</v>
      </c>
      <c r="F164" t="s">
        <v>28</v>
      </c>
      <c r="G164" t="s">
        <v>20</v>
      </c>
      <c r="H164" t="s">
        <v>21</v>
      </c>
      <c r="I164" t="s">
        <v>24</v>
      </c>
      <c r="J164" t="s">
        <v>148</v>
      </c>
      <c r="K164" t="s">
        <v>63</v>
      </c>
      <c r="L164">
        <v>2565</v>
      </c>
      <c r="M164" s="10">
        <v>1.7927983000000001</v>
      </c>
      <c r="N164" s="10">
        <v>74.796106047599494</v>
      </c>
      <c r="O164" s="10">
        <v>-0.34233746651595126</v>
      </c>
      <c r="P164" s="1" t="str">
        <f>HYPERLINK(".\sm_car_250819_2005\sm_car_250819_2005_163_Ca124TrN_MaLSS_DrSt_ode3_1.png","figure")</f>
        <v>figure</v>
      </c>
      <c r="Q164" t="s">
        <v>15</v>
      </c>
    </row>
    <row r="165" spans="1:17" x14ac:dyDescent="0.25">
      <c r="A165">
        <v>164</v>
      </c>
      <c r="B165">
        <v>124</v>
      </c>
      <c r="C165" t="s">
        <v>16</v>
      </c>
      <c r="D165" t="s">
        <v>35</v>
      </c>
      <c r="E165" t="s">
        <v>49</v>
      </c>
      <c r="F165" t="s">
        <v>28</v>
      </c>
      <c r="G165" t="s">
        <v>20</v>
      </c>
      <c r="H165" t="s">
        <v>21</v>
      </c>
      <c r="I165" t="s">
        <v>64</v>
      </c>
      <c r="J165" t="s">
        <v>148</v>
      </c>
      <c r="K165" t="s">
        <v>63</v>
      </c>
      <c r="L165">
        <v>2564</v>
      </c>
      <c r="M165" s="10">
        <v>2.0690862000000001</v>
      </c>
      <c r="N165" s="10">
        <v>71.447408139703882</v>
      </c>
      <c r="O165" s="10">
        <v>-17.636376353758354</v>
      </c>
      <c r="P165" s="1" t="str">
        <f>HYPERLINK(".\sm_car_250819_2005\sm_car_250819_2005_164_Ca124TrN_MaTUR_DrSt_ode3_1.png","figure")</f>
        <v>figure</v>
      </c>
      <c r="Q165" t="s">
        <v>15</v>
      </c>
    </row>
    <row r="166" spans="1:17" x14ac:dyDescent="0.25">
      <c r="A166">
        <v>165</v>
      </c>
      <c r="B166">
        <v>141</v>
      </c>
      <c r="C166" t="s">
        <v>45</v>
      </c>
      <c r="D166" t="s">
        <v>17</v>
      </c>
      <c r="E166" t="s">
        <v>18</v>
      </c>
      <c r="F166" t="s">
        <v>28</v>
      </c>
      <c r="G166" t="s">
        <v>26</v>
      </c>
      <c r="H166" t="s">
        <v>21</v>
      </c>
      <c r="I166" t="s">
        <v>22</v>
      </c>
      <c r="J166" t="s">
        <v>148</v>
      </c>
      <c r="K166" t="s">
        <v>63</v>
      </c>
      <c r="L166">
        <v>3839</v>
      </c>
      <c r="M166" s="10">
        <v>11.693589599999999</v>
      </c>
      <c r="N166" s="10">
        <v>402.3086467361619</v>
      </c>
      <c r="O166" s="10">
        <v>1.6315172649289178</v>
      </c>
      <c r="P166" s="1" t="str">
        <f>HYPERLINK(".\sm_car_250819_2005\sm_car_250819_2005_165_Ca141TrN_MaWOT_DrSt_ode3_1.png","figure")</f>
        <v>figure</v>
      </c>
      <c r="Q166" t="s">
        <v>15</v>
      </c>
    </row>
    <row r="167" spans="1:17" x14ac:dyDescent="0.25">
      <c r="A167">
        <v>166</v>
      </c>
      <c r="B167">
        <v>141</v>
      </c>
      <c r="C167" t="s">
        <v>45</v>
      </c>
      <c r="D167" t="s">
        <v>17</v>
      </c>
      <c r="E167" t="s">
        <v>18</v>
      </c>
      <c r="F167" t="s">
        <v>28</v>
      </c>
      <c r="G167" t="s">
        <v>26</v>
      </c>
      <c r="H167" t="s">
        <v>21</v>
      </c>
      <c r="I167" t="s">
        <v>24</v>
      </c>
      <c r="J167" t="s">
        <v>148</v>
      </c>
      <c r="K167" t="s">
        <v>63</v>
      </c>
      <c r="L167">
        <v>3192</v>
      </c>
      <c r="M167" s="10">
        <v>10.1885148</v>
      </c>
      <c r="N167" s="10">
        <v>153.16112811043706</v>
      </c>
      <c r="O167" s="10">
        <v>-0.57358606081031227</v>
      </c>
      <c r="P167" s="1" t="str">
        <f>HYPERLINK(".\sm_car_250819_2005\sm_car_250819_2005_166_Ca141TrN_MaLSS_DrSt_ode3_1.png","figure")</f>
        <v>figure</v>
      </c>
      <c r="Q167" t="s">
        <v>15</v>
      </c>
    </row>
    <row r="168" spans="1:17" x14ac:dyDescent="0.25">
      <c r="A168">
        <v>167</v>
      </c>
      <c r="B168">
        <v>141</v>
      </c>
      <c r="C168" t="s">
        <v>45</v>
      </c>
      <c r="D168" t="s">
        <v>17</v>
      </c>
      <c r="E168" t="s">
        <v>18</v>
      </c>
      <c r="F168" t="s">
        <v>28</v>
      </c>
      <c r="G168" t="s">
        <v>26</v>
      </c>
      <c r="H168" t="s">
        <v>21</v>
      </c>
      <c r="I168" t="s">
        <v>64</v>
      </c>
      <c r="J168" t="s">
        <v>148</v>
      </c>
      <c r="K168" t="s">
        <v>63</v>
      </c>
      <c r="L168">
        <v>3161</v>
      </c>
      <c r="M168" s="10">
        <v>10.4902561</v>
      </c>
      <c r="N168" s="10">
        <v>98.197141883149385</v>
      </c>
      <c r="O168" s="10">
        <v>-86.467118588251893</v>
      </c>
      <c r="P168" s="1" t="str">
        <f>HYPERLINK(".\sm_car_250819_2005\sm_car_250819_2005_167_Ca141TrN_MaTUR_DrSt_ode3_1.png","figure")</f>
        <v>figure</v>
      </c>
      <c r="Q168" t="s">
        <v>15</v>
      </c>
    </row>
    <row r="169" spans="1:17" x14ac:dyDescent="0.25">
      <c r="A169">
        <v>168</v>
      </c>
      <c r="B169">
        <v>145</v>
      </c>
      <c r="C169" t="s">
        <v>46</v>
      </c>
      <c r="D169" t="s">
        <v>17</v>
      </c>
      <c r="E169" t="s">
        <v>50</v>
      </c>
      <c r="F169" t="s">
        <v>19</v>
      </c>
      <c r="G169" t="s">
        <v>26</v>
      </c>
      <c r="H169" t="s">
        <v>21</v>
      </c>
      <c r="I169" t="s">
        <v>22</v>
      </c>
      <c r="J169" t="s">
        <v>148</v>
      </c>
      <c r="K169" t="s">
        <v>63</v>
      </c>
      <c r="L169">
        <v>2641</v>
      </c>
      <c r="M169" s="10">
        <v>7.0528580999999999</v>
      </c>
      <c r="N169" s="10">
        <v>62.800910540515559</v>
      </c>
      <c r="O169" s="10">
        <v>1.2917832202050079E-2</v>
      </c>
      <c r="P169" s="1" t="str">
        <f>HYPERLINK(".\sm_car_250819_2005\sm_car_250819_2005_168_Ca145TrN_MaWOT_DrSt_ode3_1.png","figure")</f>
        <v>figure</v>
      </c>
      <c r="Q169" t="s">
        <v>15</v>
      </c>
    </row>
    <row r="170" spans="1:17" x14ac:dyDescent="0.25">
      <c r="A170">
        <v>169</v>
      </c>
      <c r="B170">
        <v>145</v>
      </c>
      <c r="C170" t="s">
        <v>46</v>
      </c>
      <c r="D170" t="s">
        <v>17</v>
      </c>
      <c r="E170" t="s">
        <v>50</v>
      </c>
      <c r="F170" t="s">
        <v>19</v>
      </c>
      <c r="G170" t="s">
        <v>26</v>
      </c>
      <c r="H170" t="s">
        <v>21</v>
      </c>
      <c r="I170" t="s">
        <v>24</v>
      </c>
      <c r="J170" t="s">
        <v>148</v>
      </c>
      <c r="K170" t="s">
        <v>63</v>
      </c>
      <c r="L170">
        <v>2383</v>
      </c>
      <c r="M170" s="10">
        <v>6.6650977999999999</v>
      </c>
      <c r="N170" s="10">
        <v>25.300132166901456</v>
      </c>
      <c r="O170" s="10">
        <v>-5.097733361304882E-2</v>
      </c>
      <c r="P170" s="1" t="str">
        <f>HYPERLINK(".\sm_car_250819_2005\sm_car_250819_2005_169_Ca145TrN_MaLSS_DrSt_ode3_1.png","figure")</f>
        <v>figure</v>
      </c>
      <c r="Q170" t="s">
        <v>15</v>
      </c>
    </row>
    <row r="171" spans="1:17" x14ac:dyDescent="0.25">
      <c r="A171">
        <v>170</v>
      </c>
      <c r="B171">
        <v>145</v>
      </c>
      <c r="C171" t="s">
        <v>46</v>
      </c>
      <c r="D171" t="s">
        <v>17</v>
      </c>
      <c r="E171" t="s">
        <v>50</v>
      </c>
      <c r="F171" t="s">
        <v>19</v>
      </c>
      <c r="G171" t="s">
        <v>26</v>
      </c>
      <c r="H171" t="s">
        <v>21</v>
      </c>
      <c r="I171" t="s">
        <v>64</v>
      </c>
      <c r="J171" t="s">
        <v>148</v>
      </c>
      <c r="K171" t="s">
        <v>63</v>
      </c>
      <c r="L171">
        <v>2381</v>
      </c>
      <c r="M171" s="10">
        <v>6.4398523000000001</v>
      </c>
      <c r="N171" s="10">
        <v>25.120681006764457</v>
      </c>
      <c r="O171" s="10">
        <v>-2.6102218965548429</v>
      </c>
      <c r="P171" s="1" t="str">
        <f>HYPERLINK(".\sm_car_250819_2005\sm_car_250819_2005_170_Ca145TrN_MaTUR_DrSt_ode3_1.png","figure")</f>
        <v>figure</v>
      </c>
      <c r="Q171" t="s">
        <v>15</v>
      </c>
    </row>
    <row r="172" spans="1:17" x14ac:dyDescent="0.25">
      <c r="A172">
        <v>171</v>
      </c>
      <c r="B172">
        <v>199</v>
      </c>
      <c r="C172" t="s">
        <v>46</v>
      </c>
      <c r="D172" t="s">
        <v>17</v>
      </c>
      <c r="E172" t="s">
        <v>109</v>
      </c>
      <c r="F172" t="s">
        <v>19</v>
      </c>
      <c r="G172" t="s">
        <v>26</v>
      </c>
      <c r="H172" t="s">
        <v>21</v>
      </c>
      <c r="I172" t="s">
        <v>22</v>
      </c>
      <c r="J172" t="s">
        <v>148</v>
      </c>
      <c r="K172" t="s">
        <v>63</v>
      </c>
      <c r="L172">
        <v>2647</v>
      </c>
      <c r="M172" s="10">
        <v>8.3838168</v>
      </c>
      <c r="N172" s="10">
        <v>63.48001673727822</v>
      </c>
      <c r="O172" s="10">
        <v>-7.3619758685258905E-5</v>
      </c>
      <c r="P172" s="1" t="str">
        <f>HYPERLINK(".\sm_car_250819_2005\sm_car_250819_2005_171_Ca199TrN_MaWOT_DrSt_ode3_1.png","figure")</f>
        <v>figure</v>
      </c>
      <c r="Q172" t="s">
        <v>15</v>
      </c>
    </row>
    <row r="173" spans="1:17" x14ac:dyDescent="0.25">
      <c r="A173">
        <v>172</v>
      </c>
      <c r="B173">
        <v>199</v>
      </c>
      <c r="C173" t="s">
        <v>46</v>
      </c>
      <c r="D173" t="s">
        <v>17</v>
      </c>
      <c r="E173" t="s">
        <v>109</v>
      </c>
      <c r="F173" t="s">
        <v>19</v>
      </c>
      <c r="G173" t="s">
        <v>26</v>
      </c>
      <c r="H173" t="s">
        <v>21</v>
      </c>
      <c r="I173" t="s">
        <v>24</v>
      </c>
      <c r="J173" t="s">
        <v>148</v>
      </c>
      <c r="K173" t="s">
        <v>63</v>
      </c>
      <c r="L173">
        <v>2385</v>
      </c>
      <c r="M173" s="10">
        <v>7.4699358</v>
      </c>
      <c r="N173" s="10">
        <v>25.919530857830136</v>
      </c>
      <c r="O173" s="10">
        <v>-5.378821615555672E-2</v>
      </c>
      <c r="P173" s="1" t="str">
        <f>HYPERLINK(".\sm_car_250819_2005\sm_car_250819_2005_172_Ca199TrN_MaLSS_DrSt_ode3_1.png","figure")</f>
        <v>figure</v>
      </c>
      <c r="Q173" t="s">
        <v>15</v>
      </c>
    </row>
    <row r="174" spans="1:17" x14ac:dyDescent="0.25">
      <c r="A174">
        <v>173</v>
      </c>
      <c r="B174">
        <v>199</v>
      </c>
      <c r="C174" t="s">
        <v>46</v>
      </c>
      <c r="D174" t="s">
        <v>17</v>
      </c>
      <c r="E174" t="s">
        <v>109</v>
      </c>
      <c r="F174" t="s">
        <v>19</v>
      </c>
      <c r="G174" t="s">
        <v>26</v>
      </c>
      <c r="H174" t="s">
        <v>21</v>
      </c>
      <c r="I174" t="s">
        <v>64</v>
      </c>
      <c r="J174" t="s">
        <v>148</v>
      </c>
      <c r="K174" t="s">
        <v>63</v>
      </c>
      <c r="L174">
        <v>2384</v>
      </c>
      <c r="M174" s="10">
        <v>7.6458579000000002</v>
      </c>
      <c r="N174" s="10">
        <v>25.734126782305804</v>
      </c>
      <c r="O174" s="10">
        <v>-2.6938230537996364</v>
      </c>
      <c r="P174" s="1" t="str">
        <f>HYPERLINK(".\sm_car_250819_2005\sm_car_250819_2005_173_Ca199TrN_MaTUR_DrSt_ode3_1.png","figure")</f>
        <v>figure</v>
      </c>
      <c r="Q174" t="s">
        <v>15</v>
      </c>
    </row>
    <row r="175" spans="1:17" x14ac:dyDescent="0.25">
      <c r="A175">
        <v>174</v>
      </c>
      <c r="B175">
        <v>139</v>
      </c>
      <c r="C175" t="s">
        <v>45</v>
      </c>
      <c r="D175" t="s">
        <v>17</v>
      </c>
      <c r="E175" t="s">
        <v>18</v>
      </c>
      <c r="F175" t="s">
        <v>19</v>
      </c>
      <c r="G175" t="s">
        <v>26</v>
      </c>
      <c r="H175" t="s">
        <v>21</v>
      </c>
      <c r="I175" t="s">
        <v>53</v>
      </c>
      <c r="J175" t="s">
        <v>148</v>
      </c>
      <c r="K175" t="s">
        <v>23</v>
      </c>
      <c r="L175">
        <v>556</v>
      </c>
      <c r="M175" s="10">
        <v>12.349455799999999</v>
      </c>
      <c r="N175" s="10">
        <v>255.05507338546505</v>
      </c>
      <c r="O175" s="10">
        <v>-7.8834669645377886E-3</v>
      </c>
      <c r="P175" s="1" t="str">
        <f>HYPERLINK(".\sm_car_250819_2005\sm_car_250819_2005_174_Ca139TrN_MaDLC_DrSt_ode23t_1.png","figure")</f>
        <v>figure</v>
      </c>
      <c r="Q175" t="s">
        <v>15</v>
      </c>
    </row>
    <row r="176" spans="1:17" x14ac:dyDescent="0.25">
      <c r="A176">
        <v>175</v>
      </c>
      <c r="B176">
        <v>139</v>
      </c>
      <c r="C176" t="s">
        <v>45</v>
      </c>
      <c r="D176" t="s">
        <v>17</v>
      </c>
      <c r="E176" t="s">
        <v>18</v>
      </c>
      <c r="F176" t="s">
        <v>19</v>
      </c>
      <c r="G176" t="s">
        <v>26</v>
      </c>
      <c r="H176" t="s">
        <v>65</v>
      </c>
      <c r="I176" t="s">
        <v>53</v>
      </c>
      <c r="J176" t="s">
        <v>148</v>
      </c>
      <c r="K176" t="s">
        <v>23</v>
      </c>
      <c r="L176">
        <v>889</v>
      </c>
      <c r="M176" s="10">
        <v>32.637680199999998</v>
      </c>
      <c r="N176" s="10">
        <v>253.18981647136951</v>
      </c>
      <c r="O176" s="10">
        <v>0.16055310524904609</v>
      </c>
      <c r="P176" s="1" t="str">
        <f>HYPERLINK(".\sm_car_250819_2005\sm_car_250819_2005_175_Ca139TrE_MaDLC_DrSt_ode23t_1.png","figure")</f>
        <v>figure</v>
      </c>
      <c r="Q176" t="s">
        <v>15</v>
      </c>
    </row>
    <row r="177" spans="1:17" x14ac:dyDescent="0.25">
      <c r="A177">
        <v>176</v>
      </c>
      <c r="B177">
        <v>139</v>
      </c>
      <c r="C177" t="s">
        <v>45</v>
      </c>
      <c r="D177" t="s">
        <v>17</v>
      </c>
      <c r="E177" t="s">
        <v>18</v>
      </c>
      <c r="F177" t="s">
        <v>19</v>
      </c>
      <c r="G177" t="s">
        <v>26</v>
      </c>
      <c r="H177" t="s">
        <v>66</v>
      </c>
      <c r="I177" t="s">
        <v>53</v>
      </c>
      <c r="J177" t="s">
        <v>148</v>
      </c>
      <c r="K177" t="s">
        <v>23</v>
      </c>
      <c r="L177">
        <v>999</v>
      </c>
      <c r="M177" s="10">
        <v>39.155718299999997</v>
      </c>
      <c r="N177" s="10">
        <v>255.99966724533726</v>
      </c>
      <c r="O177" s="10">
        <v>-6.9732142719325374E-3</v>
      </c>
      <c r="P177" s="1" t="str">
        <f>HYPERLINK(".\sm_car_250819_2005\sm_car_250819_2005_176_Ca139TrT_MaDLC_DrSt_ode23t_1.png","figure")</f>
        <v>figure</v>
      </c>
      <c r="Q177" t="s">
        <v>15</v>
      </c>
    </row>
    <row r="178" spans="1:17" x14ac:dyDescent="0.25">
      <c r="A178">
        <v>177</v>
      </c>
      <c r="B178">
        <v>139</v>
      </c>
      <c r="C178" t="s">
        <v>45</v>
      </c>
      <c r="D178" t="s">
        <v>17</v>
      </c>
      <c r="E178" t="s">
        <v>18</v>
      </c>
      <c r="F178" t="s">
        <v>19</v>
      </c>
      <c r="G178" t="s">
        <v>26</v>
      </c>
      <c r="H178" t="s">
        <v>65</v>
      </c>
      <c r="I178" t="s">
        <v>53</v>
      </c>
      <c r="J178" t="s">
        <v>148</v>
      </c>
      <c r="K178" t="s">
        <v>23</v>
      </c>
      <c r="L178">
        <v>795</v>
      </c>
      <c r="M178" s="10">
        <v>23.199832099999998</v>
      </c>
      <c r="N178" s="10">
        <v>253.80098247056242</v>
      </c>
      <c r="O178" s="10">
        <v>9.7405908839283128E-3</v>
      </c>
      <c r="P178" s="1" t="str">
        <f>HYPERLINK(".\sm_car_250819_2005\sm_car_250819_2005_177_Ca139TrE_MaDLC_DrSt_ode23t_1.png","figure")</f>
        <v>figure</v>
      </c>
      <c r="Q178" t="s">
        <v>15</v>
      </c>
    </row>
    <row r="179" spans="1:17" x14ac:dyDescent="0.25">
      <c r="A179">
        <v>178</v>
      </c>
      <c r="B179">
        <v>2</v>
      </c>
      <c r="C179" t="s">
        <v>16</v>
      </c>
      <c r="D179" t="s">
        <v>17</v>
      </c>
      <c r="E179" t="s">
        <v>18</v>
      </c>
      <c r="F179" t="s">
        <v>19</v>
      </c>
      <c r="G179" t="s">
        <v>26</v>
      </c>
      <c r="H179" t="s">
        <v>21</v>
      </c>
      <c r="I179" t="s">
        <v>53</v>
      </c>
      <c r="J179" t="s">
        <v>148</v>
      </c>
      <c r="K179" t="s">
        <v>23</v>
      </c>
      <c r="L179">
        <v>523</v>
      </c>
      <c r="M179" s="10">
        <v>9.4547437999999993</v>
      </c>
      <c r="N179" s="10">
        <v>253.37972765129274</v>
      </c>
      <c r="O179" s="10">
        <v>4.6984542987775768E-2</v>
      </c>
      <c r="P179" s="1" t="str">
        <f>HYPERLINK(".\sm_car_250819_2005\sm_car_250819_2005_178_Ca002TrN_MaDLC_DrSt_ode23t_1.png","figure")</f>
        <v>figure</v>
      </c>
      <c r="Q179" t="s">
        <v>15</v>
      </c>
    </row>
    <row r="180" spans="1:17" x14ac:dyDescent="0.25">
      <c r="A180">
        <v>179</v>
      </c>
      <c r="B180">
        <v>2</v>
      </c>
      <c r="C180" t="s">
        <v>16</v>
      </c>
      <c r="D180" t="s">
        <v>17</v>
      </c>
      <c r="E180" t="s">
        <v>18</v>
      </c>
      <c r="F180" t="s">
        <v>19</v>
      </c>
      <c r="G180" t="s">
        <v>26</v>
      </c>
      <c r="H180" t="s">
        <v>65</v>
      </c>
      <c r="I180" t="s">
        <v>53</v>
      </c>
      <c r="J180" t="s">
        <v>148</v>
      </c>
      <c r="K180" t="s">
        <v>23</v>
      </c>
      <c r="L180">
        <v>576</v>
      </c>
      <c r="M180" s="10">
        <v>18.046027500000001</v>
      </c>
      <c r="N180" s="10">
        <v>254.46553087804165</v>
      </c>
      <c r="O180" s="10">
        <v>4.3517205296981665E-2</v>
      </c>
      <c r="P180" s="1" t="str">
        <f>HYPERLINK(".\sm_car_250819_2005\sm_car_250819_2005_179_Ca002TrE_MaDLC_DrSt_ode23t_1.png","figure")</f>
        <v>figure</v>
      </c>
      <c r="Q180" t="s">
        <v>15</v>
      </c>
    </row>
    <row r="181" spans="1:17" x14ac:dyDescent="0.25">
      <c r="A181">
        <v>180</v>
      </c>
      <c r="B181">
        <v>2</v>
      </c>
      <c r="C181" t="s">
        <v>16</v>
      </c>
      <c r="D181" t="s">
        <v>17</v>
      </c>
      <c r="E181" t="s">
        <v>18</v>
      </c>
      <c r="F181" t="s">
        <v>19</v>
      </c>
      <c r="G181" t="s">
        <v>26</v>
      </c>
      <c r="H181" t="s">
        <v>66</v>
      </c>
      <c r="I181" t="s">
        <v>53</v>
      </c>
      <c r="J181" t="s">
        <v>148</v>
      </c>
      <c r="K181" t="s">
        <v>23</v>
      </c>
      <c r="L181">
        <v>896</v>
      </c>
      <c r="M181" s="10">
        <v>29.474074099999999</v>
      </c>
      <c r="N181" s="10">
        <v>254.81911529488212</v>
      </c>
      <c r="O181" s="10">
        <v>4.1621502796862053E-2</v>
      </c>
      <c r="P181" s="1" t="str">
        <f>HYPERLINK(".\sm_car_250819_2005\sm_car_250819_2005_180_Ca002TrT_MaDLC_DrSt_ode23t_1.png","figure")</f>
        <v>figure</v>
      </c>
      <c r="Q181" t="s">
        <v>15</v>
      </c>
    </row>
    <row r="182" spans="1:17" x14ac:dyDescent="0.25">
      <c r="A182">
        <v>181</v>
      </c>
      <c r="B182">
        <v>2</v>
      </c>
      <c r="C182" t="s">
        <v>16</v>
      </c>
      <c r="D182" t="s">
        <v>17</v>
      </c>
      <c r="E182" t="s">
        <v>18</v>
      </c>
      <c r="F182" t="s">
        <v>19</v>
      </c>
      <c r="G182" t="s">
        <v>26</v>
      </c>
      <c r="H182" t="s">
        <v>65</v>
      </c>
      <c r="I182" t="s">
        <v>53</v>
      </c>
      <c r="J182" t="s">
        <v>148</v>
      </c>
      <c r="K182" t="s">
        <v>23</v>
      </c>
      <c r="L182">
        <v>572</v>
      </c>
      <c r="M182" s="10">
        <v>12.8502157</v>
      </c>
      <c r="N182" s="10">
        <v>255.33864448700291</v>
      </c>
      <c r="O182" s="10">
        <v>4.0428943518918903E-2</v>
      </c>
      <c r="P182" s="1" t="str">
        <f>HYPERLINK(".\sm_car_250819_2005\sm_car_250819_2005_181_Ca002TrE_MaDLC_DrSt_ode23t_1.png","figure")</f>
        <v>figure</v>
      </c>
      <c r="Q182" t="s">
        <v>15</v>
      </c>
    </row>
    <row r="183" spans="1:17" x14ac:dyDescent="0.25">
      <c r="A183">
        <v>182</v>
      </c>
      <c r="B183">
        <v>145</v>
      </c>
      <c r="C183" t="s">
        <v>46</v>
      </c>
      <c r="D183" t="s">
        <v>17</v>
      </c>
      <c r="E183" t="s">
        <v>50</v>
      </c>
      <c r="F183" t="s">
        <v>19</v>
      </c>
      <c r="G183" t="s">
        <v>26</v>
      </c>
      <c r="H183" t="s">
        <v>21</v>
      </c>
      <c r="I183" t="s">
        <v>53</v>
      </c>
      <c r="J183" t="s">
        <v>148</v>
      </c>
      <c r="K183" t="s">
        <v>23</v>
      </c>
      <c r="L183">
        <v>464</v>
      </c>
      <c r="M183" s="10">
        <v>16.001153500000001</v>
      </c>
      <c r="N183" s="10">
        <v>255.28779016135792</v>
      </c>
      <c r="O183" s="10">
        <v>6.8415375574617521E-2</v>
      </c>
      <c r="P183" s="1" t="str">
        <f>HYPERLINK(".\sm_car_250819_2005\sm_car_250819_2005_182_Ca145TrN_MaDLC_DrSt_ode23t_1.png","figure")</f>
        <v>figure</v>
      </c>
      <c r="Q183" t="s">
        <v>15</v>
      </c>
    </row>
    <row r="184" spans="1:17" x14ac:dyDescent="0.25">
      <c r="A184">
        <v>183</v>
      </c>
      <c r="B184">
        <v>145</v>
      </c>
      <c r="C184" t="s">
        <v>46</v>
      </c>
      <c r="D184" t="s">
        <v>17</v>
      </c>
      <c r="E184" t="s">
        <v>50</v>
      </c>
      <c r="F184" t="s">
        <v>19</v>
      </c>
      <c r="G184" t="s">
        <v>26</v>
      </c>
      <c r="H184" t="s">
        <v>65</v>
      </c>
      <c r="I184" t="s">
        <v>53</v>
      </c>
      <c r="J184" t="s">
        <v>148</v>
      </c>
      <c r="K184" t="s">
        <v>23</v>
      </c>
      <c r="L184">
        <v>575</v>
      </c>
      <c r="M184" s="10">
        <v>31.242030700000001</v>
      </c>
      <c r="N184" s="10">
        <v>253.18940683327173</v>
      </c>
      <c r="O184" s="10">
        <v>7.9218085624853884E-2</v>
      </c>
      <c r="P184" s="1" t="str">
        <f>HYPERLINK(".\sm_car_250819_2005\sm_car_250819_2005_183_Ca145TrE_MaDLC_DrSt_ode23t_1.png","figure")</f>
        <v>figure</v>
      </c>
      <c r="Q184" t="s">
        <v>15</v>
      </c>
    </row>
    <row r="185" spans="1:17" x14ac:dyDescent="0.25">
      <c r="A185">
        <v>184</v>
      </c>
      <c r="B185">
        <v>145</v>
      </c>
      <c r="C185" t="s">
        <v>46</v>
      </c>
      <c r="D185" t="s">
        <v>17</v>
      </c>
      <c r="E185" t="s">
        <v>50</v>
      </c>
      <c r="F185" t="s">
        <v>19</v>
      </c>
      <c r="G185" t="s">
        <v>26</v>
      </c>
      <c r="H185" t="s">
        <v>66</v>
      </c>
      <c r="I185" t="s">
        <v>53</v>
      </c>
      <c r="J185" t="s">
        <v>148</v>
      </c>
      <c r="K185" t="s">
        <v>23</v>
      </c>
      <c r="L185">
        <v>821</v>
      </c>
      <c r="M185" s="10">
        <v>50.542329199999998</v>
      </c>
      <c r="N185" s="10">
        <v>253.82295099909237</v>
      </c>
      <c r="O185" s="10">
        <v>7.5677056862414549E-2</v>
      </c>
      <c r="P185" s="1" t="str">
        <f>HYPERLINK(".\sm_car_250819_2005\sm_car_250819_2005_184_Ca145TrT_MaDLC_DrSt_ode23t_1.png","figure")</f>
        <v>figure</v>
      </c>
      <c r="Q185" t="s">
        <v>15</v>
      </c>
    </row>
    <row r="186" spans="1:17" x14ac:dyDescent="0.25">
      <c r="A186">
        <v>185</v>
      </c>
      <c r="B186">
        <v>145</v>
      </c>
      <c r="C186" t="s">
        <v>46</v>
      </c>
      <c r="D186" t="s">
        <v>17</v>
      </c>
      <c r="E186" t="s">
        <v>50</v>
      </c>
      <c r="F186" t="s">
        <v>19</v>
      </c>
      <c r="G186" t="s">
        <v>26</v>
      </c>
      <c r="H186" t="s">
        <v>65</v>
      </c>
      <c r="I186" t="s">
        <v>53</v>
      </c>
      <c r="J186" t="s">
        <v>148</v>
      </c>
      <c r="K186" t="s">
        <v>23</v>
      </c>
      <c r="L186">
        <v>582</v>
      </c>
      <c r="M186" s="10">
        <v>26.380101499999999</v>
      </c>
      <c r="N186" s="10">
        <v>255.92160357683224</v>
      </c>
      <c r="O186" s="10">
        <v>6.6290448986210837E-2</v>
      </c>
      <c r="P186" s="1" t="str">
        <f>HYPERLINK(".\sm_car_250819_2005\sm_car_250819_2005_185_Ca145TrE_MaDLC_DrSt_ode23t_1.png","figure")</f>
        <v>figure</v>
      </c>
      <c r="Q186" t="s">
        <v>15</v>
      </c>
    </row>
    <row r="187" spans="1:17" x14ac:dyDescent="0.25">
      <c r="A187">
        <v>186</v>
      </c>
      <c r="B187">
        <v>199</v>
      </c>
      <c r="C187" t="s">
        <v>46</v>
      </c>
      <c r="D187" t="s">
        <v>17</v>
      </c>
      <c r="E187" t="s">
        <v>109</v>
      </c>
      <c r="F187" t="s">
        <v>19</v>
      </c>
      <c r="G187" t="s">
        <v>26</v>
      </c>
      <c r="H187" t="s">
        <v>21</v>
      </c>
      <c r="I187" t="s">
        <v>53</v>
      </c>
      <c r="J187" t="s">
        <v>148</v>
      </c>
      <c r="K187" t="s">
        <v>23</v>
      </c>
      <c r="L187">
        <v>460</v>
      </c>
      <c r="M187" s="10">
        <v>6.6865739</v>
      </c>
      <c r="N187" s="10">
        <v>255.92488857811145</v>
      </c>
      <c r="O187" s="10">
        <v>6.581746077970152E-2</v>
      </c>
      <c r="P187" s="1" t="str">
        <f>HYPERLINK(".\sm_car_250819_2005\sm_car_250819_2005_186_Ca199TrN_MaDLC_DrSt_ode23t_1.png","figure")</f>
        <v>figure</v>
      </c>
      <c r="Q187" t="s">
        <v>15</v>
      </c>
    </row>
    <row r="188" spans="1:17" x14ac:dyDescent="0.25">
      <c r="A188">
        <v>187</v>
      </c>
      <c r="B188">
        <v>199</v>
      </c>
      <c r="C188" t="s">
        <v>46</v>
      </c>
      <c r="D188" t="s">
        <v>17</v>
      </c>
      <c r="E188" t="s">
        <v>109</v>
      </c>
      <c r="F188" t="s">
        <v>19</v>
      </c>
      <c r="G188" t="s">
        <v>26</v>
      </c>
      <c r="H188" t="s">
        <v>65</v>
      </c>
      <c r="I188" t="s">
        <v>53</v>
      </c>
      <c r="J188" t="s">
        <v>148</v>
      </c>
      <c r="K188" t="s">
        <v>23</v>
      </c>
      <c r="L188">
        <v>578</v>
      </c>
      <c r="M188" s="10">
        <v>16.7775584</v>
      </c>
      <c r="N188" s="10">
        <v>255.42046438808785</v>
      </c>
      <c r="O188" s="10">
        <v>6.8616052968871077E-2</v>
      </c>
      <c r="P188" s="1" t="str">
        <f>HYPERLINK(".\sm_car_250819_2005\sm_car_250819_2005_187_Ca199TrE_MaDLC_DrSt_ode23t_1.png","figure")</f>
        <v>figure</v>
      </c>
      <c r="Q188" t="s">
        <v>15</v>
      </c>
    </row>
    <row r="189" spans="1:17" x14ac:dyDescent="0.25">
      <c r="A189">
        <v>188</v>
      </c>
      <c r="B189">
        <v>199</v>
      </c>
      <c r="C189" t="s">
        <v>46</v>
      </c>
      <c r="D189" t="s">
        <v>17</v>
      </c>
      <c r="E189" t="s">
        <v>109</v>
      </c>
      <c r="F189" t="s">
        <v>19</v>
      </c>
      <c r="G189" t="s">
        <v>26</v>
      </c>
      <c r="H189" t="s">
        <v>66</v>
      </c>
      <c r="I189" t="s">
        <v>53</v>
      </c>
      <c r="J189" t="s">
        <v>148</v>
      </c>
      <c r="K189" t="s">
        <v>23</v>
      </c>
      <c r="L189">
        <v>4938</v>
      </c>
      <c r="M189" s="10">
        <v>357.49021679999998</v>
      </c>
      <c r="N189" s="10">
        <v>254.73755397058443</v>
      </c>
      <c r="O189" s="10">
        <v>7.1138552534791177E-2</v>
      </c>
      <c r="P189" s="1" t="str">
        <f>HYPERLINK(".\sm_car_250819_2005\sm_car_250819_2005_188_Ca199TrT_MaDLC_DrSt_ode23t_1.png","figure")</f>
        <v>figure</v>
      </c>
      <c r="Q189" t="s">
        <v>15</v>
      </c>
    </row>
    <row r="190" spans="1:17" x14ac:dyDescent="0.25">
      <c r="A190">
        <v>189</v>
      </c>
      <c r="B190">
        <v>199</v>
      </c>
      <c r="C190" t="s">
        <v>46</v>
      </c>
      <c r="D190" t="s">
        <v>17</v>
      </c>
      <c r="E190" t="s">
        <v>109</v>
      </c>
      <c r="F190" t="s">
        <v>19</v>
      </c>
      <c r="G190" t="s">
        <v>26</v>
      </c>
      <c r="H190" t="s">
        <v>65</v>
      </c>
      <c r="I190" t="s">
        <v>53</v>
      </c>
      <c r="J190" t="s">
        <v>148</v>
      </c>
      <c r="K190" t="s">
        <v>23</v>
      </c>
      <c r="L190">
        <v>575</v>
      </c>
      <c r="M190" s="10">
        <v>11.462111500000001</v>
      </c>
      <c r="N190" s="10">
        <v>255.4295444827132</v>
      </c>
      <c r="O190" s="10">
        <v>6.8602120633093566E-2</v>
      </c>
      <c r="P190" s="1" t="str">
        <f>HYPERLINK(".\sm_car_250819_2005\sm_car_250819_2005_189_Ca199TrE_MaDLC_DrSt_ode23t_1.png","figure")</f>
        <v>figure</v>
      </c>
      <c r="Q190" t="s">
        <v>15</v>
      </c>
    </row>
    <row r="191" spans="1:17" x14ac:dyDescent="0.25">
      <c r="A191">
        <v>190</v>
      </c>
      <c r="B191">
        <v>189</v>
      </c>
      <c r="C191" t="s">
        <v>45</v>
      </c>
      <c r="D191" t="s">
        <v>17</v>
      </c>
      <c r="E191" t="s">
        <v>107</v>
      </c>
      <c r="F191" t="s">
        <v>19</v>
      </c>
      <c r="G191" t="s">
        <v>26</v>
      </c>
      <c r="H191" t="s">
        <v>65</v>
      </c>
      <c r="I191" t="s">
        <v>67</v>
      </c>
      <c r="J191" t="s">
        <v>148</v>
      </c>
      <c r="K191" t="s">
        <v>23</v>
      </c>
      <c r="L191">
        <v>402</v>
      </c>
      <c r="M191" s="10">
        <v>11.466487900000001</v>
      </c>
      <c r="N191" s="10">
        <v>264.58224329344364</v>
      </c>
      <c r="O191" s="10">
        <v>1.3495740005500245E-3</v>
      </c>
      <c r="P191" s="1" t="str">
        <f>HYPERLINK(".\sm_car_250819_2005\sm_car_250819_2005_190_Ca189TrE_MaTRD_DrSt_ode23t_1.png","figure")</f>
        <v>figure</v>
      </c>
      <c r="Q191" t="s">
        <v>15</v>
      </c>
    </row>
    <row r="192" spans="1:17" x14ac:dyDescent="0.25">
      <c r="A192">
        <v>191</v>
      </c>
      <c r="B192">
        <v>189</v>
      </c>
      <c r="C192" t="s">
        <v>45</v>
      </c>
      <c r="D192" t="s">
        <v>17</v>
      </c>
      <c r="E192" t="s">
        <v>107</v>
      </c>
      <c r="F192" t="s">
        <v>19</v>
      </c>
      <c r="G192" t="s">
        <v>26</v>
      </c>
      <c r="H192" t="s">
        <v>65</v>
      </c>
      <c r="I192" t="s">
        <v>67</v>
      </c>
      <c r="J192" t="s">
        <v>148</v>
      </c>
      <c r="K192" t="s">
        <v>23</v>
      </c>
      <c r="L192">
        <v>568</v>
      </c>
      <c r="M192" s="10">
        <v>15.285603399999999</v>
      </c>
      <c r="N192" s="10">
        <v>264.4380898946867</v>
      </c>
      <c r="O192" s="10">
        <v>-7.322374100849327E-2</v>
      </c>
      <c r="P192" s="1" t="str">
        <f>HYPERLINK(".\sm_car_250819_2005\sm_car_250819_2005_191_Ca189TrU_MaTRD_DrSt_ode23t_1.png","figure")</f>
        <v>figure</v>
      </c>
      <c r="Q192" t="s">
        <v>15</v>
      </c>
    </row>
    <row r="193" spans="1:17" x14ac:dyDescent="0.25">
      <c r="A193">
        <v>192</v>
      </c>
      <c r="B193">
        <v>149</v>
      </c>
      <c r="C193" t="s">
        <v>46</v>
      </c>
      <c r="D193" t="s">
        <v>17</v>
      </c>
      <c r="E193" t="s">
        <v>68</v>
      </c>
      <c r="F193" t="s">
        <v>19</v>
      </c>
      <c r="G193" t="s">
        <v>26</v>
      </c>
      <c r="H193" t="s">
        <v>21</v>
      </c>
      <c r="I193" t="s">
        <v>69</v>
      </c>
      <c r="J193" t="s">
        <v>148</v>
      </c>
      <c r="K193" t="s">
        <v>23</v>
      </c>
      <c r="L193">
        <v>674</v>
      </c>
      <c r="M193" s="10">
        <v>8.9917843000000008</v>
      </c>
      <c r="N193" s="10">
        <v>-5.8051000590464419E-3</v>
      </c>
      <c r="O193" s="10">
        <v>-4.0257958394901427E-4</v>
      </c>
      <c r="P193" s="1" t="str">
        <f>HYPERLINK(".\sm_car_250819_2005\sm_car_250819_2005_192_Ca149TrN_MaPST_DrSt_ode23t_1.png","figure")</f>
        <v>figure</v>
      </c>
      <c r="Q193" t="s">
        <v>15</v>
      </c>
    </row>
    <row r="194" spans="1:17" x14ac:dyDescent="0.25">
      <c r="A194">
        <v>193</v>
      </c>
      <c r="B194">
        <v>139</v>
      </c>
      <c r="C194" t="s">
        <v>45</v>
      </c>
      <c r="D194" t="s">
        <v>17</v>
      </c>
      <c r="E194" t="s">
        <v>18</v>
      </c>
      <c r="F194" t="s">
        <v>19</v>
      </c>
      <c r="G194" t="s">
        <v>26</v>
      </c>
      <c r="H194" t="s">
        <v>21</v>
      </c>
      <c r="I194" t="s">
        <v>70</v>
      </c>
      <c r="J194" t="s">
        <v>148</v>
      </c>
      <c r="K194" t="s">
        <v>23</v>
      </c>
      <c r="L194">
        <v>1549</v>
      </c>
      <c r="M194" s="10">
        <v>35.364405900000001</v>
      </c>
      <c r="N194" s="10">
        <v>36.419995745153834</v>
      </c>
      <c r="O194" s="10">
        <v>0.23128541214383799</v>
      </c>
      <c r="P194" s="1" t="str">
        <f>HYPERLINK(".\sm_car_250819_2005\sm_car_250819_2005_193_Ca139TrN_MaSKD_DrSt_ode23t_1.png","figure")</f>
        <v>figure</v>
      </c>
      <c r="Q194" t="s">
        <v>15</v>
      </c>
    </row>
    <row r="195" spans="1:17" x14ac:dyDescent="0.25">
      <c r="A195">
        <v>194</v>
      </c>
      <c r="B195">
        <v>139</v>
      </c>
      <c r="C195" t="s">
        <v>45</v>
      </c>
      <c r="D195" t="s">
        <v>17</v>
      </c>
      <c r="E195" t="s">
        <v>18</v>
      </c>
      <c r="F195" t="s">
        <v>19</v>
      </c>
      <c r="G195" t="s">
        <v>26</v>
      </c>
      <c r="H195" t="s">
        <v>21</v>
      </c>
      <c r="I195" t="s">
        <v>71</v>
      </c>
      <c r="J195" t="s">
        <v>148</v>
      </c>
      <c r="K195" t="s">
        <v>23</v>
      </c>
      <c r="L195">
        <v>824</v>
      </c>
      <c r="M195" s="10">
        <v>20.307663699999999</v>
      </c>
      <c r="N195" s="10">
        <v>-1.3601724142411342E-3</v>
      </c>
      <c r="O195" s="10">
        <v>20.567295940649295</v>
      </c>
      <c r="P195" s="1" t="str">
        <f>HYPERLINK(".\sm_car_250819_2005\sm_car_250819_2005_194_Ca139TrN_MaRAD_DrSt_ode23t_1.png","figure")</f>
        <v>figure</v>
      </c>
      <c r="Q195" t="s">
        <v>15</v>
      </c>
    </row>
    <row r="196" spans="1:17" x14ac:dyDescent="0.25">
      <c r="A196">
        <v>195</v>
      </c>
      <c r="B196">
        <v>184</v>
      </c>
      <c r="C196" t="s">
        <v>105</v>
      </c>
      <c r="D196" t="s">
        <v>120</v>
      </c>
      <c r="E196" t="s">
        <v>49</v>
      </c>
      <c r="F196" t="s">
        <v>19</v>
      </c>
      <c r="G196" t="s">
        <v>20</v>
      </c>
      <c r="H196" t="s">
        <v>21</v>
      </c>
      <c r="I196" t="s">
        <v>70</v>
      </c>
      <c r="J196" t="s">
        <v>148</v>
      </c>
      <c r="K196" t="s">
        <v>23</v>
      </c>
      <c r="L196">
        <v>1317</v>
      </c>
      <c r="M196" s="10">
        <v>48.502271700000001</v>
      </c>
      <c r="N196" s="10">
        <v>36.443109010693945</v>
      </c>
      <c r="O196" s="10">
        <v>0.1601184171461276</v>
      </c>
      <c r="P196" s="1" t="str">
        <f>HYPERLINK(".\sm_car_250819_2005\sm_car_250819_2005_195_Ca184TrN_MaSKD_DrSt_ode23t_1.png","figure")</f>
        <v>figure</v>
      </c>
      <c r="Q196" t="s">
        <v>15</v>
      </c>
    </row>
    <row r="197" spans="1:17" x14ac:dyDescent="0.25">
      <c r="A197">
        <v>196</v>
      </c>
      <c r="B197">
        <v>184</v>
      </c>
      <c r="C197" t="s">
        <v>105</v>
      </c>
      <c r="D197" t="s">
        <v>120</v>
      </c>
      <c r="E197" t="s">
        <v>49</v>
      </c>
      <c r="F197" t="s">
        <v>19</v>
      </c>
      <c r="G197" t="s">
        <v>20</v>
      </c>
      <c r="H197" t="s">
        <v>21</v>
      </c>
      <c r="I197" t="s">
        <v>71</v>
      </c>
      <c r="J197" t="s">
        <v>148</v>
      </c>
      <c r="K197" t="s">
        <v>23</v>
      </c>
      <c r="L197">
        <v>637</v>
      </c>
      <c r="M197" s="10">
        <v>22.606198899999999</v>
      </c>
      <c r="N197" s="10">
        <v>7.4816507501322675</v>
      </c>
      <c r="O197" s="10">
        <v>10.377818260095081</v>
      </c>
      <c r="P197" s="1" t="str">
        <f>HYPERLINK(".\sm_car_250819_2005\sm_car_250819_2005_196_Ca184TrN_MaRAD_DrSt_ode23t_1.png","figure")</f>
        <v>figure</v>
      </c>
      <c r="Q197" t="s">
        <v>15</v>
      </c>
    </row>
    <row r="198" spans="1:17" x14ac:dyDescent="0.25">
      <c r="A198">
        <v>197</v>
      </c>
      <c r="B198">
        <v>228</v>
      </c>
      <c r="C198" t="s">
        <v>160</v>
      </c>
      <c r="D198" t="s">
        <v>35</v>
      </c>
      <c r="E198" t="s">
        <v>107</v>
      </c>
      <c r="F198" t="s">
        <v>19</v>
      </c>
      <c r="G198" t="s">
        <v>26</v>
      </c>
      <c r="H198" t="s">
        <v>21</v>
      </c>
      <c r="I198" t="s">
        <v>70</v>
      </c>
      <c r="J198" t="s">
        <v>148</v>
      </c>
      <c r="K198" t="s">
        <v>23</v>
      </c>
      <c r="L198">
        <v>1676</v>
      </c>
      <c r="M198" s="10">
        <v>7.3387891999999999</v>
      </c>
      <c r="N198" s="10">
        <v>36.362024793657653</v>
      </c>
      <c r="O198" s="10">
        <v>0.58313581226670763</v>
      </c>
      <c r="P198" s="1" t="str">
        <f>HYPERLINK(".\sm_car_250819_2005\sm_car_250819_2005_197_Ca228TrN_MaSKD_DrSt_ode23t_1.png","figure")</f>
        <v>figure</v>
      </c>
      <c r="Q198" t="s">
        <v>15</v>
      </c>
    </row>
    <row r="199" spans="1:17" x14ac:dyDescent="0.25">
      <c r="A199">
        <v>198</v>
      </c>
      <c r="B199">
        <v>228</v>
      </c>
      <c r="C199" t="s">
        <v>160</v>
      </c>
      <c r="D199" t="s">
        <v>35</v>
      </c>
      <c r="E199" t="s">
        <v>107</v>
      </c>
      <c r="F199" t="s">
        <v>19</v>
      </c>
      <c r="G199" t="s">
        <v>26</v>
      </c>
      <c r="H199" t="s">
        <v>21</v>
      </c>
      <c r="I199" t="s">
        <v>71</v>
      </c>
      <c r="J199" t="s">
        <v>148</v>
      </c>
      <c r="K199" t="s">
        <v>23</v>
      </c>
      <c r="L199">
        <v>748</v>
      </c>
      <c r="M199" s="10">
        <v>3.2566481</v>
      </c>
      <c r="N199" s="10">
        <v>6.9882992111386493</v>
      </c>
      <c r="O199" s="10">
        <v>19.412338560117302</v>
      </c>
      <c r="P199" s="1" t="str">
        <f>HYPERLINK(".\sm_car_250819_2005\sm_car_250819_2005_198_Ca228TrN_MaRAD_DrSt_ode23t_1.png","figure")</f>
        <v>figure</v>
      </c>
      <c r="Q199" t="s">
        <v>15</v>
      </c>
    </row>
    <row r="200" spans="1:17" x14ac:dyDescent="0.25">
      <c r="A200">
        <v>199</v>
      </c>
      <c r="B200">
        <v>230</v>
      </c>
      <c r="C200" t="s">
        <v>160</v>
      </c>
      <c r="D200" t="s">
        <v>161</v>
      </c>
      <c r="E200" t="s">
        <v>162</v>
      </c>
      <c r="F200" t="s">
        <v>19</v>
      </c>
      <c r="G200" t="s">
        <v>26</v>
      </c>
      <c r="H200" t="s">
        <v>21</v>
      </c>
      <c r="I200" t="s">
        <v>70</v>
      </c>
      <c r="J200" t="s">
        <v>148</v>
      </c>
      <c r="K200" t="s">
        <v>23</v>
      </c>
      <c r="L200">
        <v>1375</v>
      </c>
      <c r="M200" s="10">
        <v>25.8317674</v>
      </c>
      <c r="N200" s="10">
        <v>36.537552283661611</v>
      </c>
      <c r="O200" s="10">
        <v>0.18562378818615047</v>
      </c>
      <c r="P200" s="1" t="str">
        <f>HYPERLINK(".\sm_car_250819_2005\sm_car_250819_2005_199_Ca230TrN_MaSKD_DrSt_ode23t_1.png","figure")</f>
        <v>figure</v>
      </c>
      <c r="Q200" t="s">
        <v>15</v>
      </c>
    </row>
    <row r="201" spans="1:17" x14ac:dyDescent="0.25">
      <c r="A201">
        <v>200</v>
      </c>
      <c r="B201">
        <v>230</v>
      </c>
      <c r="C201" t="s">
        <v>160</v>
      </c>
      <c r="D201" t="s">
        <v>161</v>
      </c>
      <c r="E201" t="s">
        <v>162</v>
      </c>
      <c r="F201" t="s">
        <v>19</v>
      </c>
      <c r="G201" t="s">
        <v>26</v>
      </c>
      <c r="H201" t="s">
        <v>21</v>
      </c>
      <c r="I201" t="s">
        <v>71</v>
      </c>
      <c r="J201" t="s">
        <v>148</v>
      </c>
      <c r="K201" t="s">
        <v>23</v>
      </c>
      <c r="L201">
        <v>701</v>
      </c>
      <c r="M201" s="10">
        <v>13.089355100000001</v>
      </c>
      <c r="N201" s="10">
        <v>5.4383085085794676</v>
      </c>
      <c r="O201" s="10">
        <v>14.26814636627212</v>
      </c>
      <c r="P201" s="1" t="str">
        <f>HYPERLINK(".\sm_car_250819_2005\sm_car_250819_2005_200_Ca230TrN_MaRAD_DrSt_ode23t_1.png","figure")</f>
        <v>figure</v>
      </c>
      <c r="Q201" t="s">
        <v>15</v>
      </c>
    </row>
    <row r="202" spans="1:17" x14ac:dyDescent="0.25">
      <c r="A202">
        <v>201</v>
      </c>
      <c r="B202">
        <v>198</v>
      </c>
      <c r="C202" t="s">
        <v>105</v>
      </c>
      <c r="D202" t="s">
        <v>120</v>
      </c>
      <c r="E202" t="s">
        <v>107</v>
      </c>
      <c r="F202" t="s">
        <v>19</v>
      </c>
      <c r="G202" t="s">
        <v>20</v>
      </c>
      <c r="H202" t="s">
        <v>21</v>
      </c>
      <c r="I202" t="s">
        <v>70</v>
      </c>
      <c r="J202" t="s">
        <v>148</v>
      </c>
      <c r="K202" t="s">
        <v>23</v>
      </c>
      <c r="L202">
        <v>1401</v>
      </c>
      <c r="M202" s="10">
        <v>30.203332400000001</v>
      </c>
      <c r="N202" s="10">
        <v>36.3691650041484</v>
      </c>
      <c r="O202" s="10">
        <v>0.16202272545372895</v>
      </c>
      <c r="P202" s="1" t="str">
        <f>HYPERLINK(".\sm_car_250819_2005\sm_car_250819_2005_201_Ca198TrN_MaSKD_DrSt_ode23t_1.png","figure")</f>
        <v>figure</v>
      </c>
      <c r="Q202" t="s">
        <v>15</v>
      </c>
    </row>
    <row r="203" spans="1:17" x14ac:dyDescent="0.25">
      <c r="A203">
        <v>202</v>
      </c>
      <c r="B203">
        <v>198</v>
      </c>
      <c r="C203" t="s">
        <v>105</v>
      </c>
      <c r="D203" t="s">
        <v>120</v>
      </c>
      <c r="E203" t="s">
        <v>107</v>
      </c>
      <c r="F203" t="s">
        <v>19</v>
      </c>
      <c r="G203" t="s">
        <v>20</v>
      </c>
      <c r="H203" t="s">
        <v>21</v>
      </c>
      <c r="I203" t="s">
        <v>71</v>
      </c>
      <c r="J203" t="s">
        <v>148</v>
      </c>
      <c r="K203" t="s">
        <v>23</v>
      </c>
      <c r="L203">
        <v>685</v>
      </c>
      <c r="M203" s="10">
        <v>14.4903525</v>
      </c>
      <c r="N203" s="10">
        <v>7.5235895965044257</v>
      </c>
      <c r="O203" s="10">
        <v>10.293901527350551</v>
      </c>
      <c r="P203" s="1" t="str">
        <f>HYPERLINK(".\sm_car_250819_2005\sm_car_250819_2005_202_Ca198TrN_MaRAD_DrSt_ode23t_1.png","figure")</f>
        <v>figure</v>
      </c>
      <c r="Q203" t="s">
        <v>15</v>
      </c>
    </row>
    <row r="204" spans="1:17" x14ac:dyDescent="0.25">
      <c r="A204">
        <v>203</v>
      </c>
      <c r="B204">
        <v>189</v>
      </c>
      <c r="C204" t="s">
        <v>45</v>
      </c>
      <c r="D204" t="s">
        <v>17</v>
      </c>
      <c r="E204" t="s">
        <v>107</v>
      </c>
      <c r="F204" t="s">
        <v>19</v>
      </c>
      <c r="G204" t="s">
        <v>26</v>
      </c>
      <c r="H204" t="s">
        <v>21</v>
      </c>
      <c r="I204" t="s">
        <v>132</v>
      </c>
      <c r="J204" t="s">
        <v>148</v>
      </c>
      <c r="K204" t="s">
        <v>23</v>
      </c>
      <c r="L204">
        <v>573</v>
      </c>
      <c r="M204" s="10">
        <v>9.7452378999999993</v>
      </c>
      <c r="N204" s="10">
        <v>137.70166448938784</v>
      </c>
      <c r="O204" s="10">
        <v>-12.951746000276993</v>
      </c>
      <c r="P204" s="1" t="str">
        <f>HYPERLINK(".\sm_car_250819_2005\sm_car_250819_2005_203_Ca189TrN_MaFSH_DrSt_ode23t_1.png","figure")</f>
        <v>figure</v>
      </c>
      <c r="Q204" t="s">
        <v>15</v>
      </c>
    </row>
    <row r="205" spans="1:17" x14ac:dyDescent="0.25">
      <c r="A205">
        <v>204</v>
      </c>
      <c r="B205">
        <v>189</v>
      </c>
      <c r="C205" t="s">
        <v>45</v>
      </c>
      <c r="D205" t="s">
        <v>17</v>
      </c>
      <c r="E205" t="s">
        <v>107</v>
      </c>
      <c r="F205" t="s">
        <v>19</v>
      </c>
      <c r="G205" t="s">
        <v>26</v>
      </c>
      <c r="H205" t="s">
        <v>21</v>
      </c>
      <c r="I205" t="s">
        <v>133</v>
      </c>
      <c r="J205" t="s">
        <v>148</v>
      </c>
      <c r="K205" t="s">
        <v>23</v>
      </c>
      <c r="L205">
        <v>436</v>
      </c>
      <c r="M205" s="10">
        <v>6.7703854000000003</v>
      </c>
      <c r="N205" s="10">
        <v>129.5052822145708</v>
      </c>
      <c r="O205" s="10">
        <v>-8.8096853891408031</v>
      </c>
      <c r="P205" s="1" t="str">
        <f>HYPERLINK(".\sm_car_250819_2005\sm_car_250819_2005_204_Ca189TrN_MaSWD_DrSt_ode23t_1.png","figure")</f>
        <v>figure</v>
      </c>
      <c r="Q205" t="s">
        <v>15</v>
      </c>
    </row>
    <row r="206" spans="1:17" x14ac:dyDescent="0.25">
      <c r="A206">
        <v>205</v>
      </c>
      <c r="B206">
        <v>189</v>
      </c>
      <c r="C206" t="s">
        <v>45</v>
      </c>
      <c r="D206" t="s">
        <v>17</v>
      </c>
      <c r="E206" t="s">
        <v>107</v>
      </c>
      <c r="F206" t="s">
        <v>19</v>
      </c>
      <c r="G206" t="s">
        <v>26</v>
      </c>
      <c r="H206" t="s">
        <v>21</v>
      </c>
      <c r="I206" t="s">
        <v>134</v>
      </c>
      <c r="J206" t="s">
        <v>148</v>
      </c>
      <c r="K206" t="s">
        <v>23</v>
      </c>
      <c r="L206">
        <v>445</v>
      </c>
      <c r="M206" s="10">
        <v>8.5220257999999998</v>
      </c>
      <c r="N206" s="10">
        <v>113.3801558254886</v>
      </c>
      <c r="O206" s="10">
        <v>17.941820902876703</v>
      </c>
      <c r="P206" s="1" t="str">
        <f>HYPERLINK(".\sm_car_250819_2005\sm_car_250819_2005_205_Ca189TrN_MaRST_DrSt_ode23t_1.png","figure")</f>
        <v>figure</v>
      </c>
      <c r="Q206" t="s">
        <v>15</v>
      </c>
    </row>
    <row r="207" spans="1:17" x14ac:dyDescent="0.25">
      <c r="A207">
        <v>206</v>
      </c>
      <c r="B207">
        <v>189</v>
      </c>
      <c r="C207" t="s">
        <v>45</v>
      </c>
      <c r="D207" t="s">
        <v>17</v>
      </c>
      <c r="E207" t="s">
        <v>107</v>
      </c>
      <c r="F207" t="s">
        <v>19</v>
      </c>
      <c r="G207" t="s">
        <v>26</v>
      </c>
      <c r="H207" t="s">
        <v>21</v>
      </c>
      <c r="I207" t="s">
        <v>135</v>
      </c>
      <c r="J207" t="s">
        <v>148</v>
      </c>
      <c r="K207" t="s">
        <v>23</v>
      </c>
      <c r="L207">
        <v>596</v>
      </c>
      <c r="M207" s="10">
        <v>19.540835999999999</v>
      </c>
      <c r="N207" s="10">
        <v>224.04360699301071</v>
      </c>
      <c r="O207" s="10">
        <v>0.10747075273204745</v>
      </c>
      <c r="P207" s="1" t="str">
        <f>HYPERLINK(".\sm_car_250819_2005\sm_car_250819_2005_206_Ca189TrN_MaSLA_DrSt_ode23t_1.png","figure")</f>
        <v>figure</v>
      </c>
      <c r="Q207" t="s">
        <v>15</v>
      </c>
    </row>
    <row r="208" spans="1:17" x14ac:dyDescent="0.25">
      <c r="A208">
        <v>207</v>
      </c>
      <c r="B208">
        <v>218</v>
      </c>
      <c r="C208" t="s">
        <v>16</v>
      </c>
      <c r="D208" t="s">
        <v>128</v>
      </c>
      <c r="E208" t="s">
        <v>107</v>
      </c>
      <c r="F208" t="s">
        <v>19</v>
      </c>
      <c r="G208" t="s">
        <v>26</v>
      </c>
      <c r="H208" t="s">
        <v>21</v>
      </c>
      <c r="I208" t="s">
        <v>132</v>
      </c>
      <c r="J208" t="s">
        <v>148</v>
      </c>
      <c r="K208" t="s">
        <v>23</v>
      </c>
      <c r="L208">
        <v>572</v>
      </c>
      <c r="M208" s="10">
        <v>7.9461960999999999</v>
      </c>
      <c r="N208" s="10">
        <v>102.01961188005879</v>
      </c>
      <c r="O208" s="10">
        <v>-21.929951668617989</v>
      </c>
      <c r="P208" s="1" t="str">
        <f>HYPERLINK(".\sm_car_250819_2005\sm_car_250819_2005_207_Ca218TrN_MaFSH_DrSt_ode23t_1.png","figure")</f>
        <v>figure</v>
      </c>
      <c r="Q208" t="s">
        <v>15</v>
      </c>
    </row>
    <row r="209" spans="1:17" x14ac:dyDescent="0.25">
      <c r="A209">
        <v>208</v>
      </c>
      <c r="B209">
        <v>218</v>
      </c>
      <c r="C209" t="s">
        <v>16</v>
      </c>
      <c r="D209" t="s">
        <v>128</v>
      </c>
      <c r="E209" t="s">
        <v>107</v>
      </c>
      <c r="F209" t="s">
        <v>19</v>
      </c>
      <c r="G209" t="s">
        <v>26</v>
      </c>
      <c r="H209" t="s">
        <v>21</v>
      </c>
      <c r="I209" t="s">
        <v>133</v>
      </c>
      <c r="J209" t="s">
        <v>148</v>
      </c>
      <c r="K209" t="s">
        <v>23</v>
      </c>
      <c r="L209">
        <v>452</v>
      </c>
      <c r="M209" s="10">
        <v>6.1281847000000003</v>
      </c>
      <c r="N209" s="10">
        <v>136.84009958925125</v>
      </c>
      <c r="O209" s="10">
        <v>-8.9134489178926746</v>
      </c>
      <c r="P209" s="1" t="str">
        <f>HYPERLINK(".\sm_car_250819_2005\sm_car_250819_2005_208_Ca218TrN_MaSWD_DrSt_ode23t_1.png","figure")</f>
        <v>figure</v>
      </c>
      <c r="Q209" t="s">
        <v>15</v>
      </c>
    </row>
    <row r="210" spans="1:17" x14ac:dyDescent="0.25">
      <c r="A210">
        <v>209</v>
      </c>
      <c r="B210">
        <v>218</v>
      </c>
      <c r="C210" t="s">
        <v>16</v>
      </c>
      <c r="D210" t="s">
        <v>128</v>
      </c>
      <c r="E210" t="s">
        <v>107</v>
      </c>
      <c r="F210" t="s">
        <v>19</v>
      </c>
      <c r="G210" t="s">
        <v>26</v>
      </c>
      <c r="H210" t="s">
        <v>21</v>
      </c>
      <c r="I210" t="s">
        <v>134</v>
      </c>
      <c r="J210" t="s">
        <v>148</v>
      </c>
      <c r="K210" t="s">
        <v>23</v>
      </c>
      <c r="L210">
        <v>383</v>
      </c>
      <c r="M210" s="10">
        <v>5.4523295999999997</v>
      </c>
      <c r="N210" s="10">
        <v>102.53247465847821</v>
      </c>
      <c r="O210" s="10">
        <v>29.401306717856503</v>
      </c>
      <c r="P210" s="1" t="str">
        <f>HYPERLINK(".\sm_car_250819_2005\sm_car_250819_2005_209_Ca218TrN_MaRST_DrSt_ode23t_1.png","figure")</f>
        <v>figure</v>
      </c>
      <c r="Q210" t="s">
        <v>15</v>
      </c>
    </row>
    <row r="211" spans="1:17" x14ac:dyDescent="0.25">
      <c r="A211">
        <v>210</v>
      </c>
      <c r="B211">
        <v>218</v>
      </c>
      <c r="C211" t="s">
        <v>16</v>
      </c>
      <c r="D211" t="s">
        <v>128</v>
      </c>
      <c r="E211" t="s">
        <v>107</v>
      </c>
      <c r="F211" t="s">
        <v>19</v>
      </c>
      <c r="G211" t="s">
        <v>26</v>
      </c>
      <c r="H211" t="s">
        <v>21</v>
      </c>
      <c r="I211" t="s">
        <v>135</v>
      </c>
      <c r="J211" t="s">
        <v>148</v>
      </c>
      <c r="K211" t="s">
        <v>23</v>
      </c>
      <c r="L211">
        <v>677</v>
      </c>
      <c r="M211" s="10">
        <v>17.265264599999998</v>
      </c>
      <c r="N211" s="10">
        <v>222.43842325020231</v>
      </c>
      <c r="O211" s="10">
        <v>0.106027344099868</v>
      </c>
      <c r="P211" s="1" t="str">
        <f>HYPERLINK(".\sm_car_250819_2005\sm_car_250819_2005_210_Ca218TrN_MaSLA_DrSt_ode23t_1.png","figure")</f>
        <v>figure</v>
      </c>
      <c r="Q211" t="s">
        <v>15</v>
      </c>
    </row>
    <row r="212" spans="1:17" x14ac:dyDescent="0.25">
      <c r="A212">
        <v>211</v>
      </c>
      <c r="B212">
        <v>156</v>
      </c>
      <c r="C212" t="s">
        <v>45</v>
      </c>
      <c r="D212" t="s">
        <v>17</v>
      </c>
      <c r="E212" t="s">
        <v>18</v>
      </c>
      <c r="F212" t="s">
        <v>19</v>
      </c>
      <c r="G212" t="s">
        <v>38</v>
      </c>
      <c r="H212" t="s">
        <v>21</v>
      </c>
      <c r="I212" t="s">
        <v>54</v>
      </c>
      <c r="J212" t="s">
        <v>148</v>
      </c>
      <c r="K212" t="s">
        <v>23</v>
      </c>
      <c r="L212">
        <v>25905</v>
      </c>
      <c r="M212" s="10">
        <v>344.44747790000002</v>
      </c>
      <c r="N212" s="10">
        <v>19.289026259146425</v>
      </c>
      <c r="O212" s="10">
        <v>2.7639796752571266</v>
      </c>
      <c r="P212" s="1" t="str">
        <f>HYPERLINK(".\sm_car_250819_2005\sm_car_250819_2005_211_Ca156TrN_MaIPA_DrSt_ode23t.png","figure")</f>
        <v>figure</v>
      </c>
      <c r="Q212" t="s">
        <v>15</v>
      </c>
    </row>
    <row r="213" spans="1:17" x14ac:dyDescent="0.25">
      <c r="A213">
        <v>212</v>
      </c>
      <c r="B213">
        <v>130</v>
      </c>
      <c r="C213" t="s">
        <v>16</v>
      </c>
      <c r="D213" t="s">
        <v>17</v>
      </c>
      <c r="E213" t="s">
        <v>18</v>
      </c>
      <c r="F213" t="s">
        <v>19</v>
      </c>
      <c r="G213" t="s">
        <v>38</v>
      </c>
      <c r="H213" t="s">
        <v>21</v>
      </c>
      <c r="I213" t="s">
        <v>54</v>
      </c>
      <c r="J213" t="s">
        <v>148</v>
      </c>
      <c r="K213" t="s">
        <v>23</v>
      </c>
      <c r="L213">
        <v>17929</v>
      </c>
      <c r="M213" s="10">
        <v>254.12556549999999</v>
      </c>
      <c r="N213" s="10">
        <v>16.20295748789281</v>
      </c>
      <c r="O213" s="10">
        <v>0.55265505557639238</v>
      </c>
      <c r="P213" s="1" t="str">
        <f>HYPERLINK(".\sm_car_250819_2005\sm_car_250819_2005_212_Ca130TrN_MaIPA_DrSt_ode23t.png","figure")</f>
        <v>figure</v>
      </c>
      <c r="Q213" t="s">
        <v>15</v>
      </c>
    </row>
    <row r="214" spans="1:17" x14ac:dyDescent="0.25">
      <c r="A214">
        <v>213</v>
      </c>
      <c r="B214">
        <v>171</v>
      </c>
      <c r="C214" t="s">
        <v>45</v>
      </c>
      <c r="D214" t="s">
        <v>17</v>
      </c>
      <c r="E214" t="s">
        <v>72</v>
      </c>
      <c r="F214" t="s">
        <v>19</v>
      </c>
      <c r="G214" t="s">
        <v>26</v>
      </c>
      <c r="H214" t="s">
        <v>21</v>
      </c>
      <c r="I214" t="s">
        <v>73</v>
      </c>
      <c r="J214" t="s">
        <v>148</v>
      </c>
      <c r="K214" t="s">
        <v>23</v>
      </c>
      <c r="L214">
        <v>1440</v>
      </c>
      <c r="M214" s="10">
        <v>21.080608699999999</v>
      </c>
      <c r="N214" s="10">
        <v>334.34676755659098</v>
      </c>
      <c r="O214" s="10">
        <v>0.71218666008783271</v>
      </c>
      <c r="P214" s="1" t="str">
        <f>HYPERLINK(".\sm_car_250819_2005\sm_car_250819_2005_213_Ca171TrN_MaRDP_DrSt_ode23t_1.png","figure")</f>
        <v>figure</v>
      </c>
      <c r="Q214" t="s">
        <v>15</v>
      </c>
    </row>
    <row r="215" spans="1:17" x14ac:dyDescent="0.25">
      <c r="A215">
        <v>214</v>
      </c>
      <c r="B215">
        <v>172</v>
      </c>
      <c r="C215" t="s">
        <v>46</v>
      </c>
      <c r="D215" t="s">
        <v>17</v>
      </c>
      <c r="E215" t="s">
        <v>72</v>
      </c>
      <c r="F215" t="s">
        <v>19</v>
      </c>
      <c r="G215" t="s">
        <v>26</v>
      </c>
      <c r="H215" t="s">
        <v>21</v>
      </c>
      <c r="I215" t="s">
        <v>73</v>
      </c>
      <c r="J215" t="s">
        <v>148</v>
      </c>
      <c r="K215" t="s">
        <v>23</v>
      </c>
      <c r="L215">
        <v>1241</v>
      </c>
      <c r="M215" s="10">
        <v>11.1877209</v>
      </c>
      <c r="N215" s="10">
        <v>135.19143548413589</v>
      </c>
      <c r="O215" s="10">
        <v>3.5638575598208537E-2</v>
      </c>
      <c r="P215" s="1" t="str">
        <f>HYPERLINK(".\sm_car_250819_2005\sm_car_250819_2005_214_Ca172TrN_MaRDP_DrSt_ode23t_1.png","figure")</f>
        <v>figure</v>
      </c>
      <c r="Q215" t="s">
        <v>15</v>
      </c>
    </row>
    <row r="216" spans="1:17" x14ac:dyDescent="0.25">
      <c r="A216">
        <v>215</v>
      </c>
      <c r="B216">
        <v>139</v>
      </c>
      <c r="C216" t="s">
        <v>45</v>
      </c>
      <c r="D216" t="s">
        <v>17</v>
      </c>
      <c r="E216" t="s">
        <v>18</v>
      </c>
      <c r="F216" t="s">
        <v>19</v>
      </c>
      <c r="G216" t="s">
        <v>26</v>
      </c>
      <c r="H216" t="s">
        <v>21</v>
      </c>
      <c r="I216" t="s">
        <v>74</v>
      </c>
      <c r="J216" t="s">
        <v>148</v>
      </c>
      <c r="K216" t="s">
        <v>23</v>
      </c>
      <c r="L216">
        <v>1556</v>
      </c>
      <c r="M216" s="10">
        <v>17.608507100000001</v>
      </c>
      <c r="N216" s="10">
        <v>361.14332040710161</v>
      </c>
      <c r="O216" s="10">
        <v>0.74966075239966479</v>
      </c>
      <c r="P216" s="1" t="str">
        <f>HYPERLINK(".\sm_car_250819_2005\sm_car_250819_2005_215_Ca139TrN_MaZPL_DrSt_ode23t_1.png","figure")</f>
        <v>figure</v>
      </c>
      <c r="Q216" t="s">
        <v>15</v>
      </c>
    </row>
    <row r="217" spans="1:17" x14ac:dyDescent="0.25">
      <c r="A217">
        <v>216</v>
      </c>
      <c r="B217">
        <v>165</v>
      </c>
      <c r="C217" t="s">
        <v>45</v>
      </c>
      <c r="D217" t="s">
        <v>35</v>
      </c>
      <c r="E217" t="s">
        <v>49</v>
      </c>
      <c r="F217" t="s">
        <v>19</v>
      </c>
      <c r="G217" t="s">
        <v>26</v>
      </c>
      <c r="H217" t="s">
        <v>21</v>
      </c>
      <c r="I217" t="s">
        <v>74</v>
      </c>
      <c r="J217" t="s">
        <v>148</v>
      </c>
      <c r="K217" t="s">
        <v>23</v>
      </c>
      <c r="L217">
        <v>1969</v>
      </c>
      <c r="M217" s="10">
        <v>9.8483958999999999</v>
      </c>
      <c r="N217" s="10">
        <v>397.81853790728661</v>
      </c>
      <c r="O217" s="10">
        <v>0.34069565064381324</v>
      </c>
      <c r="P217" s="1" t="str">
        <f>HYPERLINK(".\sm_car_250819_2005\sm_car_250819_2005_216_Ca165TrN_MaZPL_DrSt_ode23t_1.png","figure")</f>
        <v>figure</v>
      </c>
      <c r="Q217" t="s">
        <v>15</v>
      </c>
    </row>
    <row r="218" spans="1:17" x14ac:dyDescent="0.25">
      <c r="A218">
        <v>217</v>
      </c>
      <c r="B218">
        <v>171</v>
      </c>
      <c r="C218" t="s">
        <v>45</v>
      </c>
      <c r="D218" t="s">
        <v>17</v>
      </c>
      <c r="E218" t="s">
        <v>72</v>
      </c>
      <c r="F218" t="s">
        <v>19</v>
      </c>
      <c r="G218" t="s">
        <v>26</v>
      </c>
      <c r="H218" t="s">
        <v>21</v>
      </c>
      <c r="I218" t="s">
        <v>74</v>
      </c>
      <c r="J218" t="s">
        <v>148</v>
      </c>
      <c r="K218" t="s">
        <v>23</v>
      </c>
      <c r="L218">
        <v>1569</v>
      </c>
      <c r="M218" s="10">
        <v>23.491127200000001</v>
      </c>
      <c r="N218" s="10">
        <v>360.78871834162896</v>
      </c>
      <c r="O218" s="10">
        <v>0.79036448021209094</v>
      </c>
      <c r="P218" s="1" t="str">
        <f>HYPERLINK(".\sm_car_250819_2005\sm_car_250819_2005_217_Ca171TrN_MaZPL_DrSt_ode23t_1.png","figure")</f>
        <v>figure</v>
      </c>
      <c r="Q218" t="s">
        <v>15</v>
      </c>
    </row>
    <row r="219" spans="1:17" x14ac:dyDescent="0.25">
      <c r="A219">
        <v>218</v>
      </c>
      <c r="B219">
        <v>165</v>
      </c>
      <c r="C219" t="s">
        <v>45</v>
      </c>
      <c r="D219" t="s">
        <v>35</v>
      </c>
      <c r="E219" t="s">
        <v>49</v>
      </c>
      <c r="F219" t="s">
        <v>19</v>
      </c>
      <c r="G219" t="s">
        <v>26</v>
      </c>
      <c r="H219" t="s">
        <v>21</v>
      </c>
      <c r="I219" t="s">
        <v>75</v>
      </c>
      <c r="J219" t="s">
        <v>148</v>
      </c>
      <c r="K219" t="s">
        <v>23</v>
      </c>
      <c r="L219">
        <v>494</v>
      </c>
      <c r="M219" s="10">
        <v>4.3924335000000001</v>
      </c>
      <c r="N219" s="10">
        <v>378.51249438435246</v>
      </c>
      <c r="O219" s="10">
        <v>0.32794504760362192</v>
      </c>
      <c r="P219" s="1" t="str">
        <f>HYPERLINK(".\sm_car_250819_2005\sm_car_250819_2005_218_Ca165TrN_MaCPL_DrSt_ode23t_1.png","figure")</f>
        <v>figure</v>
      </c>
      <c r="Q219" t="s">
        <v>15</v>
      </c>
    </row>
    <row r="220" spans="1:17" x14ac:dyDescent="0.25">
      <c r="A220">
        <v>219</v>
      </c>
      <c r="B220">
        <v>170</v>
      </c>
      <c r="C220" t="s">
        <v>45</v>
      </c>
      <c r="D220" t="s">
        <v>35</v>
      </c>
      <c r="E220" t="s">
        <v>49</v>
      </c>
      <c r="F220" t="s">
        <v>19</v>
      </c>
      <c r="G220" t="s">
        <v>20</v>
      </c>
      <c r="H220" t="s">
        <v>21</v>
      </c>
      <c r="I220" t="s">
        <v>75</v>
      </c>
      <c r="J220" t="s">
        <v>148</v>
      </c>
      <c r="K220" t="s">
        <v>23</v>
      </c>
      <c r="L220">
        <v>470</v>
      </c>
      <c r="M220" s="10">
        <v>3.2427841000000002</v>
      </c>
      <c r="N220" s="10">
        <v>381.4484771482264</v>
      </c>
      <c r="O220" s="10">
        <v>0.33443756398186958</v>
      </c>
      <c r="P220" s="1" t="str">
        <f>HYPERLINK(".\sm_car_250819_2005\sm_car_250819_2005_219_Ca170TrN_MaCPL_DrSt_ode23t_1.png","figure")</f>
        <v>figure</v>
      </c>
      <c r="Q220" t="s">
        <v>15</v>
      </c>
    </row>
    <row r="221" spans="1:17" x14ac:dyDescent="0.25">
      <c r="A221">
        <v>220</v>
      </c>
      <c r="B221">
        <v>171</v>
      </c>
      <c r="C221" t="s">
        <v>45</v>
      </c>
      <c r="D221" t="s">
        <v>17</v>
      </c>
      <c r="E221" t="s">
        <v>72</v>
      </c>
      <c r="F221" t="s">
        <v>19</v>
      </c>
      <c r="G221" t="s">
        <v>26</v>
      </c>
      <c r="H221" t="s">
        <v>21</v>
      </c>
      <c r="I221" t="s">
        <v>76</v>
      </c>
      <c r="J221" t="s">
        <v>148</v>
      </c>
      <c r="K221" t="s">
        <v>23</v>
      </c>
      <c r="L221">
        <v>2825</v>
      </c>
      <c r="M221" s="10">
        <v>43.935264099999998</v>
      </c>
      <c r="N221" s="10">
        <v>165.08286554776183</v>
      </c>
      <c r="O221" s="10">
        <v>1.1059482067826154E-3</v>
      </c>
      <c r="P221" s="1" t="str">
        <f>HYPERLINK(".\sm_car_250819_2005\sm_car_250819_2005_220_Ca171TrN_MaRDR_DrSt_ode23t_1.png","figure")</f>
        <v>figure</v>
      </c>
      <c r="Q221" t="s">
        <v>15</v>
      </c>
    </row>
    <row r="222" spans="1:17" x14ac:dyDescent="0.25">
      <c r="A222">
        <v>221</v>
      </c>
      <c r="B222">
        <v>172</v>
      </c>
      <c r="C222" t="s">
        <v>46</v>
      </c>
      <c r="D222" t="s">
        <v>17</v>
      </c>
      <c r="E222" t="s">
        <v>72</v>
      </c>
      <c r="F222" t="s">
        <v>19</v>
      </c>
      <c r="G222" t="s">
        <v>26</v>
      </c>
      <c r="H222" t="s">
        <v>21</v>
      </c>
      <c r="I222" t="s">
        <v>76</v>
      </c>
      <c r="J222" t="s">
        <v>148</v>
      </c>
      <c r="K222" t="s">
        <v>23</v>
      </c>
      <c r="L222">
        <v>3272</v>
      </c>
      <c r="M222" s="10">
        <v>27.0988033</v>
      </c>
      <c r="N222" s="10">
        <v>162.25740444485339</v>
      </c>
      <c r="O222" s="10">
        <v>3.6795376697546921E-4</v>
      </c>
      <c r="P222" s="1" t="str">
        <f>HYPERLINK(".\sm_car_250819_2005\sm_car_250819_2005_221_Ca172TrN_MaRDR_DrSt_ode23t_1.png","figure")</f>
        <v>figure</v>
      </c>
      <c r="Q222" t="s">
        <v>15</v>
      </c>
    </row>
    <row r="223" spans="1:17" x14ac:dyDescent="0.25">
      <c r="A223">
        <v>222</v>
      </c>
      <c r="B223">
        <v>139</v>
      </c>
      <c r="C223" t="s">
        <v>45</v>
      </c>
      <c r="D223" t="s">
        <v>17</v>
      </c>
      <c r="E223" t="s">
        <v>18</v>
      </c>
      <c r="F223" t="s">
        <v>19</v>
      </c>
      <c r="G223" t="s">
        <v>26</v>
      </c>
      <c r="H223" t="s">
        <v>21</v>
      </c>
      <c r="I223" t="s">
        <v>77</v>
      </c>
      <c r="J223" t="s">
        <v>148</v>
      </c>
      <c r="K223" t="s">
        <v>23</v>
      </c>
      <c r="L223">
        <v>2983</v>
      </c>
      <c r="M223" s="10">
        <v>30.842435900000002</v>
      </c>
      <c r="N223" s="10">
        <v>189.28169189584565</v>
      </c>
      <c r="O223" s="10">
        <v>7.0046000835461211E-4</v>
      </c>
      <c r="P223" s="1" t="str">
        <f>HYPERLINK(".\sm_car_250819_2005\sm_car_250819_2005_222_Ca139TrN_MaZRR_DrSt_ode23t_1.png","figure")</f>
        <v>figure</v>
      </c>
      <c r="Q223" t="s">
        <v>15</v>
      </c>
    </row>
    <row r="224" spans="1:17" x14ac:dyDescent="0.25">
      <c r="A224">
        <v>223</v>
      </c>
      <c r="B224">
        <v>165</v>
      </c>
      <c r="C224" t="s">
        <v>45</v>
      </c>
      <c r="D224" t="s">
        <v>35</v>
      </c>
      <c r="E224" t="s">
        <v>49</v>
      </c>
      <c r="F224" t="s">
        <v>19</v>
      </c>
      <c r="G224" t="s">
        <v>26</v>
      </c>
      <c r="H224" t="s">
        <v>21</v>
      </c>
      <c r="I224" t="s">
        <v>77</v>
      </c>
      <c r="J224" t="s">
        <v>148</v>
      </c>
      <c r="K224" t="s">
        <v>23</v>
      </c>
      <c r="L224">
        <v>3317</v>
      </c>
      <c r="M224" s="10">
        <v>19.5846725</v>
      </c>
      <c r="N224" s="10">
        <v>189.41000340594505</v>
      </c>
      <c r="O224" s="10">
        <v>5.3904058628368766E-5</v>
      </c>
      <c r="P224" s="1" t="str">
        <f>HYPERLINK(".\sm_car_250819_2005\sm_car_250819_2005_223_Ca165TrN_MaZRR_DrSt_ode23t_1.png","figure")</f>
        <v>figure</v>
      </c>
      <c r="Q224" t="s">
        <v>15</v>
      </c>
    </row>
    <row r="225" spans="1:17" x14ac:dyDescent="0.25">
      <c r="A225">
        <v>224</v>
      </c>
      <c r="B225">
        <v>171</v>
      </c>
      <c r="C225" t="s">
        <v>45</v>
      </c>
      <c r="D225" t="s">
        <v>17</v>
      </c>
      <c r="E225" t="s">
        <v>72</v>
      </c>
      <c r="F225" t="s">
        <v>19</v>
      </c>
      <c r="G225" t="s">
        <v>26</v>
      </c>
      <c r="H225" t="s">
        <v>21</v>
      </c>
      <c r="I225" t="s">
        <v>77</v>
      </c>
      <c r="J225" t="s">
        <v>148</v>
      </c>
      <c r="K225" t="s">
        <v>23</v>
      </c>
      <c r="L225">
        <v>3026</v>
      </c>
      <c r="M225" s="10">
        <v>47.086235000000002</v>
      </c>
      <c r="N225" s="10">
        <v>189.2758009890504</v>
      </c>
      <c r="O225" s="10">
        <v>7.1997977374401226E-4</v>
      </c>
      <c r="P225" s="1" t="str">
        <f>HYPERLINK(".\sm_car_250819_2005\sm_car_250819_2005_224_Ca171TrN_MaZRR_DrSt_ode23t_1.png","figure")</f>
        <v>figure</v>
      </c>
      <c r="Q225" t="s">
        <v>15</v>
      </c>
    </row>
    <row r="226" spans="1:17" x14ac:dyDescent="0.25">
      <c r="A226">
        <v>225</v>
      </c>
      <c r="B226">
        <v>170</v>
      </c>
      <c r="C226" t="s">
        <v>45</v>
      </c>
      <c r="D226" t="s">
        <v>35</v>
      </c>
      <c r="E226" t="s">
        <v>49</v>
      </c>
      <c r="F226" t="s">
        <v>19</v>
      </c>
      <c r="G226" t="s">
        <v>20</v>
      </c>
      <c r="H226" t="s">
        <v>21</v>
      </c>
      <c r="I226" t="s">
        <v>78</v>
      </c>
      <c r="J226" t="s">
        <v>148</v>
      </c>
      <c r="K226" t="s">
        <v>23</v>
      </c>
      <c r="L226">
        <v>6367</v>
      </c>
      <c r="M226" s="10">
        <v>21.091405300000002</v>
      </c>
      <c r="N226" s="10">
        <v>-5.9995280659930668</v>
      </c>
      <c r="O226" s="10">
        <v>-6.2662973972513339E-3</v>
      </c>
      <c r="P226" s="1" t="str">
        <f>HYPERLINK(".\sm_car_250819_2005\sm_car_250819_2005_225_Ca170TrN_MaCMP_DrSt_ode23t_1.png","figure")</f>
        <v>figure</v>
      </c>
      <c r="Q226" t="s">
        <v>15</v>
      </c>
    </row>
    <row r="227" spans="1:17" x14ac:dyDescent="0.25">
      <c r="A227">
        <v>226</v>
      </c>
      <c r="B227">
        <v>170</v>
      </c>
      <c r="C227" t="s">
        <v>45</v>
      </c>
      <c r="D227" t="s">
        <v>35</v>
      </c>
      <c r="E227" t="s">
        <v>49</v>
      </c>
      <c r="F227" t="s">
        <v>19</v>
      </c>
      <c r="G227" t="s">
        <v>20</v>
      </c>
      <c r="H227" t="s">
        <v>21</v>
      </c>
      <c r="I227" t="s">
        <v>79</v>
      </c>
      <c r="J227" t="s">
        <v>148</v>
      </c>
      <c r="K227" t="s">
        <v>23</v>
      </c>
      <c r="L227">
        <v>1612</v>
      </c>
      <c r="M227" s="10">
        <v>10.7052365</v>
      </c>
      <c r="N227" s="10">
        <v>-5.989509988124694</v>
      </c>
      <c r="O227" s="10">
        <v>-6.2050287012048542E-3</v>
      </c>
      <c r="P227" s="1" t="str">
        <f>HYPERLINK(".\sm_car_250819_2005\sm_car_250819_2005_226_Ca170TrN_MaCMF_DrSt_ode23t_1.png","figure")</f>
        <v>figure</v>
      </c>
      <c r="Q227" t="s">
        <v>15</v>
      </c>
    </row>
    <row r="228" spans="1:17" x14ac:dyDescent="0.25">
      <c r="A228">
        <v>227</v>
      </c>
      <c r="B228">
        <v>170</v>
      </c>
      <c r="C228" t="s">
        <v>45</v>
      </c>
      <c r="D228" t="s">
        <v>35</v>
      </c>
      <c r="E228" t="s">
        <v>49</v>
      </c>
      <c r="F228" t="s">
        <v>19</v>
      </c>
      <c r="G228" t="s">
        <v>20</v>
      </c>
      <c r="H228" t="s">
        <v>21</v>
      </c>
      <c r="I228" t="s">
        <v>80</v>
      </c>
      <c r="J228" t="s">
        <v>148</v>
      </c>
      <c r="K228" t="s">
        <v>23</v>
      </c>
      <c r="L228">
        <v>5374</v>
      </c>
      <c r="M228" s="10">
        <v>43.087207200000002</v>
      </c>
      <c r="N228" s="10">
        <v>-217.11863943819523</v>
      </c>
      <c r="O228" s="10">
        <v>5.7998877916713454</v>
      </c>
      <c r="P228" s="1" t="str">
        <f>HYPERLINK(".\sm_car_250819_2005\sm_car_250819_2005_227_Ca170TrN_MaMPO_DrSt_ode23t_1.png","figure")</f>
        <v>figure</v>
      </c>
      <c r="Q228" t="s">
        <v>15</v>
      </c>
    </row>
    <row r="229" spans="1:17" x14ac:dyDescent="0.25">
      <c r="A229">
        <v>228</v>
      </c>
      <c r="B229">
        <v>170</v>
      </c>
      <c r="C229" t="s">
        <v>45</v>
      </c>
      <c r="D229" t="s">
        <v>35</v>
      </c>
      <c r="E229" t="s">
        <v>49</v>
      </c>
      <c r="F229" t="s">
        <v>19</v>
      </c>
      <c r="G229" t="s">
        <v>20</v>
      </c>
      <c r="H229" t="s">
        <v>21</v>
      </c>
      <c r="I229" t="s">
        <v>81</v>
      </c>
      <c r="J229" t="s">
        <v>148</v>
      </c>
      <c r="K229" t="s">
        <v>23</v>
      </c>
      <c r="L229">
        <v>1178</v>
      </c>
      <c r="M229" s="10">
        <v>20.872574100000001</v>
      </c>
      <c r="N229" s="10">
        <v>-14.237902911236695</v>
      </c>
      <c r="O229" s="10">
        <v>-1.1887653683373856E-2</v>
      </c>
      <c r="P229" s="1" t="str">
        <f>HYPERLINK(".\sm_car_250819_2005\sm_car_250819_2005_228_Ca170TrN_MaMCI_DrSt_ode23t_1.png","figure")</f>
        <v>figure</v>
      </c>
      <c r="Q229" t="s">
        <v>15</v>
      </c>
    </row>
    <row r="230" spans="1:17" x14ac:dyDescent="0.25">
      <c r="A230">
        <v>229</v>
      </c>
      <c r="B230">
        <v>170</v>
      </c>
      <c r="C230" t="s">
        <v>45</v>
      </c>
      <c r="D230" t="s">
        <v>35</v>
      </c>
      <c r="E230" t="s">
        <v>49</v>
      </c>
      <c r="F230" t="s">
        <v>19</v>
      </c>
      <c r="G230" t="s">
        <v>20</v>
      </c>
      <c r="H230" t="s">
        <v>21</v>
      </c>
      <c r="I230" t="s">
        <v>110</v>
      </c>
      <c r="J230" t="s">
        <v>148</v>
      </c>
      <c r="K230" t="s">
        <v>23</v>
      </c>
      <c r="L230">
        <v>3761</v>
      </c>
      <c r="M230" s="10">
        <v>23.3337547</v>
      </c>
      <c r="N230" s="10">
        <v>-5.9992052024927416</v>
      </c>
      <c r="O230" s="10">
        <v>-4.701432655593819E-3</v>
      </c>
      <c r="P230" s="1" t="str">
        <f>HYPERLINK(".\sm_car_250819_2005\sm_car_250819_2005_229_Ca170TrN_MaCHO_DrSt_ode23t_1.png","figure")</f>
        <v>figure</v>
      </c>
      <c r="Q230" t="s">
        <v>15</v>
      </c>
    </row>
    <row r="231" spans="1:17" x14ac:dyDescent="0.25">
      <c r="A231">
        <v>230</v>
      </c>
      <c r="B231">
        <v>170</v>
      </c>
      <c r="C231" t="s">
        <v>45</v>
      </c>
      <c r="D231" t="s">
        <v>35</v>
      </c>
      <c r="E231" t="s">
        <v>49</v>
      </c>
      <c r="F231" t="s">
        <v>19</v>
      </c>
      <c r="G231" t="s">
        <v>20</v>
      </c>
      <c r="H231" t="s">
        <v>21</v>
      </c>
      <c r="I231" t="s">
        <v>111</v>
      </c>
      <c r="J231" t="s">
        <v>148</v>
      </c>
      <c r="K231" t="s">
        <v>23</v>
      </c>
      <c r="L231">
        <v>2634</v>
      </c>
      <c r="M231" s="10">
        <v>24.886824699999998</v>
      </c>
      <c r="N231" s="10">
        <v>-5.9942659436922545</v>
      </c>
      <c r="O231" s="10">
        <v>-4.7234596565955663E-3</v>
      </c>
      <c r="P231" s="1" t="str">
        <f>HYPERLINK(".\sm_car_250819_2005\sm_car_250819_2005_230_Ca170TrN_MaCHF_DrSt_ode23t_1.png","figure")</f>
        <v>figure</v>
      </c>
      <c r="Q231" t="s">
        <v>15</v>
      </c>
    </row>
    <row r="232" spans="1:17" x14ac:dyDescent="0.25">
      <c r="A232">
        <v>231</v>
      </c>
      <c r="B232">
        <v>170</v>
      </c>
      <c r="C232" t="s">
        <v>45</v>
      </c>
      <c r="D232" t="s">
        <v>35</v>
      </c>
      <c r="E232" t="s">
        <v>49</v>
      </c>
      <c r="F232" t="s">
        <v>19</v>
      </c>
      <c r="G232" t="s">
        <v>20</v>
      </c>
      <c r="H232" t="s">
        <v>21</v>
      </c>
      <c r="I232" t="s">
        <v>82</v>
      </c>
      <c r="J232" t="s">
        <v>148</v>
      </c>
      <c r="K232" t="s">
        <v>23</v>
      </c>
      <c r="L232">
        <v>9263</v>
      </c>
      <c r="M232" s="10">
        <v>38.650351999999998</v>
      </c>
      <c r="N232" s="10">
        <v>-768.71605344262082</v>
      </c>
      <c r="O232" s="10">
        <v>638.64316490375165</v>
      </c>
      <c r="P232" s="1" t="str">
        <f>HYPERLINK(".\sm_car_250819_2005\sm_car_250819_2005_231_Ca170TrN_MaCKY_DrSt_ode23t_1.png","figure")</f>
        <v>figure</v>
      </c>
      <c r="Q232" t="s">
        <v>15</v>
      </c>
    </row>
    <row r="233" spans="1:17" x14ac:dyDescent="0.25">
      <c r="A233">
        <v>232</v>
      </c>
      <c r="B233">
        <v>170</v>
      </c>
      <c r="C233" t="s">
        <v>45</v>
      </c>
      <c r="D233" t="s">
        <v>35</v>
      </c>
      <c r="E233" t="s">
        <v>49</v>
      </c>
      <c r="F233" t="s">
        <v>19</v>
      </c>
      <c r="G233" t="s">
        <v>20</v>
      </c>
      <c r="H233" t="s">
        <v>21</v>
      </c>
      <c r="I233" t="s">
        <v>83</v>
      </c>
      <c r="J233" t="s">
        <v>148</v>
      </c>
      <c r="K233" t="s">
        <v>23</v>
      </c>
      <c r="L233">
        <v>1691</v>
      </c>
      <c r="M233" s="10">
        <v>14.1578651</v>
      </c>
      <c r="N233" s="10">
        <v>-772.67588039936118</v>
      </c>
      <c r="O233" s="10">
        <v>640.74519629771578</v>
      </c>
      <c r="P233" s="1" t="str">
        <f>HYPERLINK(".\sm_car_250819_2005\sm_car_250819_2005_232_Ca170TrN_MaCKF_DrSt_ode23t_1.png","figure")</f>
        <v>figure</v>
      </c>
      <c r="Q233" t="s">
        <v>15</v>
      </c>
    </row>
    <row r="234" spans="1:17" x14ac:dyDescent="0.25">
      <c r="A234">
        <v>233</v>
      </c>
      <c r="B234">
        <v>170</v>
      </c>
      <c r="C234" t="s">
        <v>45</v>
      </c>
      <c r="D234" t="s">
        <v>35</v>
      </c>
      <c r="E234" t="s">
        <v>49</v>
      </c>
      <c r="F234" t="s">
        <v>19</v>
      </c>
      <c r="G234" t="s">
        <v>20</v>
      </c>
      <c r="H234" t="s">
        <v>21</v>
      </c>
      <c r="I234" t="s">
        <v>84</v>
      </c>
      <c r="J234" t="s">
        <v>148</v>
      </c>
      <c r="K234" t="s">
        <v>23</v>
      </c>
      <c r="L234">
        <v>2261</v>
      </c>
      <c r="M234" s="10">
        <v>30.160572699999999</v>
      </c>
      <c r="N234" s="10">
        <v>189.31350744491485</v>
      </c>
      <c r="O234" s="10">
        <v>308.88773346085298</v>
      </c>
      <c r="P234" s="1" t="str">
        <f>HYPERLINK(".\sm_car_250819_2005\sm_car_250819_2005_233_Ca170TrN_MaCNN_DrSt_ode23t_1.png","figure")</f>
        <v>figure</v>
      </c>
      <c r="Q234" t="s">
        <v>15</v>
      </c>
    </row>
    <row r="235" spans="1:17" x14ac:dyDescent="0.25">
      <c r="A235">
        <v>234</v>
      </c>
      <c r="B235">
        <v>170</v>
      </c>
      <c r="C235" t="s">
        <v>45</v>
      </c>
      <c r="D235" t="s">
        <v>35</v>
      </c>
      <c r="E235" t="s">
        <v>49</v>
      </c>
      <c r="F235" t="s">
        <v>19</v>
      </c>
      <c r="G235" t="s">
        <v>20</v>
      </c>
      <c r="H235" t="s">
        <v>21</v>
      </c>
      <c r="I235" t="s">
        <v>85</v>
      </c>
      <c r="J235" t="s">
        <v>148</v>
      </c>
      <c r="K235" t="s">
        <v>23</v>
      </c>
      <c r="L235">
        <v>3515</v>
      </c>
      <c r="M235" s="10">
        <v>148.88982999999999</v>
      </c>
      <c r="N235" s="10">
        <v>2981.6989943758012</v>
      </c>
      <c r="O235" s="10">
        <v>-3077.7680715037905</v>
      </c>
      <c r="P235" s="1" t="str">
        <f>HYPERLINK(".\sm_car_250819_2005\sm_car_250819_2005_234_Ca170TrN_MaCNF_DrSt_ode23t_1.png","figure")</f>
        <v>figure</v>
      </c>
      <c r="Q235" t="s">
        <v>15</v>
      </c>
    </row>
    <row r="236" spans="1:17" x14ac:dyDescent="0.25">
      <c r="A236">
        <v>235</v>
      </c>
      <c r="B236">
        <v>170</v>
      </c>
      <c r="C236" t="s">
        <v>45</v>
      </c>
      <c r="D236" t="s">
        <v>35</v>
      </c>
      <c r="E236" t="s">
        <v>49</v>
      </c>
      <c r="F236" t="s">
        <v>19</v>
      </c>
      <c r="G236" t="s">
        <v>20</v>
      </c>
      <c r="H236" t="s">
        <v>21</v>
      </c>
      <c r="I236" t="s">
        <v>86</v>
      </c>
      <c r="J236" t="s">
        <v>148</v>
      </c>
      <c r="K236" t="s">
        <v>23</v>
      </c>
      <c r="L236">
        <v>3007</v>
      </c>
      <c r="M236" s="10">
        <v>20.6136929</v>
      </c>
      <c r="N236" s="10">
        <v>497.86353858547824</v>
      </c>
      <c r="O236" s="10">
        <v>-175.7028196269822</v>
      </c>
      <c r="P236" s="1" t="str">
        <f>HYPERLINK(".\sm_car_250819_2005\sm_car_250819_2005_235_Ca170TrN_MaCSZ_DrSt_ode23t_1.png","figure")</f>
        <v>figure</v>
      </c>
      <c r="Q236" t="s">
        <v>15</v>
      </c>
    </row>
    <row r="237" spans="1:17" x14ac:dyDescent="0.25">
      <c r="A237">
        <v>236</v>
      </c>
      <c r="B237">
        <v>170</v>
      </c>
      <c r="C237" t="s">
        <v>45</v>
      </c>
      <c r="D237" t="s">
        <v>35</v>
      </c>
      <c r="E237" t="s">
        <v>49</v>
      </c>
      <c r="F237" t="s">
        <v>19</v>
      </c>
      <c r="G237" t="s">
        <v>20</v>
      </c>
      <c r="H237" t="s">
        <v>21</v>
      </c>
      <c r="I237" t="s">
        <v>87</v>
      </c>
      <c r="J237" t="s">
        <v>148</v>
      </c>
      <c r="K237" t="s">
        <v>23</v>
      </c>
      <c r="L237">
        <v>5157</v>
      </c>
      <c r="M237" s="10">
        <v>118.5851499</v>
      </c>
      <c r="N237" s="10">
        <v>-8.9884865886275076</v>
      </c>
      <c r="O237" s="10">
        <v>8.1786382755070445E-3</v>
      </c>
      <c r="P237" s="1" t="str">
        <f>HYPERLINK(".\sm_car_250819_2005\sm_car_250819_2005_236_Ca170TrN_MaCSF_DrSt_ode23t_1.png","figure")</f>
        <v>figure</v>
      </c>
      <c r="Q237" t="s">
        <v>15</v>
      </c>
    </row>
    <row r="238" spans="1:17" x14ac:dyDescent="0.25">
      <c r="A238">
        <v>237</v>
      </c>
      <c r="B238">
        <v>170</v>
      </c>
      <c r="C238" t="s">
        <v>45</v>
      </c>
      <c r="D238" t="s">
        <v>35</v>
      </c>
      <c r="E238" t="s">
        <v>49</v>
      </c>
      <c r="F238" t="s">
        <v>19</v>
      </c>
      <c r="G238" t="s">
        <v>20</v>
      </c>
      <c r="H238" t="s">
        <v>21</v>
      </c>
      <c r="I238" t="s">
        <v>88</v>
      </c>
      <c r="J238" t="s">
        <v>148</v>
      </c>
      <c r="K238" t="s">
        <v>23</v>
      </c>
      <c r="L238">
        <v>1711</v>
      </c>
      <c r="M238" s="10">
        <v>39.182973699999998</v>
      </c>
      <c r="N238" s="10">
        <v>247.79136277344821</v>
      </c>
      <c r="O238" s="10">
        <v>391.3792297899555</v>
      </c>
      <c r="P238" s="1" t="str">
        <f>HYPERLINK(".\sm_car_250819_2005\sm_car_250819_2005_237_Ca170TrN_MaCPU_DrSt_ode23t_1.png","figure")</f>
        <v>figure</v>
      </c>
      <c r="Q238" t="s">
        <v>15</v>
      </c>
    </row>
    <row r="239" spans="1:17" x14ac:dyDescent="0.25">
      <c r="A239">
        <v>238</v>
      </c>
      <c r="B239">
        <v>170</v>
      </c>
      <c r="C239" t="s">
        <v>45</v>
      </c>
      <c r="D239" t="s">
        <v>35</v>
      </c>
      <c r="E239" t="s">
        <v>49</v>
      </c>
      <c r="F239" t="s">
        <v>19</v>
      </c>
      <c r="G239" t="s">
        <v>20</v>
      </c>
      <c r="H239" t="s">
        <v>21</v>
      </c>
      <c r="I239" t="s">
        <v>89</v>
      </c>
      <c r="J239" t="s">
        <v>148</v>
      </c>
      <c r="K239" t="s">
        <v>23</v>
      </c>
      <c r="L239">
        <v>2497</v>
      </c>
      <c r="M239" s="10">
        <v>27.915565099999998</v>
      </c>
      <c r="N239" s="10">
        <v>179.59001575636853</v>
      </c>
      <c r="O239" s="10">
        <v>-180.2826597977346</v>
      </c>
      <c r="P239" s="1" t="str">
        <f>HYPERLINK(".\sm_car_250819_2005\sm_car_250819_2005_238_Ca170TrN_MaCPD_DrSt_ode23t_1.png","figure")</f>
        <v>figure</v>
      </c>
      <c r="Q239" t="s">
        <v>15</v>
      </c>
    </row>
    <row r="240" spans="1:17" x14ac:dyDescent="0.25">
      <c r="A240">
        <v>239</v>
      </c>
      <c r="B240">
        <v>202</v>
      </c>
      <c r="C240" t="s">
        <v>45</v>
      </c>
      <c r="D240" t="s">
        <v>35</v>
      </c>
      <c r="E240" t="s">
        <v>107</v>
      </c>
      <c r="F240" t="s">
        <v>19</v>
      </c>
      <c r="G240" t="s">
        <v>20</v>
      </c>
      <c r="H240" t="s">
        <v>21</v>
      </c>
      <c r="I240" t="s">
        <v>79</v>
      </c>
      <c r="J240" t="s">
        <v>148</v>
      </c>
      <c r="K240" t="s">
        <v>23</v>
      </c>
      <c r="L240">
        <v>1619</v>
      </c>
      <c r="M240" s="10">
        <v>5.1400247999999999</v>
      </c>
      <c r="N240" s="10">
        <v>-5.9970848196732902</v>
      </c>
      <c r="O240" s="10">
        <v>-6.254408824130391E-3</v>
      </c>
      <c r="P240" s="1" t="str">
        <f>HYPERLINK(".\sm_car_250819_2005\sm_car_250819_2005_239_Ca202TrN_MaCMF_DrSt_ode23t_1.png","figure")</f>
        <v>figure</v>
      </c>
      <c r="Q240" t="s">
        <v>15</v>
      </c>
    </row>
    <row r="241" spans="1:17" x14ac:dyDescent="0.25">
      <c r="A241">
        <v>240</v>
      </c>
      <c r="B241">
        <v>202</v>
      </c>
      <c r="C241" t="s">
        <v>45</v>
      </c>
      <c r="D241" t="s">
        <v>35</v>
      </c>
      <c r="E241" t="s">
        <v>107</v>
      </c>
      <c r="F241" t="s">
        <v>19</v>
      </c>
      <c r="G241" t="s">
        <v>20</v>
      </c>
      <c r="H241" t="s">
        <v>21</v>
      </c>
      <c r="I241" t="s">
        <v>80</v>
      </c>
      <c r="J241" t="s">
        <v>148</v>
      </c>
      <c r="K241" t="s">
        <v>23</v>
      </c>
      <c r="L241">
        <v>5308</v>
      </c>
      <c r="M241" s="10">
        <v>29.115637</v>
      </c>
      <c r="N241" s="10">
        <v>-217.07858677623918</v>
      </c>
      <c r="O241" s="10">
        <v>5.7936452344121703</v>
      </c>
      <c r="P241" s="1" t="str">
        <f>HYPERLINK(".\sm_car_250819_2005\sm_car_250819_2005_240_Ca202TrN_MaMPO_DrSt_ode23t_1.png","figure")</f>
        <v>figure</v>
      </c>
      <c r="Q241" t="s">
        <v>15</v>
      </c>
    </row>
    <row r="242" spans="1:17" x14ac:dyDescent="0.25">
      <c r="A242">
        <v>241</v>
      </c>
      <c r="B242">
        <v>202</v>
      </c>
      <c r="C242" t="s">
        <v>45</v>
      </c>
      <c r="D242" t="s">
        <v>35</v>
      </c>
      <c r="E242" t="s">
        <v>107</v>
      </c>
      <c r="F242" t="s">
        <v>19</v>
      </c>
      <c r="G242" t="s">
        <v>20</v>
      </c>
      <c r="H242" t="s">
        <v>21</v>
      </c>
      <c r="I242" t="s">
        <v>81</v>
      </c>
      <c r="J242" t="s">
        <v>148</v>
      </c>
      <c r="K242" t="s">
        <v>23</v>
      </c>
      <c r="L242">
        <v>1224</v>
      </c>
      <c r="M242" s="10">
        <v>10.940712700000001</v>
      </c>
      <c r="N242" s="10">
        <v>-14.232332726511437</v>
      </c>
      <c r="O242" s="10">
        <v>-7.8269606003118497E-3</v>
      </c>
      <c r="P242" s="1" t="str">
        <f>HYPERLINK(".\sm_car_250819_2005\sm_car_250819_2005_241_Ca202TrN_MaMCI_DrSt_ode23t_1.png","figure")</f>
        <v>figure</v>
      </c>
      <c r="Q242" t="s">
        <v>15</v>
      </c>
    </row>
    <row r="243" spans="1:17" x14ac:dyDescent="0.25">
      <c r="A243">
        <v>242</v>
      </c>
      <c r="B243">
        <v>202</v>
      </c>
      <c r="C243" t="s">
        <v>45</v>
      </c>
      <c r="D243" t="s">
        <v>35</v>
      </c>
      <c r="E243" t="s">
        <v>107</v>
      </c>
      <c r="F243" t="s">
        <v>19</v>
      </c>
      <c r="G243" t="s">
        <v>20</v>
      </c>
      <c r="H243" t="s">
        <v>21</v>
      </c>
      <c r="I243" t="s">
        <v>83</v>
      </c>
      <c r="J243" t="s">
        <v>148</v>
      </c>
      <c r="K243" t="s">
        <v>23</v>
      </c>
      <c r="L243">
        <v>2902</v>
      </c>
      <c r="M243" s="10">
        <v>11.914311700000001</v>
      </c>
      <c r="N243" s="10">
        <v>-5.9975352006213631</v>
      </c>
      <c r="O243" s="10">
        <v>-2.6155912435893693E-2</v>
      </c>
      <c r="P243" s="1" t="str">
        <f>HYPERLINK(".\sm_car_250819_2005\sm_car_250819_2005_242_Ca202TrN_MaCKF_DrSt_ode23t_1.png","figure")</f>
        <v>figure</v>
      </c>
      <c r="Q243" t="s">
        <v>15</v>
      </c>
    </row>
    <row r="244" spans="1:17" x14ac:dyDescent="0.25">
      <c r="A244">
        <v>243</v>
      </c>
      <c r="B244">
        <v>202</v>
      </c>
      <c r="C244" t="s">
        <v>45</v>
      </c>
      <c r="D244" t="s">
        <v>35</v>
      </c>
      <c r="E244" t="s">
        <v>107</v>
      </c>
      <c r="F244" t="s">
        <v>19</v>
      </c>
      <c r="G244" t="s">
        <v>20</v>
      </c>
      <c r="H244" t="s">
        <v>21</v>
      </c>
      <c r="I244" t="s">
        <v>85</v>
      </c>
      <c r="J244" t="s">
        <v>148</v>
      </c>
      <c r="K244" t="s">
        <v>23</v>
      </c>
      <c r="L244">
        <v>8410</v>
      </c>
      <c r="M244" s="10">
        <v>224.14882779999999</v>
      </c>
      <c r="N244" s="10">
        <v>-8.999830518906796</v>
      </c>
      <c r="O244" s="10">
        <v>2.4139420060235204E-2</v>
      </c>
      <c r="P244" s="1" t="str">
        <f>HYPERLINK(".\sm_car_250819_2005\sm_car_250819_2005_243_Ca202TrN_MaCNF_DrSt_ode23t_1.png","figure")</f>
        <v>figure</v>
      </c>
      <c r="Q244" t="s">
        <v>15</v>
      </c>
    </row>
    <row r="245" spans="1:17" x14ac:dyDescent="0.25">
      <c r="A245">
        <v>244</v>
      </c>
      <c r="B245">
        <v>202</v>
      </c>
      <c r="C245" t="s">
        <v>45</v>
      </c>
      <c r="D245" t="s">
        <v>35</v>
      </c>
      <c r="E245" t="s">
        <v>107</v>
      </c>
      <c r="F245" t="s">
        <v>19</v>
      </c>
      <c r="G245" t="s">
        <v>20</v>
      </c>
      <c r="H245" t="s">
        <v>21</v>
      </c>
      <c r="I245" t="s">
        <v>87</v>
      </c>
      <c r="J245" t="s">
        <v>148</v>
      </c>
      <c r="K245" t="s">
        <v>23</v>
      </c>
      <c r="L245">
        <v>5170</v>
      </c>
      <c r="M245" s="10">
        <v>64.487962600000003</v>
      </c>
      <c r="N245" s="10">
        <v>-8.9810794628366537</v>
      </c>
      <c r="O245" s="10">
        <v>8.1406236556982054E-3</v>
      </c>
      <c r="P245" s="1" t="str">
        <f>HYPERLINK(".\sm_car_250819_2005\sm_car_250819_2005_244_Ca202TrN_MaCSF_DrSt_ode23t_1.png","figure")</f>
        <v>figure</v>
      </c>
      <c r="Q245" t="s">
        <v>15</v>
      </c>
    </row>
    <row r="246" spans="1:17" x14ac:dyDescent="0.25">
      <c r="A246">
        <v>245</v>
      </c>
      <c r="B246">
        <v>202</v>
      </c>
      <c r="C246" t="s">
        <v>45</v>
      </c>
      <c r="D246" t="s">
        <v>35</v>
      </c>
      <c r="E246" t="s">
        <v>107</v>
      </c>
      <c r="F246" t="s">
        <v>19</v>
      </c>
      <c r="G246" t="s">
        <v>20</v>
      </c>
      <c r="H246" t="s">
        <v>21</v>
      </c>
      <c r="I246" t="s">
        <v>78</v>
      </c>
      <c r="J246" t="s">
        <v>148</v>
      </c>
      <c r="K246" t="s">
        <v>23</v>
      </c>
      <c r="L246">
        <v>6856</v>
      </c>
      <c r="M246" s="10">
        <v>23.995108900000002</v>
      </c>
      <c r="N246" s="10">
        <v>-5.9984448776602655</v>
      </c>
      <c r="O246" s="10">
        <v>-6.1565516963316353E-3</v>
      </c>
      <c r="P246" s="1" t="str">
        <f>HYPERLINK(".\sm_car_250819_2005\sm_car_250819_2005_245_Ca202TrN_MaCMP_DrSt_ode23t_1.png","figure")</f>
        <v>figure</v>
      </c>
      <c r="Q246" t="s">
        <v>15</v>
      </c>
    </row>
    <row r="247" spans="1:17" x14ac:dyDescent="0.25">
      <c r="A247">
        <v>246</v>
      </c>
      <c r="B247">
        <v>202</v>
      </c>
      <c r="C247" t="s">
        <v>45</v>
      </c>
      <c r="D247" t="s">
        <v>35</v>
      </c>
      <c r="E247" t="s">
        <v>107</v>
      </c>
      <c r="F247" t="s">
        <v>19</v>
      </c>
      <c r="G247" t="s">
        <v>20</v>
      </c>
      <c r="H247" t="s">
        <v>21</v>
      </c>
      <c r="I247" t="s">
        <v>82</v>
      </c>
      <c r="J247" t="s">
        <v>148</v>
      </c>
      <c r="K247" t="s">
        <v>23</v>
      </c>
      <c r="L247">
        <v>20168</v>
      </c>
      <c r="M247" s="10">
        <v>75.987809200000001</v>
      </c>
      <c r="N247" s="10">
        <v>-5.9992500609755472</v>
      </c>
      <c r="O247" s="10">
        <v>-2.7898346811167908E-2</v>
      </c>
      <c r="P247" s="1" t="str">
        <f>HYPERLINK(".\sm_car_250819_2005\sm_car_250819_2005_246_Ca202TrN_MaCKY_DrSt_ode23t_1.png","figure")</f>
        <v>figure</v>
      </c>
      <c r="Q247" t="s">
        <v>15</v>
      </c>
    </row>
    <row r="248" spans="1:17" x14ac:dyDescent="0.25">
      <c r="A248">
        <v>247</v>
      </c>
      <c r="B248">
        <v>202</v>
      </c>
      <c r="C248" t="s">
        <v>45</v>
      </c>
      <c r="D248" t="s">
        <v>35</v>
      </c>
      <c r="E248" t="s">
        <v>107</v>
      </c>
      <c r="F248" t="s">
        <v>19</v>
      </c>
      <c r="G248" t="s">
        <v>20</v>
      </c>
      <c r="H248" t="s">
        <v>21</v>
      </c>
      <c r="I248" t="s">
        <v>75</v>
      </c>
      <c r="J248" t="s">
        <v>148</v>
      </c>
      <c r="K248" t="s">
        <v>23</v>
      </c>
      <c r="L248">
        <v>454</v>
      </c>
      <c r="M248" s="10">
        <v>2.4772409</v>
      </c>
      <c r="N248" s="10">
        <v>381.04324619338598</v>
      </c>
      <c r="O248" s="10">
        <v>0.33348601137820216</v>
      </c>
      <c r="P248" s="1" t="str">
        <f>HYPERLINK(".\sm_car_250819_2005\sm_car_250819_2005_247_Ca202TrN_MaCPL_DrSt_ode23t_1.png","figure")</f>
        <v>figure</v>
      </c>
      <c r="Q248" t="s">
        <v>15</v>
      </c>
    </row>
    <row r="249" spans="1:17" x14ac:dyDescent="0.25">
      <c r="A249">
        <v>248</v>
      </c>
      <c r="B249">
        <v>140</v>
      </c>
      <c r="C249" t="s">
        <v>45</v>
      </c>
      <c r="D249" t="s">
        <v>17</v>
      </c>
      <c r="E249" t="s">
        <v>49</v>
      </c>
      <c r="F249" t="s">
        <v>19</v>
      </c>
      <c r="G249" t="s">
        <v>26</v>
      </c>
      <c r="H249" t="s">
        <v>21</v>
      </c>
      <c r="I249" t="s">
        <v>112</v>
      </c>
      <c r="J249" t="s">
        <v>148</v>
      </c>
      <c r="K249" t="s">
        <v>23</v>
      </c>
      <c r="L249">
        <v>2684</v>
      </c>
      <c r="M249" s="10">
        <v>37.674539199999998</v>
      </c>
      <c r="N249" s="10">
        <v>189.1537787417152</v>
      </c>
      <c r="O249" s="10">
        <v>7.0678454743083213E-4</v>
      </c>
      <c r="P249" s="1" t="str">
        <f>HYPERLINK(".\sm_car_250819_2005\sm_car_250819_2005_248_Ca140TrN_MaCRR_DrSt_ode23t_1.png","figure")</f>
        <v>figure</v>
      </c>
      <c r="Q249" t="s">
        <v>15</v>
      </c>
    </row>
    <row r="250" spans="1:17" x14ac:dyDescent="0.25">
      <c r="A250">
        <v>249</v>
      </c>
      <c r="B250">
        <v>189</v>
      </c>
      <c r="C250" t="s">
        <v>45</v>
      </c>
      <c r="D250" t="s">
        <v>17</v>
      </c>
      <c r="E250" t="s">
        <v>107</v>
      </c>
      <c r="F250" t="s">
        <v>19</v>
      </c>
      <c r="G250" t="s">
        <v>26</v>
      </c>
      <c r="H250" t="s">
        <v>21</v>
      </c>
      <c r="I250" t="s">
        <v>112</v>
      </c>
      <c r="J250" t="s">
        <v>148</v>
      </c>
      <c r="K250" t="s">
        <v>23</v>
      </c>
      <c r="L250">
        <v>3318</v>
      </c>
      <c r="M250" s="10">
        <v>34.270256699999997</v>
      </c>
      <c r="N250" s="10">
        <v>189.17620206453878</v>
      </c>
      <c r="O250" s="10">
        <v>6.878862487648777E-4</v>
      </c>
      <c r="P250" s="1" t="str">
        <f>HYPERLINK(".\sm_car_250819_2005\sm_car_250819_2005_249_Ca189TrN_MaCRR_DrSt_ode23t_1.png","figure")</f>
        <v>figure</v>
      </c>
      <c r="Q250" t="s">
        <v>15</v>
      </c>
    </row>
    <row r="251" spans="1:17" x14ac:dyDescent="0.25">
      <c r="A251">
        <v>250</v>
      </c>
      <c r="B251">
        <v>173</v>
      </c>
      <c r="C251" t="s">
        <v>45</v>
      </c>
      <c r="D251" t="s">
        <v>35</v>
      </c>
      <c r="E251" t="s">
        <v>49</v>
      </c>
      <c r="F251" t="s">
        <v>19</v>
      </c>
      <c r="G251" t="s">
        <v>90</v>
      </c>
      <c r="H251" t="s">
        <v>21</v>
      </c>
      <c r="I251" t="s">
        <v>91</v>
      </c>
      <c r="J251" t="s">
        <v>148</v>
      </c>
      <c r="K251" t="s">
        <v>92</v>
      </c>
      <c r="L251">
        <v>1587</v>
      </c>
      <c r="M251" s="10">
        <v>57.698078099999996</v>
      </c>
      <c r="N251" s="10">
        <v>51.298829935781683</v>
      </c>
      <c r="O251" s="10">
        <v>9.1599591944244337E-3</v>
      </c>
      <c r="P251" s="1" t="str">
        <f>HYPERLINK(".\sm_car_250819_2005\sm_car_250819_2005_250_Ca173TrN_MaDCA_DrSt_daessc_1.png","figure")</f>
        <v>figure</v>
      </c>
      <c r="Q251" t="s">
        <v>15</v>
      </c>
    </row>
    <row r="252" spans="1:17" x14ac:dyDescent="0.25">
      <c r="A252">
        <v>251</v>
      </c>
      <c r="B252">
        <v>173</v>
      </c>
      <c r="C252" t="s">
        <v>45</v>
      </c>
      <c r="D252" t="s">
        <v>35</v>
      </c>
      <c r="E252" t="s">
        <v>49</v>
      </c>
      <c r="F252" t="s">
        <v>19</v>
      </c>
      <c r="G252" t="s">
        <v>90</v>
      </c>
      <c r="H252" t="s">
        <v>21</v>
      </c>
      <c r="I252" t="s">
        <v>93</v>
      </c>
      <c r="J252" t="s">
        <v>148</v>
      </c>
      <c r="K252" t="s">
        <v>92</v>
      </c>
      <c r="L252">
        <v>4041</v>
      </c>
      <c r="M252" s="10">
        <v>96.580586800000006</v>
      </c>
      <c r="N252" s="10">
        <v>980.4632733911925</v>
      </c>
      <c r="O252" s="10">
        <v>0.73491364692126437</v>
      </c>
      <c r="P252" s="1" t="str">
        <f>HYPERLINK(".\sm_car_250819_2005\sm_car_250819_2005_251_Ca173TrN_MaDC1_DrSt_daessc_1.png","figure")</f>
        <v>figure</v>
      </c>
      <c r="Q252" t="s">
        <v>15</v>
      </c>
    </row>
    <row r="253" spans="1:17" x14ac:dyDescent="0.25">
      <c r="A253">
        <v>252</v>
      </c>
      <c r="B253">
        <v>165</v>
      </c>
      <c r="C253" t="s">
        <v>45</v>
      </c>
      <c r="D253" t="s">
        <v>35</v>
      </c>
      <c r="E253" t="s">
        <v>49</v>
      </c>
      <c r="F253" t="s">
        <v>19</v>
      </c>
      <c r="G253" t="s">
        <v>26</v>
      </c>
      <c r="H253" t="s">
        <v>21</v>
      </c>
      <c r="I253" t="s">
        <v>91</v>
      </c>
      <c r="J253" t="s">
        <v>148</v>
      </c>
      <c r="K253" t="s">
        <v>23</v>
      </c>
      <c r="L253">
        <v>319</v>
      </c>
      <c r="M253" s="10">
        <v>3.2968316999999998</v>
      </c>
      <c r="N253" s="10">
        <v>53.507825798039427</v>
      </c>
      <c r="O253" s="10">
        <v>1.0033532646644198E-2</v>
      </c>
      <c r="P253" s="1" t="str">
        <f>HYPERLINK(".\sm_car_250819_2005\sm_car_250819_2005_252_Ca165TrN_MaDCA_DrSt_ode23t_1.png","figure")</f>
        <v>figure</v>
      </c>
      <c r="Q253" t="s">
        <v>15</v>
      </c>
    </row>
    <row r="254" spans="1:17" x14ac:dyDescent="0.25">
      <c r="A254">
        <v>253</v>
      </c>
      <c r="B254">
        <v>165</v>
      </c>
      <c r="C254" t="s">
        <v>45</v>
      </c>
      <c r="D254" t="s">
        <v>35</v>
      </c>
      <c r="E254" t="s">
        <v>49</v>
      </c>
      <c r="F254" t="s">
        <v>19</v>
      </c>
      <c r="G254" t="s">
        <v>26</v>
      </c>
      <c r="H254" t="s">
        <v>21</v>
      </c>
      <c r="I254" t="s">
        <v>93</v>
      </c>
      <c r="J254" t="s">
        <v>148</v>
      </c>
      <c r="K254" t="s">
        <v>23</v>
      </c>
      <c r="L254">
        <v>1182</v>
      </c>
      <c r="M254" s="10">
        <v>7.700304</v>
      </c>
      <c r="N254" s="10">
        <v>992.65506057098503</v>
      </c>
      <c r="O254" s="10">
        <v>0.7551203870462696</v>
      </c>
      <c r="P254" s="1" t="str">
        <f>HYPERLINK(".\sm_car_250819_2005\sm_car_250819_2005_253_Ca165TrN_MaDC1_DrSt_ode23t_1.png","figure")</f>
        <v>figure</v>
      </c>
      <c r="Q254" t="s">
        <v>15</v>
      </c>
    </row>
    <row r="255" spans="1:17" x14ac:dyDescent="0.25">
      <c r="A255">
        <v>254</v>
      </c>
      <c r="B255">
        <v>196</v>
      </c>
      <c r="C255" t="s">
        <v>45</v>
      </c>
      <c r="D255" t="s">
        <v>35</v>
      </c>
      <c r="E255" t="s">
        <v>107</v>
      </c>
      <c r="F255" t="s">
        <v>19</v>
      </c>
      <c r="G255" t="s">
        <v>90</v>
      </c>
      <c r="H255" t="s">
        <v>21</v>
      </c>
      <c r="I255" t="s">
        <v>93</v>
      </c>
      <c r="J255" t="s">
        <v>148</v>
      </c>
      <c r="K255" t="s">
        <v>92</v>
      </c>
      <c r="L255">
        <v>3995</v>
      </c>
      <c r="M255" s="10">
        <v>44.333989799999998</v>
      </c>
      <c r="N255" s="10">
        <v>980.46717580551729</v>
      </c>
      <c r="O255" s="10">
        <v>0.73502578154387266</v>
      </c>
      <c r="P255" s="1" t="str">
        <f>HYPERLINK(".\sm_car_250819_2005\sm_car_250819_2005_254_Ca196TrN_MaDC1_DrSt_daessc_1.png","figure")</f>
        <v>figure</v>
      </c>
      <c r="Q255" t="s">
        <v>15</v>
      </c>
    </row>
    <row r="256" spans="1:17" x14ac:dyDescent="0.25">
      <c r="A256">
        <v>255</v>
      </c>
      <c r="B256">
        <v>179</v>
      </c>
      <c r="C256" t="s">
        <v>45</v>
      </c>
      <c r="D256" t="s">
        <v>57</v>
      </c>
      <c r="E256" t="s">
        <v>18</v>
      </c>
      <c r="F256" t="s">
        <v>19</v>
      </c>
      <c r="G256" t="s">
        <v>26</v>
      </c>
      <c r="H256" t="s">
        <v>21</v>
      </c>
      <c r="I256" t="s">
        <v>22</v>
      </c>
      <c r="J256" t="s">
        <v>148</v>
      </c>
      <c r="K256" t="s">
        <v>23</v>
      </c>
      <c r="L256">
        <v>488</v>
      </c>
      <c r="M256" s="10">
        <v>4.9911681000000003</v>
      </c>
      <c r="N256" s="10">
        <v>147.83078603734077</v>
      </c>
      <c r="O256" s="10">
        <v>9.6111912431596641E-2</v>
      </c>
      <c r="P256" s="1" t="str">
        <f>HYPERLINK(".\sm_car_250819_2005\sm_car_250819_2005_255_Ca179TrN_MaWOT_DrSt_ode23t_1.png","figure")</f>
        <v>figure</v>
      </c>
      <c r="Q256" t="s">
        <v>15</v>
      </c>
    </row>
    <row r="257" spans="1:17" x14ac:dyDescent="0.25">
      <c r="A257">
        <v>256</v>
      </c>
      <c r="B257">
        <v>180</v>
      </c>
      <c r="C257" t="s">
        <v>45</v>
      </c>
      <c r="D257" t="s">
        <v>57</v>
      </c>
      <c r="E257" t="s">
        <v>49</v>
      </c>
      <c r="F257" t="s">
        <v>19</v>
      </c>
      <c r="G257" t="s">
        <v>26</v>
      </c>
      <c r="H257" t="s">
        <v>21</v>
      </c>
      <c r="I257" t="s">
        <v>22</v>
      </c>
      <c r="J257" t="s">
        <v>148</v>
      </c>
      <c r="K257" t="s">
        <v>23</v>
      </c>
      <c r="L257">
        <v>507</v>
      </c>
      <c r="M257" s="10">
        <v>6.6131928999999996</v>
      </c>
      <c r="N257" s="10">
        <v>147.81395001150662</v>
      </c>
      <c r="O257" s="10">
        <v>9.5959638770709121E-2</v>
      </c>
      <c r="P257" s="1" t="str">
        <f>HYPERLINK(".\sm_car_250819_2005\sm_car_250819_2005_256_Ca180TrN_MaWOT_DrSt_ode23t_1.png","figure")</f>
        <v>figure</v>
      </c>
      <c r="Q257" t="s">
        <v>15</v>
      </c>
    </row>
    <row r="258" spans="1:17" x14ac:dyDescent="0.25">
      <c r="A258">
        <v>257</v>
      </c>
      <c r="B258">
        <v>197</v>
      </c>
      <c r="C258" t="s">
        <v>45</v>
      </c>
      <c r="D258" t="s">
        <v>57</v>
      </c>
      <c r="E258" t="s">
        <v>107</v>
      </c>
      <c r="F258" t="s">
        <v>19</v>
      </c>
      <c r="G258" t="s">
        <v>26</v>
      </c>
      <c r="H258" t="s">
        <v>21</v>
      </c>
      <c r="I258" t="s">
        <v>22</v>
      </c>
      <c r="J258" t="s">
        <v>148</v>
      </c>
      <c r="K258" t="s">
        <v>23</v>
      </c>
      <c r="L258">
        <v>443</v>
      </c>
      <c r="M258" s="10">
        <v>2.2190354999999999</v>
      </c>
      <c r="N258" s="10">
        <v>147.8138330775455</v>
      </c>
      <c r="O258" s="10">
        <v>9.5999477252044232E-2</v>
      </c>
      <c r="P258" s="1" t="str">
        <f>HYPERLINK(".\sm_car_250819_2005\sm_car_250819_2005_257_Ca197TrN_MaWOT_DrSt_ode23t_1.png","figure")</f>
        <v>figure</v>
      </c>
      <c r="Q258" t="s">
        <v>15</v>
      </c>
    </row>
    <row r="259" spans="1:17" x14ac:dyDescent="0.25">
      <c r="A259">
        <v>258</v>
      </c>
      <c r="B259">
        <v>182</v>
      </c>
      <c r="C259" t="s">
        <v>45</v>
      </c>
      <c r="D259" t="s">
        <v>17</v>
      </c>
      <c r="E259" t="s">
        <v>49</v>
      </c>
      <c r="F259" t="s">
        <v>19</v>
      </c>
      <c r="G259" t="s">
        <v>26</v>
      </c>
      <c r="H259" t="s">
        <v>21</v>
      </c>
      <c r="I259" t="s">
        <v>64</v>
      </c>
      <c r="J259" t="s">
        <v>148</v>
      </c>
      <c r="K259" t="s">
        <v>23</v>
      </c>
      <c r="L259">
        <v>432</v>
      </c>
      <c r="M259" s="10">
        <v>12.6548821</v>
      </c>
      <c r="N259" s="10">
        <v>61.834885539466271</v>
      </c>
      <c r="O259" s="10">
        <v>-24.150305155580263</v>
      </c>
      <c r="P259" s="1" t="str">
        <f>HYPERLINK(".\sm_car_250819_2005\sm_car_250819_2005_258_Ca182TrN_MaTUR_DrSt_ode23t_1.png","figure")</f>
        <v>figure</v>
      </c>
      <c r="Q259" t="s">
        <v>15</v>
      </c>
    </row>
    <row r="260" spans="1:17" x14ac:dyDescent="0.25">
      <c r="A260">
        <v>259</v>
      </c>
      <c r="B260">
        <v>203</v>
      </c>
      <c r="C260" t="s">
        <v>45</v>
      </c>
      <c r="D260" t="s">
        <v>17</v>
      </c>
      <c r="E260" t="s">
        <v>107</v>
      </c>
      <c r="F260" t="s">
        <v>19</v>
      </c>
      <c r="G260" t="s">
        <v>26</v>
      </c>
      <c r="H260" t="s">
        <v>21</v>
      </c>
      <c r="I260" t="s">
        <v>64</v>
      </c>
      <c r="J260" t="s">
        <v>148</v>
      </c>
      <c r="K260" t="s">
        <v>23</v>
      </c>
      <c r="L260">
        <v>369</v>
      </c>
      <c r="M260" s="10">
        <v>4.4962058999999996</v>
      </c>
      <c r="N260" s="10">
        <v>61.848255627251518</v>
      </c>
      <c r="O260" s="10">
        <v>-24.169725154647598</v>
      </c>
      <c r="P260" s="1" t="str">
        <f>HYPERLINK(".\sm_car_250819_2005\sm_car_250819_2005_259_Ca203TrN_MaTUR_DrSt_ode23t_1.png","figure")</f>
        <v>figure</v>
      </c>
      <c r="Q260" t="s">
        <v>15</v>
      </c>
    </row>
    <row r="261" spans="1:17" x14ac:dyDescent="0.25">
      <c r="A261">
        <v>260</v>
      </c>
      <c r="B261">
        <v>185</v>
      </c>
      <c r="C261" t="s">
        <v>45</v>
      </c>
      <c r="D261" t="s">
        <v>17</v>
      </c>
      <c r="E261" t="s">
        <v>18</v>
      </c>
      <c r="F261" t="s">
        <v>19</v>
      </c>
      <c r="G261" t="s">
        <v>26</v>
      </c>
      <c r="H261" t="s">
        <v>21</v>
      </c>
      <c r="I261" t="s">
        <v>64</v>
      </c>
      <c r="J261" t="s">
        <v>148</v>
      </c>
      <c r="K261" t="s">
        <v>23</v>
      </c>
      <c r="L261">
        <v>525</v>
      </c>
      <c r="M261" s="10">
        <v>20.307159800000001</v>
      </c>
      <c r="N261" s="10">
        <v>111.95281659102216</v>
      </c>
      <c r="O261" s="10">
        <v>-78.457169937270109</v>
      </c>
      <c r="P261" s="1" t="str">
        <f>HYPERLINK(".\sm_car_250819_2005\sm_car_250819_2005_260_Ca185TrN_MaTUR_DrSt_ode23t_1.png","figure")</f>
        <v>figure</v>
      </c>
      <c r="Q261" t="s">
        <v>15</v>
      </c>
    </row>
    <row r="262" spans="1:17" x14ac:dyDescent="0.25">
      <c r="A262">
        <v>261</v>
      </c>
      <c r="B262">
        <v>188</v>
      </c>
      <c r="C262" t="s">
        <v>45</v>
      </c>
      <c r="D262" t="s">
        <v>113</v>
      </c>
      <c r="E262" t="s">
        <v>49</v>
      </c>
      <c r="F262" t="s">
        <v>19</v>
      </c>
      <c r="G262" t="s">
        <v>26</v>
      </c>
      <c r="H262" t="s">
        <v>21</v>
      </c>
      <c r="I262" t="s">
        <v>64</v>
      </c>
      <c r="J262" t="s">
        <v>148</v>
      </c>
      <c r="K262" t="s">
        <v>23</v>
      </c>
      <c r="L262">
        <v>528</v>
      </c>
      <c r="M262" s="10">
        <v>6.7640037</v>
      </c>
      <c r="N262" s="10">
        <v>140.58325648899847</v>
      </c>
      <c r="O262" s="10">
        <v>-71.725293523771469</v>
      </c>
      <c r="P262" s="1" t="str">
        <f>HYPERLINK(".\sm_car_250819_2005\sm_car_250819_2005_261_Ca188TrN_MaTUR_DrSt_ode23t_1.png","figure")</f>
        <v>figure</v>
      </c>
      <c r="Q262" t="s">
        <v>15</v>
      </c>
    </row>
    <row r="263" spans="1:17" x14ac:dyDescent="0.25">
      <c r="A263">
        <v>262</v>
      </c>
      <c r="B263" t="s">
        <v>94</v>
      </c>
      <c r="C263" t="s">
        <v>95</v>
      </c>
      <c r="D263" t="s">
        <v>35</v>
      </c>
      <c r="E263" t="s">
        <v>18</v>
      </c>
      <c r="F263" t="s">
        <v>19</v>
      </c>
      <c r="G263" t="s">
        <v>96</v>
      </c>
      <c r="H263" t="s">
        <v>21</v>
      </c>
      <c r="I263" t="s">
        <v>22</v>
      </c>
      <c r="J263" t="s">
        <v>148</v>
      </c>
      <c r="K263" t="s">
        <v>23</v>
      </c>
      <c r="L263">
        <v>441</v>
      </c>
      <c r="M263" s="10">
        <v>14.3334344</v>
      </c>
      <c r="N263" s="10">
        <v>79.220922629445354</v>
      </c>
      <c r="O263" s="10">
        <v>-0.33365900389598846</v>
      </c>
      <c r="P263" s="1" t="str">
        <f>HYPERLINK(".\sm_car_250819_2005\sm_car_Axle3_250819_2005_262_CaAxle3_000TrN_MaWOT_DrSt_ode23t_1.png","figure")</f>
        <v>figure</v>
      </c>
      <c r="Q263" t="s">
        <v>15</v>
      </c>
    </row>
    <row r="264" spans="1:17" x14ac:dyDescent="0.25">
      <c r="A264">
        <v>263</v>
      </c>
      <c r="B264" t="s">
        <v>99</v>
      </c>
      <c r="C264" t="s">
        <v>100</v>
      </c>
      <c r="D264" t="s">
        <v>35</v>
      </c>
      <c r="E264" t="s">
        <v>18</v>
      </c>
      <c r="F264" t="s">
        <v>19</v>
      </c>
      <c r="G264" t="s">
        <v>96</v>
      </c>
      <c r="H264" t="s">
        <v>21</v>
      </c>
      <c r="I264" t="s">
        <v>22</v>
      </c>
      <c r="J264" t="s">
        <v>148</v>
      </c>
      <c r="K264" t="s">
        <v>23</v>
      </c>
      <c r="L264">
        <v>543</v>
      </c>
      <c r="M264" s="10">
        <v>15.6679078</v>
      </c>
      <c r="N264" s="10">
        <v>61.776447569510566</v>
      </c>
      <c r="O264" s="10">
        <v>-7.882066298347587E-2</v>
      </c>
      <c r="P264" s="1" t="str">
        <f>HYPERLINK(".\sm_car_250819_2005\sm_car_Axle3_250819_2005_263_CaAxle3_008TrN_MaWOT_DrSt_ode23t_1.png","figure")</f>
        <v>figure</v>
      </c>
      <c r="Q264" t="s">
        <v>15</v>
      </c>
    </row>
    <row r="265" spans="1:17" x14ac:dyDescent="0.25">
      <c r="A265">
        <v>264</v>
      </c>
      <c r="B265" t="s">
        <v>97</v>
      </c>
      <c r="C265" t="s">
        <v>95</v>
      </c>
      <c r="D265" t="s">
        <v>35</v>
      </c>
      <c r="E265" t="s">
        <v>49</v>
      </c>
      <c r="F265" t="s">
        <v>19</v>
      </c>
      <c r="G265" t="s">
        <v>98</v>
      </c>
      <c r="H265" t="s">
        <v>21</v>
      </c>
      <c r="I265" t="s">
        <v>22</v>
      </c>
      <c r="J265" t="s">
        <v>148</v>
      </c>
      <c r="K265" t="s">
        <v>23</v>
      </c>
      <c r="L265">
        <v>425</v>
      </c>
      <c r="M265" s="10">
        <v>12.961788200000001</v>
      </c>
      <c r="N265" s="10">
        <v>79.267785357633912</v>
      </c>
      <c r="O265" s="10">
        <v>-0.31325812773398548</v>
      </c>
      <c r="P265" s="1" t="str">
        <f>HYPERLINK(".\sm_car_250819_2005\sm_car_Axle3_250819_2005_264_CaAxle3_003TrN_MaWOT_DrSt_ode23t_1.png","figure")</f>
        <v>figure</v>
      </c>
      <c r="Q265" t="s">
        <v>15</v>
      </c>
    </row>
    <row r="266" spans="1:17" x14ac:dyDescent="0.25">
      <c r="A266">
        <v>265</v>
      </c>
      <c r="B266" t="s">
        <v>114</v>
      </c>
      <c r="C266" t="s">
        <v>95</v>
      </c>
      <c r="D266" t="s">
        <v>35</v>
      </c>
      <c r="E266" t="s">
        <v>107</v>
      </c>
      <c r="F266" t="s">
        <v>19</v>
      </c>
      <c r="G266" t="s">
        <v>98</v>
      </c>
      <c r="H266" t="s">
        <v>21</v>
      </c>
      <c r="I266" t="s">
        <v>22</v>
      </c>
      <c r="J266" t="s">
        <v>148</v>
      </c>
      <c r="K266" t="s">
        <v>23</v>
      </c>
      <c r="L266">
        <v>427</v>
      </c>
      <c r="M266" s="10">
        <v>2.0579939999999999</v>
      </c>
      <c r="N266" s="10">
        <v>80.145520056216895</v>
      </c>
      <c r="O266" s="10">
        <v>-0.31945069771391377</v>
      </c>
      <c r="P266" s="1" t="str">
        <f>HYPERLINK(".\sm_car_250819_2005\sm_car_Axle3_250819_2005_265_CaAxle3_017TrN_MaWOT_DrSt_ode23t_1.png","figure")</f>
        <v>figure</v>
      </c>
      <c r="Q266" t="s">
        <v>15</v>
      </c>
    </row>
    <row r="267" spans="1:17" x14ac:dyDescent="0.25">
      <c r="A267">
        <v>266</v>
      </c>
      <c r="B267" t="s">
        <v>101</v>
      </c>
      <c r="C267" t="s">
        <v>100</v>
      </c>
      <c r="D267" t="s">
        <v>35</v>
      </c>
      <c r="E267" t="s">
        <v>49</v>
      </c>
      <c r="F267" t="s">
        <v>19</v>
      </c>
      <c r="G267" t="s">
        <v>96</v>
      </c>
      <c r="H267" t="s">
        <v>102</v>
      </c>
      <c r="I267" t="s">
        <v>22</v>
      </c>
      <c r="J267" t="s">
        <v>148</v>
      </c>
      <c r="K267" t="s">
        <v>23</v>
      </c>
      <c r="L267">
        <v>392</v>
      </c>
      <c r="M267" s="10">
        <v>34.369986900000001</v>
      </c>
      <c r="N267" s="10">
        <v>44.189670453626576</v>
      </c>
      <c r="O267" s="10">
        <v>2.2667559725565202E-2</v>
      </c>
      <c r="P267" s="1" t="str">
        <f>HYPERLINK(".\sm_car_250819_2005\sm_car_Axle3_250819_2005_266_CaAxle3_010TrK_MaWOT_DrSt_ode23t_1.png","figure")</f>
        <v>figure</v>
      </c>
      <c r="Q267" t="s">
        <v>15</v>
      </c>
    </row>
    <row r="268" spans="1:17" x14ac:dyDescent="0.25">
      <c r="A268">
        <v>267</v>
      </c>
      <c r="B268" t="s">
        <v>101</v>
      </c>
      <c r="C268" t="s">
        <v>100</v>
      </c>
      <c r="D268" t="s">
        <v>35</v>
      </c>
      <c r="E268" t="s">
        <v>49</v>
      </c>
      <c r="F268" t="s">
        <v>19</v>
      </c>
      <c r="G268" t="s">
        <v>96</v>
      </c>
      <c r="H268" t="s">
        <v>102</v>
      </c>
      <c r="I268" t="s">
        <v>22</v>
      </c>
      <c r="J268" t="s">
        <v>148</v>
      </c>
      <c r="K268" t="s">
        <v>23</v>
      </c>
      <c r="L268">
        <v>406</v>
      </c>
      <c r="M268" s="10">
        <v>33.5372968</v>
      </c>
      <c r="N268" s="10">
        <v>44.315323063646517</v>
      </c>
      <c r="O268" s="10">
        <v>2.2834604036157842E-2</v>
      </c>
      <c r="P268" s="1" t="str">
        <f>HYPERLINK(".\sm_car_250819_2005\sm_car_Axle3_250819_2005_267_CaAxle3_010TrK_MaWOT_DrSt_ode23t_1.png","figure")</f>
        <v>figure</v>
      </c>
      <c r="Q268" t="s">
        <v>15</v>
      </c>
    </row>
    <row r="269" spans="1:17" x14ac:dyDescent="0.25">
      <c r="A269">
        <v>268</v>
      </c>
      <c r="B269" t="s">
        <v>115</v>
      </c>
      <c r="C269" t="s">
        <v>100</v>
      </c>
      <c r="D269" t="s">
        <v>35</v>
      </c>
      <c r="E269" t="s">
        <v>107</v>
      </c>
      <c r="F269" t="s">
        <v>19</v>
      </c>
      <c r="G269" t="s">
        <v>96</v>
      </c>
      <c r="H269" t="s">
        <v>102</v>
      </c>
      <c r="I269" t="s">
        <v>22</v>
      </c>
      <c r="J269" t="s">
        <v>148</v>
      </c>
      <c r="K269" t="s">
        <v>23</v>
      </c>
      <c r="L269">
        <v>398</v>
      </c>
      <c r="M269" s="10">
        <v>3.2758875000000001</v>
      </c>
      <c r="N269" s="10">
        <v>48.1835066105021</v>
      </c>
      <c r="O269" s="10">
        <v>2.6474473560836397E-2</v>
      </c>
      <c r="P269" s="1" t="str">
        <f>HYPERLINK(".\sm_car_250819_2005\sm_car_Axle3_250819_2005_268_CaAxle3_019TrK_MaWOT_DrSt_ode23t_1.png","figure")</f>
        <v>figure</v>
      </c>
      <c r="Q269" t="s">
        <v>15</v>
      </c>
    </row>
    <row r="270" spans="1:17" x14ac:dyDescent="0.25">
      <c r="A270">
        <v>269</v>
      </c>
      <c r="B270" t="s">
        <v>115</v>
      </c>
      <c r="C270" t="s">
        <v>100</v>
      </c>
      <c r="D270" t="s">
        <v>35</v>
      </c>
      <c r="E270" t="s">
        <v>107</v>
      </c>
      <c r="F270" t="s">
        <v>19</v>
      </c>
      <c r="G270" t="s">
        <v>96</v>
      </c>
      <c r="H270" t="s">
        <v>102</v>
      </c>
      <c r="I270" t="s">
        <v>22</v>
      </c>
      <c r="J270" t="s">
        <v>148</v>
      </c>
      <c r="K270" t="s">
        <v>23</v>
      </c>
      <c r="L270">
        <v>401</v>
      </c>
      <c r="M270" s="10">
        <v>3.0412378000000002</v>
      </c>
      <c r="N270" s="10">
        <v>48.113113515806859</v>
      </c>
      <c r="O270" s="10">
        <v>2.6374438288324573E-2</v>
      </c>
      <c r="P270" s="1" t="str">
        <f>HYPERLINK(".\sm_car_250819_2005\sm_car_Axle3_250819_2005_269_CaAxle3_019TrK_MaWOT_DrSt_ode23t_1.png","figure")</f>
        <v>figure</v>
      </c>
      <c r="Q270" t="s">
        <v>15</v>
      </c>
    </row>
    <row r="271" spans="1:17" x14ac:dyDescent="0.25">
      <c r="A271">
        <v>270</v>
      </c>
      <c r="B271" t="s">
        <v>115</v>
      </c>
      <c r="C271" t="s">
        <v>100</v>
      </c>
      <c r="D271" t="s">
        <v>35</v>
      </c>
      <c r="E271" t="s">
        <v>107</v>
      </c>
      <c r="F271" t="s">
        <v>19</v>
      </c>
      <c r="G271" t="s">
        <v>96</v>
      </c>
      <c r="H271" t="s">
        <v>102</v>
      </c>
      <c r="I271" t="s">
        <v>53</v>
      </c>
      <c r="J271" t="s">
        <v>148</v>
      </c>
      <c r="K271" t="s">
        <v>23</v>
      </c>
      <c r="L271">
        <v>648</v>
      </c>
      <c r="M271" s="10">
        <v>4.4620034000000004</v>
      </c>
      <c r="N271" s="10">
        <v>253.28174581125006</v>
      </c>
      <c r="O271" s="10">
        <v>-0.10904424990563966</v>
      </c>
      <c r="P271" s="1" t="str">
        <f>HYPERLINK(".\sm_car_250819_2005\sm_car_Axle3_250819_2005_270_CaAxle3_019TrK_MaDLC_DrSt_ode23t_1.png","figure")</f>
        <v>figure</v>
      </c>
      <c r="Q271" t="s">
        <v>15</v>
      </c>
    </row>
    <row r="272" spans="1:17" x14ac:dyDescent="0.25">
      <c r="A272">
        <v>271</v>
      </c>
      <c r="B272" t="s">
        <v>115</v>
      </c>
      <c r="C272" t="s">
        <v>100</v>
      </c>
      <c r="D272" t="s">
        <v>35</v>
      </c>
      <c r="E272" t="s">
        <v>107</v>
      </c>
      <c r="F272" t="s">
        <v>19</v>
      </c>
      <c r="G272" t="s">
        <v>96</v>
      </c>
      <c r="H272" t="s">
        <v>102</v>
      </c>
      <c r="I272" t="s">
        <v>53</v>
      </c>
      <c r="J272" t="s">
        <v>148</v>
      </c>
      <c r="K272" t="s">
        <v>23</v>
      </c>
      <c r="L272">
        <v>786</v>
      </c>
      <c r="M272" s="10">
        <v>4.7825788999999999</v>
      </c>
      <c r="N272" s="10">
        <v>254.37503725174702</v>
      </c>
      <c r="O272" s="10">
        <v>-0.11530575910884178</v>
      </c>
      <c r="P272" s="1" t="str">
        <f>HYPERLINK(".\sm_car_250819_2005\sm_car_Axle3_250819_2005_271_CaAxle3_019TrK_MaDLC_DrSt_ode23t_1.png","figure")</f>
        <v>figure</v>
      </c>
      <c r="Q272" t="s">
        <v>15</v>
      </c>
    </row>
    <row r="273" spans="1:17" x14ac:dyDescent="0.25">
      <c r="A273">
        <v>272</v>
      </c>
      <c r="B273" t="s">
        <v>115</v>
      </c>
      <c r="C273" t="s">
        <v>100</v>
      </c>
      <c r="D273" t="s">
        <v>35</v>
      </c>
      <c r="E273" t="s">
        <v>107</v>
      </c>
      <c r="F273" t="s">
        <v>19</v>
      </c>
      <c r="G273" t="s">
        <v>96</v>
      </c>
      <c r="H273" t="s">
        <v>102</v>
      </c>
      <c r="I273" t="s">
        <v>53</v>
      </c>
      <c r="J273" t="s">
        <v>148</v>
      </c>
      <c r="K273" t="s">
        <v>23</v>
      </c>
      <c r="L273">
        <v>632</v>
      </c>
      <c r="M273" s="10">
        <v>4.5770574999999996</v>
      </c>
      <c r="N273" s="10">
        <v>255.70186471592717</v>
      </c>
      <c r="O273" s="10">
        <v>-0.11654404198512802</v>
      </c>
      <c r="P273" s="1" t="str">
        <f>HYPERLINK(".\sm_car_250819_2005\sm_car_Axle3_250819_2005_272_CaAxle3_019TrK_MaDLC_DrSt_ode23t_1.png","figure")</f>
        <v>figure</v>
      </c>
      <c r="Q273" t="s">
        <v>15</v>
      </c>
    </row>
    <row r="274" spans="1:17" x14ac:dyDescent="0.25">
      <c r="A274">
        <v>273</v>
      </c>
      <c r="B274" t="s">
        <v>115</v>
      </c>
      <c r="C274" t="s">
        <v>100</v>
      </c>
      <c r="D274" t="s">
        <v>35</v>
      </c>
      <c r="E274" t="s">
        <v>107</v>
      </c>
      <c r="F274" t="s">
        <v>19</v>
      </c>
      <c r="G274" t="s">
        <v>96</v>
      </c>
      <c r="H274" t="s">
        <v>102</v>
      </c>
      <c r="I274" t="s">
        <v>53</v>
      </c>
      <c r="J274" t="s">
        <v>148</v>
      </c>
      <c r="K274" t="s">
        <v>23</v>
      </c>
      <c r="L274">
        <v>826</v>
      </c>
      <c r="M274" s="10">
        <v>4.8245461000000001</v>
      </c>
      <c r="N274" s="10">
        <v>253.29699687112469</v>
      </c>
      <c r="O274" s="10">
        <v>-0.10529592098726015</v>
      </c>
      <c r="P274" s="1" t="str">
        <f>HYPERLINK(".\sm_car_250819_2005\sm_car_Axle3_250819_2005_273_CaAxle3_019TrK_MaDLC_DrSt_ode23t_1.png","figure")</f>
        <v>figure</v>
      </c>
      <c r="Q274" t="s">
        <v>15</v>
      </c>
    </row>
    <row r="275" spans="1:17" x14ac:dyDescent="0.25">
      <c r="A275">
        <v>274</v>
      </c>
      <c r="B275" t="s">
        <v>138</v>
      </c>
      <c r="C275" t="s">
        <v>139</v>
      </c>
      <c r="D275" t="s">
        <v>35</v>
      </c>
      <c r="E275" t="s">
        <v>49</v>
      </c>
      <c r="F275" t="s">
        <v>19</v>
      </c>
      <c r="G275" t="s">
        <v>96</v>
      </c>
      <c r="H275" t="s">
        <v>102</v>
      </c>
      <c r="I275" t="s">
        <v>22</v>
      </c>
      <c r="J275" t="s">
        <v>148</v>
      </c>
      <c r="K275" t="s">
        <v>23</v>
      </c>
      <c r="L275">
        <v>375</v>
      </c>
      <c r="M275" s="10">
        <v>2.9627862999999999</v>
      </c>
      <c r="N275" s="10">
        <v>136.82772368936205</v>
      </c>
      <c r="O275" s="10">
        <v>0.19635776389535528</v>
      </c>
      <c r="P275" s="1" t="str">
        <f>HYPERLINK(".\sm_car_250819_2005\sm_car_Axle3_250819_2005_274_CaAxle3_023TrK_MaWOT_DrSt_ode23t_1.png","figure")</f>
        <v>figure</v>
      </c>
      <c r="Q275" t="s">
        <v>15</v>
      </c>
    </row>
  </sheetData>
  <autoFilter ref="A1:Q275" xr:uid="{318B720F-5E70-493C-9F71-EC830FC4F448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E3F1-A664-4F31-8237-7DF24ACFF24F}">
  <dimension ref="A1:S277"/>
  <sheetViews>
    <sheetView workbookViewId="0">
      <selection activeCell="L1" sqref="L1:L104857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S1" s="2" t="s">
        <v>173</v>
      </c>
    </row>
    <row r="2" spans="1:19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148</v>
      </c>
      <c r="K2" t="s">
        <v>23</v>
      </c>
      <c r="L2">
        <v>416</v>
      </c>
      <c r="M2">
        <v>6.3301674999999999</v>
      </c>
      <c r="N2">
        <v>230.11045501013601</v>
      </c>
      <c r="O2">
        <v>-6.4069828188937777E-3</v>
      </c>
      <c r="P2" s="1" t="str">
        <f>HYPERLINK(".\sm_car_250824_2329\sm_car_250824_2329_001_Ca000TrN_MaWOT_DrSt_ode23t.png","figure")</f>
        <v>figure</v>
      </c>
      <c r="Q2" t="s">
        <v>15</v>
      </c>
      <c r="S2" s="2" t="s">
        <v>116</v>
      </c>
    </row>
    <row r="3" spans="1:19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24</v>
      </c>
      <c r="J3" t="s">
        <v>148</v>
      </c>
      <c r="K3" t="s">
        <v>23</v>
      </c>
      <c r="L3">
        <v>536</v>
      </c>
      <c r="M3">
        <v>7.2308338000000001</v>
      </c>
      <c r="N3">
        <v>70.870636032636526</v>
      </c>
      <c r="O3">
        <v>-0.53444607256030063</v>
      </c>
      <c r="P3" s="1" t="str">
        <f>HYPERLINK(".\sm_car_250824_2329\sm_car_250824_2329_002_Ca000TrN_MaLSS_DrSt_ode23t.png","figure")</f>
        <v>figure</v>
      </c>
      <c r="Q3" t="s">
        <v>15</v>
      </c>
      <c r="S3" s="2" t="s">
        <v>117</v>
      </c>
    </row>
    <row r="4" spans="1:19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21</v>
      </c>
      <c r="I4" t="s">
        <v>22</v>
      </c>
      <c r="J4" t="s">
        <v>148</v>
      </c>
      <c r="K4" t="s">
        <v>23</v>
      </c>
      <c r="L4">
        <v>403</v>
      </c>
      <c r="M4">
        <v>7.0582916999999998</v>
      </c>
      <c r="N4">
        <v>229.2023361390462</v>
      </c>
      <c r="O4">
        <v>-1.6726552398236498E-2</v>
      </c>
      <c r="P4" s="1" t="str">
        <f>HYPERLINK(".\sm_car_250824_2329\sm_car_250824_2329_003_Ca001TrN_MaWOT_DrSt_ode23t.png","figure")</f>
        <v>figure</v>
      </c>
      <c r="Q4" t="s">
        <v>15</v>
      </c>
      <c r="S4" s="2" t="s">
        <v>164</v>
      </c>
    </row>
    <row r="5" spans="1:19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25</v>
      </c>
      <c r="H5" t="s">
        <v>21</v>
      </c>
      <c r="I5" t="s">
        <v>24</v>
      </c>
      <c r="J5" t="s">
        <v>148</v>
      </c>
      <c r="K5" t="s">
        <v>23</v>
      </c>
      <c r="L5">
        <v>505</v>
      </c>
      <c r="M5">
        <v>8.1187155999999998</v>
      </c>
      <c r="N5">
        <v>70.602052477448424</v>
      </c>
      <c r="O5">
        <v>-0.52933590327780344</v>
      </c>
      <c r="P5" s="1" t="str">
        <f>HYPERLINK(".\sm_car_250824_2329\sm_car_250824_2329_004_Ca001TrN_MaLSS_DrSt_ode23t.png","figure")</f>
        <v>figure</v>
      </c>
      <c r="Q5" t="s">
        <v>15</v>
      </c>
      <c r="S5" t="s">
        <v>174</v>
      </c>
    </row>
    <row r="6" spans="1:19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26</v>
      </c>
      <c r="H6" t="s">
        <v>21</v>
      </c>
      <c r="I6" t="s">
        <v>22</v>
      </c>
      <c r="J6" t="s">
        <v>148</v>
      </c>
      <c r="K6" t="s">
        <v>23</v>
      </c>
      <c r="L6">
        <v>441</v>
      </c>
      <c r="M6">
        <v>10.9216962</v>
      </c>
      <c r="N6">
        <v>229.14618664616387</v>
      </c>
      <c r="O6">
        <v>4.9843218616042025E-2</v>
      </c>
      <c r="P6" s="1" t="str">
        <f>HYPERLINK(".\sm_car_250824_2329\sm_car_250824_2329_005_Ca002TrN_MaWOT_DrSt_ode23t.png","figure")</f>
        <v>figure</v>
      </c>
      <c r="Q6" t="s">
        <v>15</v>
      </c>
    </row>
    <row r="7" spans="1:19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26</v>
      </c>
      <c r="H7" t="s">
        <v>21</v>
      </c>
      <c r="I7" t="s">
        <v>24</v>
      </c>
      <c r="J7" t="s">
        <v>148</v>
      </c>
      <c r="K7" t="s">
        <v>23</v>
      </c>
      <c r="L7">
        <v>533</v>
      </c>
      <c r="M7">
        <v>10.868449</v>
      </c>
      <c r="N7">
        <v>70.582574800098868</v>
      </c>
      <c r="O7">
        <v>-0.5225752399123339</v>
      </c>
      <c r="P7" s="1" t="str">
        <f>HYPERLINK(".\sm_car_250824_2329\sm_car_250824_2329_006_Ca002TrN_MaLSS_DrSt_ode23t.png","figure")</f>
        <v>figure</v>
      </c>
      <c r="Q7" t="s">
        <v>15</v>
      </c>
    </row>
    <row r="8" spans="1:19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27</v>
      </c>
      <c r="H8" t="s">
        <v>21</v>
      </c>
      <c r="I8" t="s">
        <v>22</v>
      </c>
      <c r="J8" t="s">
        <v>148</v>
      </c>
      <c r="K8" t="s">
        <v>23</v>
      </c>
      <c r="L8">
        <v>480</v>
      </c>
      <c r="M8">
        <v>11.8739939</v>
      </c>
      <c r="N8">
        <v>228.66807335611335</v>
      </c>
      <c r="O8">
        <v>4.9135838966006311E-2</v>
      </c>
      <c r="P8" s="1" t="str">
        <f>HYPERLINK(".\sm_car_250824_2329\sm_car_250824_2329_007_Ca003TrN_MaWOT_DrSt_ode23t.png","figure")</f>
        <v>figure</v>
      </c>
      <c r="Q8" t="s">
        <v>15</v>
      </c>
    </row>
    <row r="9" spans="1:19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27</v>
      </c>
      <c r="H9" t="s">
        <v>21</v>
      </c>
      <c r="I9" t="s">
        <v>24</v>
      </c>
      <c r="J9" t="s">
        <v>148</v>
      </c>
      <c r="K9" t="s">
        <v>23</v>
      </c>
      <c r="L9">
        <v>541</v>
      </c>
      <c r="M9">
        <v>11.4878623</v>
      </c>
      <c r="N9">
        <v>70.458171650248374</v>
      </c>
      <c r="O9">
        <v>-0.52119416231414462</v>
      </c>
      <c r="P9" s="1" t="str">
        <f>HYPERLINK(".\sm_car_250824_2329\sm_car_250824_2329_008_Ca003TrN_MaLSS_DrSt_ode23t.png","figure")</f>
        <v>figure</v>
      </c>
      <c r="Q9" t="s">
        <v>15</v>
      </c>
    </row>
    <row r="10" spans="1:19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20</v>
      </c>
      <c r="H10" t="s">
        <v>21</v>
      </c>
      <c r="I10" t="s">
        <v>22</v>
      </c>
      <c r="J10" t="s">
        <v>148</v>
      </c>
      <c r="K10" t="s">
        <v>23</v>
      </c>
      <c r="L10">
        <v>1102</v>
      </c>
      <c r="M10">
        <v>10.3769197</v>
      </c>
      <c r="N10">
        <v>230.06991908943164</v>
      </c>
      <c r="O10">
        <v>-1.1791141717215226E-2</v>
      </c>
      <c r="P10" s="1" t="str">
        <f>HYPERLINK(".\sm_car_250824_2329\sm_car_250824_2329_009_Ca004TrN_MaWOT_DrSt_ode23t.png","figure")</f>
        <v>figure</v>
      </c>
      <c r="Q10" t="s">
        <v>15</v>
      </c>
    </row>
    <row r="11" spans="1:19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20</v>
      </c>
      <c r="H11" t="s">
        <v>21</v>
      </c>
      <c r="I11" t="s">
        <v>24</v>
      </c>
      <c r="J11" t="s">
        <v>148</v>
      </c>
      <c r="K11" t="s">
        <v>23</v>
      </c>
      <c r="L11">
        <v>1231</v>
      </c>
      <c r="M11">
        <v>12.0413025</v>
      </c>
      <c r="N11">
        <v>70.885260269211827</v>
      </c>
      <c r="O11">
        <v>-0.53750320931050044</v>
      </c>
      <c r="P11" s="1" t="str">
        <f>HYPERLINK(".\sm_car_250824_2329\sm_car_250824_2329_010_Ca004TrN_MaLSS_DrSt_ode23t.png","figure")</f>
        <v>figure</v>
      </c>
      <c r="Q11" t="s">
        <v>15</v>
      </c>
    </row>
    <row r="12" spans="1:19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25</v>
      </c>
      <c r="H12" t="s">
        <v>21</v>
      </c>
      <c r="I12" t="s">
        <v>22</v>
      </c>
      <c r="J12" t="s">
        <v>148</v>
      </c>
      <c r="K12" t="s">
        <v>23</v>
      </c>
      <c r="L12">
        <v>1088</v>
      </c>
      <c r="M12">
        <v>11.679128800000001</v>
      </c>
      <c r="N12">
        <v>228.74756262871091</v>
      </c>
      <c r="O12">
        <v>-1.2898904690793623E-2</v>
      </c>
      <c r="P12" s="1" t="str">
        <f>HYPERLINK(".\sm_car_250824_2329\sm_car_250824_2329_011_Ca005TrN_MaWOT_DrSt_ode23t.png","figure")</f>
        <v>figure</v>
      </c>
      <c r="Q12" t="s">
        <v>15</v>
      </c>
    </row>
    <row r="13" spans="1:19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25</v>
      </c>
      <c r="H13" t="s">
        <v>21</v>
      </c>
      <c r="I13" t="s">
        <v>24</v>
      </c>
      <c r="J13" t="s">
        <v>148</v>
      </c>
      <c r="K13" t="s">
        <v>23</v>
      </c>
      <c r="L13">
        <v>1214</v>
      </c>
      <c r="M13">
        <v>13.5287881</v>
      </c>
      <c r="N13">
        <v>70.596546137576425</v>
      </c>
      <c r="O13">
        <v>-0.5314056639892103</v>
      </c>
      <c r="P13" s="1" t="str">
        <f>HYPERLINK(".\sm_car_250824_2329\sm_car_250824_2329_012_Ca005TrN_MaLSS_DrSt_ode23t.png","figure")</f>
        <v>figure</v>
      </c>
      <c r="Q13" t="s">
        <v>15</v>
      </c>
    </row>
    <row r="14" spans="1:19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26</v>
      </c>
      <c r="H14" t="s">
        <v>21</v>
      </c>
      <c r="I14" t="s">
        <v>22</v>
      </c>
      <c r="J14" t="s">
        <v>148</v>
      </c>
      <c r="K14" t="s">
        <v>23</v>
      </c>
      <c r="L14">
        <v>1215</v>
      </c>
      <c r="M14">
        <v>15.4465143</v>
      </c>
      <c r="N14">
        <v>229.07836669584987</v>
      </c>
      <c r="O14">
        <v>4.6848233913051984E-2</v>
      </c>
      <c r="P14" s="1" t="str">
        <f>HYPERLINK(".\sm_car_250824_2329\sm_car_250824_2329_013_Ca006TrN_MaWOT_DrSt_ode23t.png","figure")</f>
        <v>figure</v>
      </c>
      <c r="Q14" t="s">
        <v>15</v>
      </c>
    </row>
    <row r="15" spans="1:19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26</v>
      </c>
      <c r="H15" t="s">
        <v>21</v>
      </c>
      <c r="I15" t="s">
        <v>24</v>
      </c>
      <c r="J15" t="s">
        <v>148</v>
      </c>
      <c r="K15" t="s">
        <v>23</v>
      </c>
      <c r="L15">
        <v>1286</v>
      </c>
      <c r="M15">
        <v>14.033322399999999</v>
      </c>
      <c r="N15">
        <v>70.592194421357917</v>
      </c>
      <c r="O15">
        <v>-0.52829649999610007</v>
      </c>
      <c r="P15" s="1" t="str">
        <f>HYPERLINK(".\sm_car_250824_2329\sm_car_250824_2329_014_Ca006TrN_MaLSS_DrSt_ode23t.png","figure")</f>
        <v>figure</v>
      </c>
      <c r="Q15" t="s">
        <v>15</v>
      </c>
    </row>
    <row r="16" spans="1:19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27</v>
      </c>
      <c r="H16" t="s">
        <v>21</v>
      </c>
      <c r="I16" t="s">
        <v>22</v>
      </c>
      <c r="J16" t="s">
        <v>148</v>
      </c>
      <c r="K16" t="s">
        <v>23</v>
      </c>
      <c r="L16">
        <v>1166</v>
      </c>
      <c r="M16">
        <v>13.4912656</v>
      </c>
      <c r="N16">
        <v>228.5243468678357</v>
      </c>
      <c r="O16">
        <v>4.5076339614135381E-2</v>
      </c>
      <c r="P16" s="1" t="str">
        <f>HYPERLINK(".\sm_car_250824_2329\sm_car_250824_2329_015_Ca007TrN_MaWOT_DrSt_ode23t.png","figure")</f>
        <v>figure</v>
      </c>
      <c r="Q16" t="s">
        <v>15</v>
      </c>
    </row>
    <row r="17" spans="1:17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27</v>
      </c>
      <c r="H17" t="s">
        <v>21</v>
      </c>
      <c r="I17" t="s">
        <v>24</v>
      </c>
      <c r="J17" t="s">
        <v>148</v>
      </c>
      <c r="K17" t="s">
        <v>23</v>
      </c>
      <c r="L17">
        <v>1270</v>
      </c>
      <c r="M17">
        <v>15.851503599999999</v>
      </c>
      <c r="N17">
        <v>70.462921737557778</v>
      </c>
      <c r="O17">
        <v>-0.52297546253415805</v>
      </c>
      <c r="P17" s="1" t="str">
        <f>HYPERLINK(".\sm_car_250824_2329\sm_car_250824_2329_016_Ca007TrN_MaLSS_DrSt_ode23t.png","figure")</f>
        <v>figure</v>
      </c>
      <c r="Q17" t="s">
        <v>15</v>
      </c>
    </row>
    <row r="18" spans="1:17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148</v>
      </c>
      <c r="K18" t="s">
        <v>23</v>
      </c>
      <c r="L18">
        <v>407</v>
      </c>
      <c r="M18">
        <v>5.8417081</v>
      </c>
      <c r="N18">
        <v>230.72588787159594</v>
      </c>
      <c r="O18">
        <v>-7.4083687681159943E-2</v>
      </c>
      <c r="P18" s="1" t="str">
        <f>HYPERLINK(".\sm_car_250824_2329\sm_car_250824_2329_017_Ca016TrN_MaWOT_DrSt_ode23t.png","figure")</f>
        <v>figure</v>
      </c>
      <c r="Q18" t="s">
        <v>15</v>
      </c>
    </row>
    <row r="19" spans="1:17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20</v>
      </c>
      <c r="H19" t="s">
        <v>21</v>
      </c>
      <c r="I19" t="s">
        <v>24</v>
      </c>
      <c r="J19" t="s">
        <v>148</v>
      </c>
      <c r="K19" t="s">
        <v>23</v>
      </c>
      <c r="L19">
        <v>497</v>
      </c>
      <c r="M19">
        <v>5.8571574000000002</v>
      </c>
      <c r="N19">
        <v>71.1446454734604</v>
      </c>
      <c r="O19">
        <v>-2.1754912716215807E-2</v>
      </c>
      <c r="P19" s="1" t="str">
        <f>HYPERLINK(".\sm_car_250824_2329\sm_car_250824_2329_018_Ca016TrN_MaLSS_DrSt_ode23t.png","figure")</f>
        <v>figure</v>
      </c>
      <c r="Q19" t="s">
        <v>15</v>
      </c>
    </row>
    <row r="20" spans="1:17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148</v>
      </c>
      <c r="K20" t="s">
        <v>23</v>
      </c>
      <c r="L20">
        <v>406</v>
      </c>
      <c r="M20">
        <v>7.4343741999999997</v>
      </c>
      <c r="N20">
        <v>230.03027069408438</v>
      </c>
      <c r="O20">
        <v>4.547350097684563E-3</v>
      </c>
      <c r="P20" s="1" t="str">
        <f>HYPERLINK(".\sm_car_250824_2329\sm_car_250824_2329_019_Ca032TrN_MaWOT_DrSt_ode23t.png","figure")</f>
        <v>figure</v>
      </c>
      <c r="Q20" t="s">
        <v>15</v>
      </c>
    </row>
    <row r="21" spans="1:17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20</v>
      </c>
      <c r="H21" t="s">
        <v>21</v>
      </c>
      <c r="I21" t="s">
        <v>24</v>
      </c>
      <c r="J21" t="s">
        <v>148</v>
      </c>
      <c r="K21" t="s">
        <v>23</v>
      </c>
      <c r="L21">
        <v>528</v>
      </c>
      <c r="M21">
        <v>8.1103868000000006</v>
      </c>
      <c r="N21">
        <v>70.885847502650094</v>
      </c>
      <c r="O21">
        <v>-0.51602338166764228</v>
      </c>
      <c r="P21" s="1" t="str">
        <f>HYPERLINK(".\sm_car_250824_2329\sm_car_250824_2329_020_Ca032TrN_MaLSS_DrSt_ode23t.png","figure")</f>
        <v>figure</v>
      </c>
      <c r="Q21" t="s">
        <v>15</v>
      </c>
    </row>
    <row r="22" spans="1:17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148</v>
      </c>
      <c r="K22" t="s">
        <v>23</v>
      </c>
      <c r="L22">
        <v>413</v>
      </c>
      <c r="M22">
        <v>7.4731005000000001</v>
      </c>
      <c r="N22">
        <v>229.79925175338818</v>
      </c>
      <c r="O22">
        <v>-2.1690564370559363E-2</v>
      </c>
      <c r="P22" s="1" t="str">
        <f>HYPERLINK(".\sm_car_250824_2329\sm_car_250824_2329_021_Ca048TrN_MaWOT_DrSt_ode23t.png","figure")</f>
        <v>figure</v>
      </c>
      <c r="Q22" t="s">
        <v>15</v>
      </c>
    </row>
    <row r="23" spans="1:17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20</v>
      </c>
      <c r="H23" t="s">
        <v>21</v>
      </c>
      <c r="I23" t="s">
        <v>24</v>
      </c>
      <c r="J23" t="s">
        <v>148</v>
      </c>
      <c r="K23" t="s">
        <v>23</v>
      </c>
      <c r="L23">
        <v>523</v>
      </c>
      <c r="M23">
        <v>7.9474589</v>
      </c>
      <c r="N23">
        <v>70.863163512362746</v>
      </c>
      <c r="O23">
        <v>-0.52228485212698739</v>
      </c>
      <c r="P23" s="1" t="str">
        <f>HYPERLINK(".\sm_car_250824_2329\sm_car_250824_2329_022_Ca048TrN_MaLSS_DrSt_ode23t.png","figure")</f>
        <v>figure</v>
      </c>
      <c r="Q23" t="s">
        <v>15</v>
      </c>
    </row>
    <row r="24" spans="1:17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 t="s">
        <v>148</v>
      </c>
      <c r="K24" t="s">
        <v>23</v>
      </c>
      <c r="L24">
        <v>412</v>
      </c>
      <c r="M24">
        <v>7.9780005999999997</v>
      </c>
      <c r="N24">
        <v>229.96359211485589</v>
      </c>
      <c r="O24">
        <v>4.2572337602979921E-3</v>
      </c>
      <c r="P24" s="1" t="str">
        <f>HYPERLINK(".\sm_car_250824_2329\sm_car_250824_2329_023_Ca064TrN_MaWOT_DrSt_ode23t.png","figure")</f>
        <v>figure</v>
      </c>
      <c r="Q24" t="s">
        <v>15</v>
      </c>
    </row>
    <row r="25" spans="1:17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20</v>
      </c>
      <c r="H25" t="s">
        <v>21</v>
      </c>
      <c r="I25" t="s">
        <v>24</v>
      </c>
      <c r="J25" t="s">
        <v>148</v>
      </c>
      <c r="K25" t="s">
        <v>23</v>
      </c>
      <c r="L25">
        <v>503</v>
      </c>
      <c r="M25">
        <v>8.1193795000000009</v>
      </c>
      <c r="N25">
        <v>70.895195347557305</v>
      </c>
      <c r="O25">
        <v>-0.51144989480349567</v>
      </c>
      <c r="P25" s="1" t="str">
        <f>HYPERLINK(".\sm_car_250824_2329\sm_car_250824_2329_024_Ca064TrN_MaLSS_DrSt_ode23t.png","figure")</f>
        <v>figure</v>
      </c>
      <c r="Q25" t="s">
        <v>15</v>
      </c>
    </row>
    <row r="26" spans="1:17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148</v>
      </c>
      <c r="K26" t="s">
        <v>23</v>
      </c>
      <c r="L26">
        <v>409</v>
      </c>
      <c r="M26">
        <v>9.2990771999999993</v>
      </c>
      <c r="N26">
        <v>229.82358304714037</v>
      </c>
      <c r="O26">
        <v>-2.4472098816911116E-2</v>
      </c>
      <c r="P26" s="1" t="str">
        <f>HYPERLINK(".\sm_car_250824_2329\sm_car_250824_2329_025_Ca080TrN_MaWOT_DrSt_ode23t.png","figure")</f>
        <v>figure</v>
      </c>
      <c r="Q26" t="s">
        <v>15</v>
      </c>
    </row>
    <row r="27" spans="1:17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20</v>
      </c>
      <c r="H27" t="s">
        <v>21</v>
      </c>
      <c r="I27" t="s">
        <v>24</v>
      </c>
      <c r="J27" t="s">
        <v>148</v>
      </c>
      <c r="K27" t="s">
        <v>23</v>
      </c>
      <c r="L27">
        <v>533</v>
      </c>
      <c r="M27">
        <v>8.6694697999999999</v>
      </c>
      <c r="N27">
        <v>70.869728983456937</v>
      </c>
      <c r="O27">
        <v>-0.52043555953802989</v>
      </c>
      <c r="P27" s="1" t="str">
        <f>HYPERLINK(".\sm_car_250824_2329\sm_car_250824_2329_026_Ca080TrN_MaLSS_DrSt_ode23t.png","figure")</f>
        <v>figure</v>
      </c>
      <c r="Q27" t="s">
        <v>15</v>
      </c>
    </row>
    <row r="28" spans="1:17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148</v>
      </c>
      <c r="K28" t="s">
        <v>23</v>
      </c>
      <c r="L28">
        <v>399</v>
      </c>
      <c r="M28">
        <v>6.0902852999999997</v>
      </c>
      <c r="N28">
        <v>231.5613580141526</v>
      </c>
      <c r="O28">
        <v>1.8423419510803583E-2</v>
      </c>
      <c r="P28" s="1" t="str">
        <f>HYPERLINK(".\sm_car_250824_2329\sm_car_250824_2329_027_Ca096TrN_MaWOT_DrSt_ode23t.png","figure")</f>
        <v>figure</v>
      </c>
      <c r="Q28" t="s">
        <v>15</v>
      </c>
    </row>
    <row r="29" spans="1:17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20</v>
      </c>
      <c r="H29" t="s">
        <v>21</v>
      </c>
      <c r="I29" t="s">
        <v>24</v>
      </c>
      <c r="J29" t="s">
        <v>148</v>
      </c>
      <c r="K29" t="s">
        <v>23</v>
      </c>
      <c r="L29">
        <v>518</v>
      </c>
      <c r="M29">
        <v>6.7721894999999996</v>
      </c>
      <c r="N29">
        <v>71.376614032968362</v>
      </c>
      <c r="O29">
        <v>-0.52122989114972951</v>
      </c>
      <c r="P29" s="1" t="str">
        <f>HYPERLINK(".\sm_car_250824_2329\sm_car_250824_2329_028_Ca096TrN_MaLSS_DrSt_ode23t.png","figure")</f>
        <v>figure</v>
      </c>
      <c r="Q29" t="s">
        <v>15</v>
      </c>
    </row>
    <row r="30" spans="1:17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 t="s">
        <v>148</v>
      </c>
      <c r="K30" t="s">
        <v>23</v>
      </c>
      <c r="L30">
        <v>371</v>
      </c>
      <c r="M30">
        <v>2.6396302999999999</v>
      </c>
      <c r="N30">
        <v>242.6385086934819</v>
      </c>
      <c r="O30">
        <v>0.23540517481115167</v>
      </c>
      <c r="P30" s="1" t="str">
        <f>HYPERLINK(".\sm_car_250824_2329\sm_car_250824_2329_029_Ca112TrN_MaWOT_DrSt_ode23t.png","figure")</f>
        <v>figure</v>
      </c>
      <c r="Q30" t="s">
        <v>15</v>
      </c>
    </row>
    <row r="31" spans="1:17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20</v>
      </c>
      <c r="H31" t="s">
        <v>21</v>
      </c>
      <c r="I31" t="s">
        <v>24</v>
      </c>
      <c r="J31" t="s">
        <v>148</v>
      </c>
      <c r="K31" t="s">
        <v>23</v>
      </c>
      <c r="L31">
        <v>484</v>
      </c>
      <c r="M31">
        <v>2.9512752</v>
      </c>
      <c r="N31">
        <v>74.671083334168515</v>
      </c>
      <c r="O31">
        <v>-0.3369934257717313</v>
      </c>
      <c r="P31" s="1" t="str">
        <f>HYPERLINK(".\sm_car_250824_2329\sm_car_250824_2329_030_Ca112TrN_MaLSS_DrSt_ode23t.png","figure")</f>
        <v>figure</v>
      </c>
      <c r="Q31" t="s">
        <v>15</v>
      </c>
    </row>
    <row r="32" spans="1:17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25</v>
      </c>
      <c r="H32" t="s">
        <v>21</v>
      </c>
      <c r="I32" t="s">
        <v>22</v>
      </c>
      <c r="J32" t="s">
        <v>148</v>
      </c>
      <c r="K32" t="s">
        <v>23</v>
      </c>
      <c r="L32">
        <v>376</v>
      </c>
      <c r="M32">
        <v>3.0113436999999998</v>
      </c>
      <c r="N32">
        <v>241.62953780953444</v>
      </c>
      <c r="O32">
        <v>0.23230223293694249</v>
      </c>
      <c r="P32" s="1" t="str">
        <f>HYPERLINK(".\sm_car_250824_2329\sm_car_250824_2329_031_Ca113TrN_MaWOT_DrSt_ode23t.png","figure")</f>
        <v>figure</v>
      </c>
      <c r="Q32" t="s">
        <v>15</v>
      </c>
    </row>
    <row r="33" spans="1:17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25</v>
      </c>
      <c r="H33" t="s">
        <v>21</v>
      </c>
      <c r="I33" t="s">
        <v>24</v>
      </c>
      <c r="J33" t="s">
        <v>148</v>
      </c>
      <c r="K33" t="s">
        <v>23</v>
      </c>
      <c r="L33">
        <v>484</v>
      </c>
      <c r="M33">
        <v>3.1365395999999999</v>
      </c>
      <c r="N33">
        <v>74.340098687509567</v>
      </c>
      <c r="O33">
        <v>-0.33372692734011278</v>
      </c>
      <c r="P33" s="1" t="str">
        <f>HYPERLINK(".\sm_car_250824_2329\sm_car_250824_2329_032_Ca113TrN_MaLSS_DrSt_ode23t.png","figure")</f>
        <v>figure</v>
      </c>
      <c r="Q33" t="s">
        <v>15</v>
      </c>
    </row>
    <row r="34" spans="1:17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26</v>
      </c>
      <c r="H34" t="s">
        <v>21</v>
      </c>
      <c r="I34" t="s">
        <v>22</v>
      </c>
      <c r="J34" t="s">
        <v>148</v>
      </c>
      <c r="K34" t="s">
        <v>23</v>
      </c>
      <c r="L34">
        <v>365</v>
      </c>
      <c r="M34">
        <v>3.0579219000000002</v>
      </c>
      <c r="N34">
        <v>241.54135549521669</v>
      </c>
      <c r="O34">
        <v>0.23257023722638706</v>
      </c>
      <c r="P34" s="1" t="str">
        <f>HYPERLINK(".\sm_car_250824_2329\sm_car_250824_2329_033_Ca114TrN_MaWOT_DrSt_ode23t.png","figure")</f>
        <v>figure</v>
      </c>
      <c r="Q34" t="s">
        <v>15</v>
      </c>
    </row>
    <row r="35" spans="1:17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26</v>
      </c>
      <c r="H35" t="s">
        <v>21</v>
      </c>
      <c r="I35" t="s">
        <v>24</v>
      </c>
      <c r="J35" t="s">
        <v>148</v>
      </c>
      <c r="K35" t="s">
        <v>23</v>
      </c>
      <c r="L35">
        <v>474</v>
      </c>
      <c r="M35">
        <v>3.449424</v>
      </c>
      <c r="N35">
        <v>74.357376080465997</v>
      </c>
      <c r="O35">
        <v>-0.33401217897315755</v>
      </c>
      <c r="P35" s="1" t="str">
        <f>HYPERLINK(".\sm_car_250824_2329\sm_car_250824_2329_034_Ca114TrN_MaLSS_DrSt_ode23t.png","figure")</f>
        <v>figure</v>
      </c>
      <c r="Q35" t="s">
        <v>15</v>
      </c>
    </row>
    <row r="36" spans="1:17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27</v>
      </c>
      <c r="H36" t="s">
        <v>21</v>
      </c>
      <c r="I36" t="s">
        <v>22</v>
      </c>
      <c r="J36" t="s">
        <v>148</v>
      </c>
      <c r="K36" t="s">
        <v>23</v>
      </c>
      <c r="L36">
        <v>402</v>
      </c>
      <c r="M36">
        <v>3.7483067000000001</v>
      </c>
      <c r="N36">
        <v>241.25491004899072</v>
      </c>
      <c r="O36">
        <v>0.23086755550324103</v>
      </c>
      <c r="P36" s="1" t="str">
        <f>HYPERLINK(".\sm_car_250824_2329\sm_car_250824_2329_035_Ca115TrN_MaWOT_DrSt_ode23t.png","figure")</f>
        <v>figure</v>
      </c>
      <c r="Q36" t="s">
        <v>15</v>
      </c>
    </row>
    <row r="37" spans="1:17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27</v>
      </c>
      <c r="H37" t="s">
        <v>21</v>
      </c>
      <c r="I37" t="s">
        <v>24</v>
      </c>
      <c r="J37" t="s">
        <v>148</v>
      </c>
      <c r="K37" t="s">
        <v>23</v>
      </c>
      <c r="L37">
        <v>505</v>
      </c>
      <c r="M37">
        <v>3.3340139999999998</v>
      </c>
      <c r="N37">
        <v>74.216397484708779</v>
      </c>
      <c r="O37">
        <v>-0.33149412046077237</v>
      </c>
      <c r="P37" s="1" t="str">
        <f>HYPERLINK(".\sm_car_250824_2329\sm_car_250824_2329_036_Ca115TrN_MaLSS_DrSt_ode23t.png","figure")</f>
        <v>figure</v>
      </c>
      <c r="Q37" t="s">
        <v>15</v>
      </c>
    </row>
    <row r="38" spans="1:17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20</v>
      </c>
      <c r="H38" t="s">
        <v>21</v>
      </c>
      <c r="I38" t="s">
        <v>22</v>
      </c>
      <c r="J38" t="s">
        <v>148</v>
      </c>
      <c r="K38" t="s">
        <v>23</v>
      </c>
      <c r="L38">
        <v>917</v>
      </c>
      <c r="M38">
        <v>4.5261028999999997</v>
      </c>
      <c r="N38">
        <v>242.55284377109695</v>
      </c>
      <c r="O38">
        <v>0.23659137482604095</v>
      </c>
      <c r="P38" s="1" t="str">
        <f>HYPERLINK(".\sm_car_250824_2329\sm_car_250824_2329_037_Ca116TrN_MaWOT_DrSt_ode23t.png","figure")</f>
        <v>figure</v>
      </c>
      <c r="Q38" t="s">
        <v>15</v>
      </c>
    </row>
    <row r="39" spans="1:17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20</v>
      </c>
      <c r="H39" t="s">
        <v>21</v>
      </c>
      <c r="I39" t="s">
        <v>24</v>
      </c>
      <c r="J39" t="s">
        <v>148</v>
      </c>
      <c r="K39" t="s">
        <v>23</v>
      </c>
      <c r="L39">
        <v>1057</v>
      </c>
      <c r="M39">
        <v>5.1374145000000002</v>
      </c>
      <c r="N39">
        <v>74.662659723869751</v>
      </c>
      <c r="O39">
        <v>-0.3401055901651473</v>
      </c>
      <c r="P39" s="1" t="str">
        <f>HYPERLINK(".\sm_car_250824_2329\sm_car_250824_2329_038_Ca116TrN_MaLSS_DrSt_ode23t.png","figure")</f>
        <v>figure</v>
      </c>
      <c r="Q39" t="s">
        <v>15</v>
      </c>
    </row>
    <row r="40" spans="1:17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25</v>
      </c>
      <c r="H40" t="s">
        <v>21</v>
      </c>
      <c r="I40" t="s">
        <v>22</v>
      </c>
      <c r="J40" t="s">
        <v>148</v>
      </c>
      <c r="K40" t="s">
        <v>23</v>
      </c>
      <c r="L40">
        <v>963</v>
      </c>
      <c r="M40">
        <v>4.9112447000000001</v>
      </c>
      <c r="N40">
        <v>241.50229099389202</v>
      </c>
      <c r="O40">
        <v>0.23261616238238711</v>
      </c>
      <c r="P40" s="1" t="str">
        <f>HYPERLINK(".\sm_car_250824_2329\sm_car_250824_2329_039_Ca117TrN_MaWOT_DrSt_ode23t.png","figure")</f>
        <v>figure</v>
      </c>
      <c r="Q40" t="s">
        <v>15</v>
      </c>
    </row>
    <row r="41" spans="1:17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25</v>
      </c>
      <c r="H41" t="s">
        <v>21</v>
      </c>
      <c r="I41" t="s">
        <v>24</v>
      </c>
      <c r="J41" t="s">
        <v>148</v>
      </c>
      <c r="K41" t="s">
        <v>23</v>
      </c>
      <c r="L41">
        <v>1063</v>
      </c>
      <c r="M41">
        <v>5.6531298000000003</v>
      </c>
      <c r="N41">
        <v>74.339005108528042</v>
      </c>
      <c r="O41">
        <v>-0.33658754453363837</v>
      </c>
      <c r="P41" s="1" t="str">
        <f>HYPERLINK(".\sm_car_250824_2329\sm_car_250824_2329_040_Ca117TrN_MaLSS_DrSt_ode23t.png","figure")</f>
        <v>figure</v>
      </c>
      <c r="Q41" t="s">
        <v>15</v>
      </c>
    </row>
    <row r="42" spans="1:17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26</v>
      </c>
      <c r="H42" t="s">
        <v>21</v>
      </c>
      <c r="I42" t="s">
        <v>22</v>
      </c>
      <c r="J42" t="s">
        <v>148</v>
      </c>
      <c r="K42" t="s">
        <v>23</v>
      </c>
      <c r="L42">
        <v>947</v>
      </c>
      <c r="M42">
        <v>5.3219583000000004</v>
      </c>
      <c r="N42">
        <v>241.23064820859912</v>
      </c>
      <c r="O42">
        <v>0.23252480072032861</v>
      </c>
      <c r="P42" s="1" t="str">
        <f>HYPERLINK(".\sm_car_250824_2329\sm_car_250824_2329_041_Ca118TrN_MaWOT_DrSt_ode23t.png","figure")</f>
        <v>figure</v>
      </c>
      <c r="Q42" t="s">
        <v>15</v>
      </c>
    </row>
    <row r="43" spans="1:17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26</v>
      </c>
      <c r="H43" t="s">
        <v>21</v>
      </c>
      <c r="I43" t="s">
        <v>24</v>
      </c>
      <c r="J43" t="s">
        <v>148</v>
      </c>
      <c r="K43" t="s">
        <v>23</v>
      </c>
      <c r="L43">
        <v>1083</v>
      </c>
      <c r="M43">
        <v>6.1471928</v>
      </c>
      <c r="N43">
        <v>74.337064431350825</v>
      </c>
      <c r="O43">
        <v>-0.33611418080232897</v>
      </c>
      <c r="P43" s="1" t="str">
        <f>HYPERLINK(".\sm_car_250824_2329\sm_car_250824_2329_042_Ca118TrN_MaLSS_DrSt_ode23t.png","figure")</f>
        <v>figure</v>
      </c>
      <c r="Q43" t="s">
        <v>15</v>
      </c>
    </row>
    <row r="44" spans="1:17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27</v>
      </c>
      <c r="H44" t="s">
        <v>21</v>
      </c>
      <c r="I44" t="s">
        <v>22</v>
      </c>
      <c r="J44" t="s">
        <v>148</v>
      </c>
      <c r="K44" t="s">
        <v>23</v>
      </c>
      <c r="L44">
        <v>996</v>
      </c>
      <c r="M44">
        <v>5.6204834999999997</v>
      </c>
      <c r="N44">
        <v>240.99456068308641</v>
      </c>
      <c r="O44">
        <v>0.23171030835918666</v>
      </c>
      <c r="P44" s="1" t="str">
        <f>HYPERLINK(".\sm_car_250824_2329\sm_car_250824_2329_043_Ca119TrN_MaWOT_DrSt_ode23t.png","figure")</f>
        <v>figure</v>
      </c>
      <c r="Q44" t="s">
        <v>15</v>
      </c>
    </row>
    <row r="45" spans="1:17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27</v>
      </c>
      <c r="H45" t="s">
        <v>21</v>
      </c>
      <c r="I45" t="s">
        <v>24</v>
      </c>
      <c r="J45" t="s">
        <v>148</v>
      </c>
      <c r="K45" t="s">
        <v>23</v>
      </c>
      <c r="L45">
        <v>1100</v>
      </c>
      <c r="M45">
        <v>6.0208412999999998</v>
      </c>
      <c r="N45">
        <v>74.191759012097194</v>
      </c>
      <c r="O45">
        <v>-0.33397949475133454</v>
      </c>
      <c r="P45" s="1" t="str">
        <f>HYPERLINK(".\sm_car_250824_2329\sm_car_250824_2329_044_Ca119TrN_MaLSS_DrSt_ode23t.png","figure")</f>
        <v>figure</v>
      </c>
      <c r="Q45" t="s">
        <v>15</v>
      </c>
    </row>
    <row r="46" spans="1:17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148</v>
      </c>
      <c r="K46" t="s">
        <v>23</v>
      </c>
      <c r="L46">
        <v>326</v>
      </c>
      <c r="M46">
        <v>5.4505499999999998</v>
      </c>
      <c r="N46">
        <v>98.945575850525998</v>
      </c>
      <c r="O46">
        <v>-1.8582083737113907E-2</v>
      </c>
      <c r="P46" s="1" t="str">
        <f>HYPERLINK(".\sm_car_250824_2329\sm_car_250824_2329_045_Ca128TrN_MaWOT_DrSt_ode23t.png","figure")</f>
        <v>figure</v>
      </c>
      <c r="Q46" t="s">
        <v>15</v>
      </c>
    </row>
    <row r="47" spans="1:17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148</v>
      </c>
      <c r="K47" t="s">
        <v>23</v>
      </c>
      <c r="L47">
        <v>456</v>
      </c>
      <c r="M47">
        <v>6.9084386999999996</v>
      </c>
      <c r="N47">
        <v>36.723347994776852</v>
      </c>
      <c r="O47">
        <v>-0.12840575905936971</v>
      </c>
      <c r="P47" s="1" t="str">
        <f>HYPERLINK(".\sm_car_250824_2329\sm_car_250824_2329_046_Ca128TrN_MaLSS_DrSt_ode23t.png","figure")</f>
        <v>figure</v>
      </c>
      <c r="Q47" t="s">
        <v>15</v>
      </c>
    </row>
    <row r="48" spans="1:17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148</v>
      </c>
      <c r="K48" t="s">
        <v>23</v>
      </c>
      <c r="L48">
        <v>343</v>
      </c>
      <c r="M48">
        <v>6.5958467000000001</v>
      </c>
      <c r="N48">
        <v>228.05887096448774</v>
      </c>
      <c r="O48">
        <v>5.2313037570008228E-2</v>
      </c>
      <c r="P48" s="1" t="str">
        <f>HYPERLINK(".\sm_car_250824_2329\sm_car_250824_2329_047_Ca129TrN_MaWOT_DrSt_ode23t.png","figure")</f>
        <v>figure</v>
      </c>
      <c r="Q48" t="s">
        <v>15</v>
      </c>
    </row>
    <row r="49" spans="1:17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148</v>
      </c>
      <c r="K49" t="s">
        <v>23</v>
      </c>
      <c r="L49">
        <v>484</v>
      </c>
      <c r="M49">
        <v>7.8008965000000003</v>
      </c>
      <c r="N49">
        <v>70.394922265613999</v>
      </c>
      <c r="O49">
        <v>-0.52179996023752373</v>
      </c>
      <c r="P49" s="1" t="str">
        <f>HYPERLINK(".\sm_car_250824_2329\sm_car_250824_2329_048_Ca129TrN_MaLSS_DrSt_ode23t.png","figure")</f>
        <v>figure</v>
      </c>
      <c r="Q49" t="s">
        <v>15</v>
      </c>
    </row>
    <row r="50" spans="1:17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148</v>
      </c>
      <c r="K50" t="s">
        <v>23</v>
      </c>
      <c r="L50">
        <v>804</v>
      </c>
      <c r="M50">
        <v>22.271559100000001</v>
      </c>
      <c r="N50">
        <v>215.61687038766246</v>
      </c>
      <c r="O50">
        <v>-1.5784471575431833</v>
      </c>
      <c r="P50" s="1" t="str">
        <f>HYPERLINK(".\sm_car_250824_2329\sm_car_250824_2329_049_Ca130TrN_MaWOT_DrSt_ode23t.png","figure")</f>
        <v>figure</v>
      </c>
      <c r="Q50" t="s">
        <v>15</v>
      </c>
    </row>
    <row r="51" spans="1:17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148</v>
      </c>
      <c r="K51" t="s">
        <v>23</v>
      </c>
      <c r="L51">
        <v>778</v>
      </c>
      <c r="M51">
        <v>19.188540100000001</v>
      </c>
      <c r="N51">
        <v>68.383086165648933</v>
      </c>
      <c r="O51">
        <v>-0.54061422187657349</v>
      </c>
      <c r="P51" s="1" t="str">
        <f>HYPERLINK(".\sm_car_250824_2329\sm_car_250824_2329_050_Ca130TrN_MaLSS_DrSt_ode23t.png","figure")</f>
        <v>figure</v>
      </c>
      <c r="Q51" t="s">
        <v>15</v>
      </c>
    </row>
    <row r="52" spans="1:17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148</v>
      </c>
      <c r="K52" t="s">
        <v>23</v>
      </c>
      <c r="L52">
        <v>343</v>
      </c>
      <c r="M52">
        <v>4.4476057999999998</v>
      </c>
      <c r="N52">
        <v>229.16135903416696</v>
      </c>
      <c r="O52">
        <v>-4.5875075565293182E-2</v>
      </c>
      <c r="P52" s="1" t="str">
        <f>HYPERLINK(".\sm_car_250824_2329\sm_car_250824_2329_051_Ca131TrN_MaWOT_DrSt_ode23t.png","figure")</f>
        <v>figure</v>
      </c>
      <c r="Q52" t="s">
        <v>15</v>
      </c>
    </row>
    <row r="53" spans="1:17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148</v>
      </c>
      <c r="K53" t="s">
        <v>23</v>
      </c>
      <c r="L53">
        <v>491</v>
      </c>
      <c r="M53">
        <v>5.1581273999999997</v>
      </c>
      <c r="N53">
        <v>70.603093904910537</v>
      </c>
      <c r="O53">
        <v>-0.5316473280265227</v>
      </c>
      <c r="P53" s="1" t="str">
        <f>HYPERLINK(".\sm_car_250824_2329\sm_car_250824_2329_052_Ca131TrN_MaLSS_DrSt_ode23t.png","figure")</f>
        <v>figure</v>
      </c>
      <c r="Q53" t="s">
        <v>15</v>
      </c>
    </row>
    <row r="54" spans="1:17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148</v>
      </c>
      <c r="K54" t="s">
        <v>23</v>
      </c>
      <c r="L54">
        <v>347</v>
      </c>
      <c r="M54">
        <v>4.1546228999999997</v>
      </c>
      <c r="N54">
        <v>229.12707859939488</v>
      </c>
      <c r="O54">
        <v>-1.3473405779730963E-2</v>
      </c>
      <c r="P54" s="1" t="str">
        <f>HYPERLINK(".\sm_car_250824_2329\sm_car_250824_2329_053_Ca132TrN_MaWOT_DrSt_ode23t.png","figure")</f>
        <v>figure</v>
      </c>
      <c r="Q54" t="s">
        <v>15</v>
      </c>
    </row>
    <row r="55" spans="1:17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148</v>
      </c>
      <c r="K55" t="s">
        <v>23</v>
      </c>
      <c r="L55">
        <v>493</v>
      </c>
      <c r="M55">
        <v>5.0585826000000003</v>
      </c>
      <c r="N55">
        <v>70.589378565263019</v>
      </c>
      <c r="O55">
        <v>-0.52930678649246732</v>
      </c>
      <c r="P55" s="1" t="str">
        <f>HYPERLINK(".\sm_car_250824_2329\sm_car_250824_2329_054_Ca132TrN_MaLSS_DrSt_ode23t.png","figure")</f>
        <v>figure</v>
      </c>
      <c r="Q55" t="s">
        <v>15</v>
      </c>
    </row>
    <row r="56" spans="1:17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148</v>
      </c>
      <c r="K56" t="s">
        <v>23</v>
      </c>
      <c r="L56">
        <v>352</v>
      </c>
      <c r="M56">
        <v>4.2065793999999999</v>
      </c>
      <c r="N56">
        <v>228.79602948166371</v>
      </c>
      <c r="O56">
        <v>-1.6033138834852516E-2</v>
      </c>
      <c r="P56" s="1" t="str">
        <f>HYPERLINK(".\sm_car_250824_2329\sm_car_250824_2329_055_Ca133TrN_MaWOT_DrSt_ode23t.png","figure")</f>
        <v>figure</v>
      </c>
      <c r="Q56" t="s">
        <v>15</v>
      </c>
    </row>
    <row r="57" spans="1:17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148</v>
      </c>
      <c r="K57" t="s">
        <v>23</v>
      </c>
      <c r="L57">
        <v>490</v>
      </c>
      <c r="M57">
        <v>5.2684158999999999</v>
      </c>
      <c r="N57">
        <v>70.601697490596038</v>
      </c>
      <c r="O57">
        <v>-0.52833308380087529</v>
      </c>
      <c r="P57" s="1" t="str">
        <f>HYPERLINK(".\sm_car_250824_2329\sm_car_250824_2329_056_Ca133TrN_MaLSS_DrSt_ode23t.png","figure")</f>
        <v>figure</v>
      </c>
      <c r="Q57" t="s">
        <v>15</v>
      </c>
    </row>
    <row r="58" spans="1:17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148</v>
      </c>
      <c r="K58" t="s">
        <v>23</v>
      </c>
      <c r="L58">
        <v>350</v>
      </c>
      <c r="M58">
        <v>4.0897889000000003</v>
      </c>
      <c r="N58">
        <v>229.10740941531168</v>
      </c>
      <c r="O58">
        <v>-1.5640445639431306E-2</v>
      </c>
      <c r="P58" s="1" t="str">
        <f>HYPERLINK(".\sm_car_250824_2329\sm_car_250824_2329_057_Ca134TrN_MaWOT_DrSt_ode23t.png","figure")</f>
        <v>figure</v>
      </c>
      <c r="Q58" t="s">
        <v>15</v>
      </c>
    </row>
    <row r="59" spans="1:17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148</v>
      </c>
      <c r="K59" t="s">
        <v>23</v>
      </c>
      <c r="L59">
        <v>496</v>
      </c>
      <c r="M59">
        <v>5.0789904999999997</v>
      </c>
      <c r="N59">
        <v>70.606287265199228</v>
      </c>
      <c r="O59">
        <v>-0.52672902889359396</v>
      </c>
      <c r="P59" s="1" t="str">
        <f>HYPERLINK(".\sm_car_250824_2329\sm_car_250824_2329_058_Ca134TrN_MaLSS_DrSt_ode23t.png","figure")</f>
        <v>figure</v>
      </c>
      <c r="Q59" t="s">
        <v>15</v>
      </c>
    </row>
    <row r="60" spans="1:17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148</v>
      </c>
      <c r="K60" t="s">
        <v>23</v>
      </c>
      <c r="L60">
        <v>349</v>
      </c>
      <c r="M60">
        <v>4.1894219000000001</v>
      </c>
      <c r="N60">
        <v>229.18263641186894</v>
      </c>
      <c r="O60">
        <v>-1.6721094591841297E-2</v>
      </c>
      <c r="P60" s="1" t="str">
        <f>HYPERLINK(".\sm_car_250824_2329\sm_car_250824_2329_059_Ca135TrN_MaWOT_DrSt_ode23t.png","figure")</f>
        <v>figure</v>
      </c>
      <c r="Q60" t="s">
        <v>15</v>
      </c>
    </row>
    <row r="61" spans="1:17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148</v>
      </c>
      <c r="K61" t="s">
        <v>23</v>
      </c>
      <c r="L61">
        <v>490</v>
      </c>
      <c r="M61">
        <v>5.1961089999999999</v>
      </c>
      <c r="N61">
        <v>70.600503340984346</v>
      </c>
      <c r="O61">
        <v>-0.52240602088876664</v>
      </c>
      <c r="P61" s="1" t="str">
        <f>HYPERLINK(".\sm_car_250824_2329\sm_car_250824_2329_060_Ca135TrN_MaLSS_DrSt_ode23t.png","figure")</f>
        <v>figure</v>
      </c>
      <c r="Q61" t="s">
        <v>15</v>
      </c>
    </row>
    <row r="62" spans="1:17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148</v>
      </c>
      <c r="K62" t="s">
        <v>23</v>
      </c>
      <c r="L62">
        <v>380</v>
      </c>
      <c r="M62">
        <v>5.9367067000000002</v>
      </c>
      <c r="N62">
        <v>229.16172955174105</v>
      </c>
      <c r="O62">
        <v>5.4087017505364959E-2</v>
      </c>
      <c r="P62" s="1" t="str">
        <f>HYPERLINK(".\sm_car_250824_2329\sm_car_250824_2329_061_Ca136TrN_MaWOT_DrSt_ode23t.png","figure")</f>
        <v>figure</v>
      </c>
      <c r="Q62" t="s">
        <v>15</v>
      </c>
    </row>
    <row r="63" spans="1:17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148</v>
      </c>
      <c r="K63" t="s">
        <v>23</v>
      </c>
      <c r="L63">
        <v>503</v>
      </c>
      <c r="M63">
        <v>6.4475999000000002</v>
      </c>
      <c r="N63">
        <v>70.602631691260115</v>
      </c>
      <c r="O63">
        <v>-0.52210963459385273</v>
      </c>
      <c r="P63" s="1" t="str">
        <f>HYPERLINK(".\sm_car_250824_2329\sm_car_250824_2329_062_Ca136TrN_MaLSS_DrSt_ode23t.png","figure")</f>
        <v>figure</v>
      </c>
      <c r="Q63" t="s">
        <v>15</v>
      </c>
    </row>
    <row r="64" spans="1:17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148</v>
      </c>
      <c r="K64" t="s">
        <v>23</v>
      </c>
      <c r="L64">
        <v>330</v>
      </c>
      <c r="M64">
        <v>3.7331696000000001</v>
      </c>
      <c r="N64">
        <v>229.94949984565895</v>
      </c>
      <c r="O64">
        <v>0.13753040320227727</v>
      </c>
      <c r="P64" s="1" t="str">
        <f>HYPERLINK(".\sm_car_250824_2329\sm_car_250824_2329_063_Ca137TrN_MaWOT_DrSt_ode23t.png","figure")</f>
        <v>figure</v>
      </c>
      <c r="Q64" t="s">
        <v>15</v>
      </c>
    </row>
    <row r="65" spans="1:17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148</v>
      </c>
      <c r="K65" t="s">
        <v>23</v>
      </c>
      <c r="L65">
        <v>476</v>
      </c>
      <c r="M65">
        <v>4.3578558000000003</v>
      </c>
      <c r="N65">
        <v>70.872021640054001</v>
      </c>
      <c r="O65">
        <v>-0.50679515378360318</v>
      </c>
      <c r="P65" s="1" t="str">
        <f>HYPERLINK(".\sm_car_250824_2329\sm_car_250824_2329_064_Ca137TrN_MaLSS_DrSt_ode23t.png","figure")</f>
        <v>figure</v>
      </c>
      <c r="Q65" t="s">
        <v>15</v>
      </c>
    </row>
    <row r="66" spans="1:17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148</v>
      </c>
      <c r="K66" t="s">
        <v>23</v>
      </c>
      <c r="L66">
        <v>332</v>
      </c>
      <c r="M66">
        <v>5.5780262</v>
      </c>
      <c r="N66">
        <v>230.03479467965266</v>
      </c>
      <c r="O66">
        <v>0.15099959514325031</v>
      </c>
      <c r="P66" s="1" t="str">
        <f>HYPERLINK(".\sm_car_250824_2329\sm_car_250824_2329_065_Ca138TrN_MaWOT_DrSt_ode23t.png","figure")</f>
        <v>figure</v>
      </c>
      <c r="Q66" t="s">
        <v>15</v>
      </c>
    </row>
    <row r="67" spans="1:17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148</v>
      </c>
      <c r="K67" t="s">
        <v>23</v>
      </c>
      <c r="L67">
        <v>488</v>
      </c>
      <c r="M67">
        <v>5.9596577000000002</v>
      </c>
      <c r="N67">
        <v>70.76561859425523</v>
      </c>
      <c r="O67">
        <v>-0.81715887743635596</v>
      </c>
      <c r="P67" s="1" t="str">
        <f>HYPERLINK(".\sm_car_250824_2329\sm_car_250824_2329_066_Ca138TrN_MaLSS_DrSt_ode23t.png","figure")</f>
        <v>figure</v>
      </c>
      <c r="Q67" t="s">
        <v>15</v>
      </c>
    </row>
    <row r="68" spans="1:17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148</v>
      </c>
      <c r="K68" t="s">
        <v>23</v>
      </c>
      <c r="L68">
        <v>670</v>
      </c>
      <c r="M68">
        <v>23.623841500000001</v>
      </c>
      <c r="N68">
        <v>402.28380821207929</v>
      </c>
      <c r="O68">
        <v>1.5748279062951935</v>
      </c>
      <c r="P68" s="1" t="str">
        <f>HYPERLINK(".\sm_car_250824_2329\sm_car_250824_2329_067_Ca139TrN_MaWOT_DrSt_ode23t.png","figure")</f>
        <v>figure</v>
      </c>
      <c r="Q68" t="s">
        <v>15</v>
      </c>
    </row>
    <row r="69" spans="1:17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148</v>
      </c>
      <c r="K69" t="s">
        <v>23</v>
      </c>
      <c r="L69">
        <v>634</v>
      </c>
      <c r="M69">
        <v>15.5569449</v>
      </c>
      <c r="N69">
        <v>153.03141678989147</v>
      </c>
      <c r="O69">
        <v>-0.57396894676488275</v>
      </c>
      <c r="P69" s="1" t="str">
        <f>HYPERLINK(".\sm_car_250824_2329\sm_car_250824_2329_068_Ca139TrN_MaLSS_DrSt_ode23t.png","figure")</f>
        <v>figure</v>
      </c>
      <c r="Q69" t="s">
        <v>15</v>
      </c>
    </row>
    <row r="70" spans="1:17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148</v>
      </c>
      <c r="K70" t="s">
        <v>23</v>
      </c>
      <c r="L70">
        <v>1935</v>
      </c>
      <c r="M70">
        <v>34.221448000000002</v>
      </c>
      <c r="N70">
        <v>402.32016484151109</v>
      </c>
      <c r="O70">
        <v>1.7792945848508233</v>
      </c>
      <c r="P70" s="1" t="str">
        <f>HYPERLINK(".\sm_car_250824_2329\sm_car_250824_2329_069_Ca141TrN_MaWOT_DrSt_ode23t.png","figure")</f>
        <v>figure</v>
      </c>
      <c r="Q70" t="s">
        <v>15</v>
      </c>
    </row>
    <row r="71" spans="1:17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148</v>
      </c>
      <c r="K71" t="s">
        <v>23</v>
      </c>
      <c r="L71">
        <v>1836</v>
      </c>
      <c r="M71">
        <v>22.891382700000001</v>
      </c>
      <c r="N71">
        <v>153.10235897169383</v>
      </c>
      <c r="O71">
        <v>-0.57169192042063954</v>
      </c>
      <c r="P71" s="1" t="str">
        <f>HYPERLINK(".\sm_car_250824_2329\sm_car_250824_2329_070_Ca141TrN_MaLSS_DrSt_ode23t.png","figure")</f>
        <v>figure</v>
      </c>
      <c r="Q71" t="s">
        <v>15</v>
      </c>
    </row>
    <row r="72" spans="1:17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148</v>
      </c>
      <c r="K72" t="s">
        <v>23</v>
      </c>
      <c r="L72">
        <v>334</v>
      </c>
      <c r="M72">
        <v>17.0728936</v>
      </c>
      <c r="N72">
        <v>62.429374008536627</v>
      </c>
      <c r="O72">
        <v>1.9329020361542482E-2</v>
      </c>
      <c r="P72" s="1" t="str">
        <f>HYPERLINK(".\sm_car_250824_2329\sm_car_250824_2329_071_Ca143TrN_MaWOT_DrSt_ode23t.png","figure")</f>
        <v>figure</v>
      </c>
      <c r="Q72" t="s">
        <v>15</v>
      </c>
    </row>
    <row r="73" spans="1:17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148</v>
      </c>
      <c r="K73" t="s">
        <v>23</v>
      </c>
      <c r="L73">
        <v>451</v>
      </c>
      <c r="M73">
        <v>21.2371552</v>
      </c>
      <c r="N73">
        <v>24.930212873541713</v>
      </c>
      <c r="O73">
        <v>-5.278411120427498E-2</v>
      </c>
      <c r="P73" s="1" t="str">
        <f>HYPERLINK(".\sm_car_250824_2329\sm_car_250824_2329_072_Ca143TrN_MaLSS_DrSt_ode23t.png","figure")</f>
        <v>figure</v>
      </c>
      <c r="Q73" t="s">
        <v>15</v>
      </c>
    </row>
    <row r="74" spans="1:17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148</v>
      </c>
      <c r="K74" t="s">
        <v>23</v>
      </c>
      <c r="L74">
        <v>337</v>
      </c>
      <c r="M74">
        <v>11.8589024</v>
      </c>
      <c r="N74">
        <v>77.001430096645151</v>
      </c>
      <c r="O74">
        <v>0.2445658895358426</v>
      </c>
      <c r="P74" s="1" t="str">
        <f>HYPERLINK(".\sm_car_250824_2329\sm_car_250824_2329_073_Ca144TrN_MaWOT_DrSt_ode23t.png","figure")</f>
        <v>figure</v>
      </c>
      <c r="Q74" t="s">
        <v>15</v>
      </c>
    </row>
    <row r="75" spans="1:17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148</v>
      </c>
      <c r="K75" t="s">
        <v>23</v>
      </c>
      <c r="L75">
        <v>456</v>
      </c>
      <c r="M75">
        <v>14.561844499999999</v>
      </c>
      <c r="N75">
        <v>35.47306124844166</v>
      </c>
      <c r="O75">
        <v>-3.1905516681268578E-2</v>
      </c>
      <c r="P75" s="1" t="str">
        <f>HYPERLINK(".\sm_car_250824_2329\sm_car_250824_2329_074_Ca144TrN_MaLSS_DrSt_ode23t.png","figure")</f>
        <v>figure</v>
      </c>
      <c r="Q75" t="s">
        <v>15</v>
      </c>
    </row>
    <row r="76" spans="1:17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148</v>
      </c>
      <c r="K76" t="s">
        <v>23</v>
      </c>
      <c r="L76">
        <v>2424</v>
      </c>
      <c r="M76">
        <v>25.078715200000001</v>
      </c>
      <c r="N76">
        <v>396.62866760396059</v>
      </c>
      <c r="O76">
        <v>-14.037204792393176</v>
      </c>
      <c r="P76" s="1" t="str">
        <f>HYPERLINK(".\sm_car_250824_2329\sm_car_250824_2329_075_Ca147TrN_MaWOT_DrSt_ode23t.png","figure")</f>
        <v>figure</v>
      </c>
      <c r="Q76" t="s">
        <v>15</v>
      </c>
    </row>
    <row r="77" spans="1:17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148</v>
      </c>
      <c r="K77" t="s">
        <v>23</v>
      </c>
      <c r="L77">
        <v>1303</v>
      </c>
      <c r="M77">
        <v>15.7902492</v>
      </c>
      <c r="N77">
        <v>150.41586899959344</v>
      </c>
      <c r="O77">
        <v>-2.2297001155442966</v>
      </c>
      <c r="P77" s="1" t="str">
        <f>HYPERLINK(".\sm_car_250824_2329\sm_car_250824_2329_076_Ca147TrN_MaLSS_DrSt_ode23t.png","figure")</f>
        <v>figure</v>
      </c>
      <c r="Q77" t="s">
        <v>15</v>
      </c>
    </row>
    <row r="78" spans="1:17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148</v>
      </c>
      <c r="K78" t="s">
        <v>23</v>
      </c>
      <c r="L78">
        <v>306</v>
      </c>
      <c r="M78">
        <v>7.6241300000000001</v>
      </c>
      <c r="N78">
        <v>229.6730166283497</v>
      </c>
      <c r="O78">
        <v>5.1408575898884848E-3</v>
      </c>
      <c r="P78" s="1" t="str">
        <f>HYPERLINK(".\sm_car_250824_2329\sm_car_250824_2329_077_Ca215TrN_MaWOT_DrSt_ode23t.png","figure")</f>
        <v>figure</v>
      </c>
      <c r="Q78" t="s">
        <v>15</v>
      </c>
    </row>
    <row r="79" spans="1:17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148</v>
      </c>
      <c r="K79" t="s">
        <v>23</v>
      </c>
      <c r="L79">
        <v>494</v>
      </c>
      <c r="M79">
        <v>7.8689463999999996</v>
      </c>
      <c r="N79">
        <v>81.274670644985392</v>
      </c>
      <c r="O79">
        <v>-0.22217667069138153</v>
      </c>
      <c r="P79" s="1" t="str">
        <f>HYPERLINK(".\sm_car_250824_2329\sm_car_250824_2329_078_Ca215TrN_MaLSS_DrSt_ode23t.png","figure")</f>
        <v>figure</v>
      </c>
      <c r="Q79" t="s">
        <v>15</v>
      </c>
    </row>
    <row r="80" spans="1:17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26</v>
      </c>
      <c r="H80" t="s">
        <v>21</v>
      </c>
      <c r="I80" t="s">
        <v>22</v>
      </c>
      <c r="J80" t="s">
        <v>148</v>
      </c>
      <c r="K80" t="s">
        <v>23</v>
      </c>
      <c r="L80">
        <v>353</v>
      </c>
      <c r="M80">
        <v>4.3963891999999998</v>
      </c>
      <c r="N80">
        <v>229.75359255679493</v>
      </c>
      <c r="O80">
        <v>0.1705263574159066</v>
      </c>
      <c r="P80" s="1" t="str">
        <f>HYPERLINK(".\sm_car_250824_2329\sm_car_250824_2329_079_Ca218TrN_MaWOT_DrSt_ode23t.png","figure")</f>
        <v>figure</v>
      </c>
      <c r="Q80" t="s">
        <v>15</v>
      </c>
    </row>
    <row r="81" spans="1:17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26</v>
      </c>
      <c r="H81" t="s">
        <v>21</v>
      </c>
      <c r="I81" t="s">
        <v>24</v>
      </c>
      <c r="J81" t="s">
        <v>148</v>
      </c>
      <c r="K81" t="s">
        <v>23</v>
      </c>
      <c r="L81">
        <v>492</v>
      </c>
      <c r="M81">
        <v>5.4007303999999996</v>
      </c>
      <c r="N81">
        <v>70.783105058092758</v>
      </c>
      <c r="O81">
        <v>-0.53199768779459744</v>
      </c>
      <c r="P81" s="1" t="str">
        <f>HYPERLINK(".\sm_car_250824_2329\sm_car_250824_2329_080_Ca218TrN_MaLSS_DrSt_ode23t.png","figure")</f>
        <v>figure</v>
      </c>
      <c r="Q81" t="s">
        <v>15</v>
      </c>
    </row>
    <row r="82" spans="1:17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26</v>
      </c>
      <c r="H82" t="s">
        <v>21</v>
      </c>
      <c r="I82" t="s">
        <v>22</v>
      </c>
      <c r="J82" t="s">
        <v>148</v>
      </c>
      <c r="K82" t="s">
        <v>23</v>
      </c>
      <c r="L82">
        <v>379</v>
      </c>
      <c r="M82">
        <v>6.6888502000000001</v>
      </c>
      <c r="N82">
        <v>228.87933303850758</v>
      </c>
      <c r="O82">
        <v>0.17330288774146971</v>
      </c>
      <c r="P82" s="1" t="str">
        <f>HYPERLINK(".\sm_car_250824_2329\sm_car_250824_2329_081_Ca219TrN_MaWOT_DrSt_ode23t.png","figure")</f>
        <v>figure</v>
      </c>
      <c r="Q82" t="s">
        <v>15</v>
      </c>
    </row>
    <row r="83" spans="1:17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26</v>
      </c>
      <c r="H83" t="s">
        <v>21</v>
      </c>
      <c r="I83" t="s">
        <v>24</v>
      </c>
      <c r="J83" t="s">
        <v>148</v>
      </c>
      <c r="K83" t="s">
        <v>23</v>
      </c>
      <c r="L83">
        <v>522</v>
      </c>
      <c r="M83">
        <v>7.7679625999999997</v>
      </c>
      <c r="N83">
        <v>70.603504706511671</v>
      </c>
      <c r="O83">
        <v>-0.55478518598653126</v>
      </c>
      <c r="P83" s="1" t="str">
        <f>HYPERLINK(".\sm_car_250824_2329\sm_car_250824_2329_082_Ca219TrN_MaLSS_DrSt_ode23t.png","figure")</f>
        <v>figure</v>
      </c>
      <c r="Q83" t="s">
        <v>15</v>
      </c>
    </row>
    <row r="84" spans="1:17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26</v>
      </c>
      <c r="H84" t="s">
        <v>21</v>
      </c>
      <c r="I84" t="s">
        <v>22</v>
      </c>
      <c r="J84" t="s">
        <v>148</v>
      </c>
      <c r="K84" t="s">
        <v>23</v>
      </c>
      <c r="L84">
        <v>943</v>
      </c>
      <c r="M84">
        <v>30.402842799999998</v>
      </c>
      <c r="N84">
        <v>223.20430490928044</v>
      </c>
      <c r="O84">
        <v>-1.2215644418465585</v>
      </c>
      <c r="P84" s="1" t="str">
        <f>HYPERLINK(".\sm_car_250824_2329\sm_car_250824_2329_083_Ca220TrN_MaWOT_DrSt_ode23t.png","figure")</f>
        <v>figure</v>
      </c>
      <c r="Q84" t="s">
        <v>15</v>
      </c>
    </row>
    <row r="85" spans="1:17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26</v>
      </c>
      <c r="H85" t="s">
        <v>21</v>
      </c>
      <c r="I85" t="s">
        <v>24</v>
      </c>
      <c r="J85" t="s">
        <v>148</v>
      </c>
      <c r="K85" t="s">
        <v>23</v>
      </c>
      <c r="L85">
        <v>1098</v>
      </c>
      <c r="M85">
        <v>35.107535599999999</v>
      </c>
      <c r="N85">
        <v>69.288030261336516</v>
      </c>
      <c r="O85">
        <v>-1.4994025136601543</v>
      </c>
      <c r="P85" s="1" t="str">
        <f>HYPERLINK(".\sm_car_250824_2329\sm_car_250824_2329_084_Ca220TrN_MaLSS_DrSt_ode23t.png","figure")</f>
        <v>figure</v>
      </c>
      <c r="Q85" t="s">
        <v>15</v>
      </c>
    </row>
    <row r="86" spans="1:17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148</v>
      </c>
      <c r="K86" t="s">
        <v>23</v>
      </c>
      <c r="L86">
        <v>464</v>
      </c>
      <c r="M86">
        <v>6.4108032000000001</v>
      </c>
      <c r="N86">
        <v>293.7992283157281</v>
      </c>
      <c r="O86">
        <v>4.8977384507214021E-5</v>
      </c>
      <c r="P86" s="1" t="str">
        <f>HYPERLINK(".\sm_car_250824_2329\sm_car_250824_2329_085_Ca223TrN_MaWOT_DrSt_ode23t.png","figure")</f>
        <v>figure</v>
      </c>
      <c r="Q86" t="s">
        <v>15</v>
      </c>
    </row>
    <row r="87" spans="1:17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148</v>
      </c>
      <c r="K87" t="s">
        <v>23</v>
      </c>
      <c r="L87">
        <v>658</v>
      </c>
      <c r="M87">
        <v>6.7513888</v>
      </c>
      <c r="N87">
        <v>103.82444663327816</v>
      </c>
      <c r="O87">
        <v>-0.15651588008016154</v>
      </c>
      <c r="P87" s="1" t="str">
        <f>HYPERLINK(".\sm_car_250824_2329\sm_car_250824_2329_086_Ca223TrN_MaLSS_DrSt_ode23t.png","figure")</f>
        <v>figure</v>
      </c>
      <c r="Q87" t="s">
        <v>15</v>
      </c>
    </row>
    <row r="88" spans="1:17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148</v>
      </c>
      <c r="K88" t="s">
        <v>23</v>
      </c>
      <c r="L88">
        <v>768</v>
      </c>
      <c r="M88">
        <v>20.866949399999999</v>
      </c>
      <c r="N88">
        <v>405.74034317103968</v>
      </c>
      <c r="O88">
        <v>-11.897276456208196</v>
      </c>
      <c r="P88" s="1" t="str">
        <f>HYPERLINK(".\sm_car_250824_2329\sm_car_250824_2329_087_Ca227TrN_MaWOT_DrSt_ode23t.png","figure")</f>
        <v>figure</v>
      </c>
      <c r="Q88" t="s">
        <v>15</v>
      </c>
    </row>
    <row r="89" spans="1:17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148</v>
      </c>
      <c r="K89" t="s">
        <v>23</v>
      </c>
      <c r="L89">
        <v>720</v>
      </c>
      <c r="M89">
        <v>12.832383</v>
      </c>
      <c r="N89">
        <v>154.52991452750317</v>
      </c>
      <c r="O89">
        <v>-2.846971553820842</v>
      </c>
      <c r="P89" s="1" t="str">
        <f>HYPERLINK(".\sm_car_250824_2329\sm_car_250824_2329_088_Ca227TrN_MaLSS_DrSt_ode23t.png","figure")</f>
        <v>figure</v>
      </c>
      <c r="Q89" t="s">
        <v>15</v>
      </c>
    </row>
    <row r="90" spans="1:17" x14ac:dyDescent="0.25">
      <c r="A90">
        <v>89</v>
      </c>
      <c r="B90">
        <v>8</v>
      </c>
      <c r="C90" t="s">
        <v>16</v>
      </c>
      <c r="D90" t="s">
        <v>17</v>
      </c>
      <c r="E90" t="s">
        <v>49</v>
      </c>
      <c r="F90" t="s">
        <v>19</v>
      </c>
      <c r="G90" t="s">
        <v>20</v>
      </c>
      <c r="H90" t="s">
        <v>21</v>
      </c>
      <c r="I90" t="s">
        <v>22</v>
      </c>
      <c r="J90" t="s">
        <v>148</v>
      </c>
      <c r="K90" t="s">
        <v>23</v>
      </c>
      <c r="L90">
        <v>382</v>
      </c>
      <c r="M90">
        <v>9.4389055000000006</v>
      </c>
      <c r="N90">
        <v>230.05376168818401</v>
      </c>
      <c r="O90">
        <v>-7.4708615412977779E-3</v>
      </c>
      <c r="P90" s="1" t="str">
        <f>HYPERLINK(".\sm_car_250824_2329\sm_car_250824_2329_089_Ca008TrN_MaWOT_DrSt_ode23t_1.png","figure")</f>
        <v>figure</v>
      </c>
      <c r="Q90" t="s">
        <v>15</v>
      </c>
    </row>
    <row r="91" spans="1:17" x14ac:dyDescent="0.25">
      <c r="A91">
        <v>90</v>
      </c>
      <c r="B91">
        <v>8</v>
      </c>
      <c r="C91" t="s">
        <v>16</v>
      </c>
      <c r="D91" t="s">
        <v>17</v>
      </c>
      <c r="E91" t="s">
        <v>49</v>
      </c>
      <c r="F91" t="s">
        <v>19</v>
      </c>
      <c r="G91" t="s">
        <v>20</v>
      </c>
      <c r="H91" t="s">
        <v>21</v>
      </c>
      <c r="I91" t="s">
        <v>24</v>
      </c>
      <c r="J91" t="s">
        <v>148</v>
      </c>
      <c r="K91" t="s">
        <v>23</v>
      </c>
      <c r="L91">
        <v>545</v>
      </c>
      <c r="M91">
        <v>11.965419799999999</v>
      </c>
      <c r="N91">
        <v>70.878576677039646</v>
      </c>
      <c r="O91">
        <v>-0.5292598321127977</v>
      </c>
      <c r="P91" s="1" t="str">
        <f>HYPERLINK(".\sm_car_250824_2329\sm_car_250824_2329_090_Ca008TrN_MaLSS_DrSt_ode23t_1.png","figure")</f>
        <v>figure</v>
      </c>
      <c r="Q91" t="s">
        <v>15</v>
      </c>
    </row>
    <row r="92" spans="1:17" x14ac:dyDescent="0.25">
      <c r="A92">
        <v>91</v>
      </c>
      <c r="B92">
        <v>13</v>
      </c>
      <c r="C92" t="s">
        <v>16</v>
      </c>
      <c r="D92" t="s">
        <v>17</v>
      </c>
      <c r="E92" t="s">
        <v>49</v>
      </c>
      <c r="F92" t="s">
        <v>28</v>
      </c>
      <c r="G92" t="s">
        <v>25</v>
      </c>
      <c r="H92" t="s">
        <v>21</v>
      </c>
      <c r="I92" t="s">
        <v>22</v>
      </c>
      <c r="J92" t="s">
        <v>148</v>
      </c>
      <c r="K92" t="s">
        <v>23</v>
      </c>
      <c r="L92">
        <v>853</v>
      </c>
      <c r="M92">
        <v>11.8277929</v>
      </c>
      <c r="N92">
        <v>229.06609401774449</v>
      </c>
      <c r="O92">
        <v>-1.6350066110263919E-2</v>
      </c>
      <c r="P92" s="1" t="str">
        <f>HYPERLINK(".\sm_car_250824_2329\sm_car_250824_2329_091_Ca013TrN_MaWOT_DrSt_ode23t_1.png","figure")</f>
        <v>figure</v>
      </c>
      <c r="Q92" t="s">
        <v>15</v>
      </c>
    </row>
    <row r="93" spans="1:17" x14ac:dyDescent="0.25">
      <c r="A93">
        <v>92</v>
      </c>
      <c r="B93">
        <v>13</v>
      </c>
      <c r="C93" t="s">
        <v>16</v>
      </c>
      <c r="D93" t="s">
        <v>17</v>
      </c>
      <c r="E93" t="s">
        <v>49</v>
      </c>
      <c r="F93" t="s">
        <v>28</v>
      </c>
      <c r="G93" t="s">
        <v>25</v>
      </c>
      <c r="H93" t="s">
        <v>21</v>
      </c>
      <c r="I93" t="s">
        <v>24</v>
      </c>
      <c r="J93" t="s">
        <v>148</v>
      </c>
      <c r="K93" t="s">
        <v>23</v>
      </c>
      <c r="L93">
        <v>1004</v>
      </c>
      <c r="M93">
        <v>15.0950814</v>
      </c>
      <c r="N93">
        <v>70.589623057470106</v>
      </c>
      <c r="O93">
        <v>-0.5317364002346916</v>
      </c>
      <c r="P93" s="1" t="str">
        <f>HYPERLINK(".\sm_car_250824_2329\sm_car_250824_2329_092_Ca013TrN_MaLSS_DrSt_ode23t_1.png","figure")</f>
        <v>figure</v>
      </c>
      <c r="Q93" t="s">
        <v>15</v>
      </c>
    </row>
    <row r="94" spans="1:17" x14ac:dyDescent="0.25">
      <c r="A94">
        <v>93</v>
      </c>
      <c r="B94">
        <v>120</v>
      </c>
      <c r="C94" t="s">
        <v>16</v>
      </c>
      <c r="D94" t="s">
        <v>35</v>
      </c>
      <c r="E94" t="s">
        <v>49</v>
      </c>
      <c r="F94" t="s">
        <v>19</v>
      </c>
      <c r="G94" t="s">
        <v>20</v>
      </c>
      <c r="H94" t="s">
        <v>21</v>
      </c>
      <c r="I94" t="s">
        <v>22</v>
      </c>
      <c r="J94" t="s">
        <v>148</v>
      </c>
      <c r="K94" t="s">
        <v>23</v>
      </c>
      <c r="L94">
        <v>416</v>
      </c>
      <c r="M94">
        <v>3.6814971000000001</v>
      </c>
      <c r="N94">
        <v>242.69170005986123</v>
      </c>
      <c r="O94">
        <v>0.23529589119818642</v>
      </c>
      <c r="P94" s="1" t="str">
        <f>HYPERLINK(".\sm_car_250824_2329\sm_car_250824_2329_093_Ca120TrN_MaWOT_DrSt_ode23t_1.png","figure")</f>
        <v>figure</v>
      </c>
      <c r="Q94" t="s">
        <v>15</v>
      </c>
    </row>
    <row r="95" spans="1:17" x14ac:dyDescent="0.25">
      <c r="A95">
        <v>94</v>
      </c>
      <c r="B95">
        <v>120</v>
      </c>
      <c r="C95" t="s">
        <v>16</v>
      </c>
      <c r="D95" t="s">
        <v>35</v>
      </c>
      <c r="E95" t="s">
        <v>49</v>
      </c>
      <c r="F95" t="s">
        <v>19</v>
      </c>
      <c r="G95" t="s">
        <v>20</v>
      </c>
      <c r="H95" t="s">
        <v>21</v>
      </c>
      <c r="I95" t="s">
        <v>24</v>
      </c>
      <c r="J95" t="s">
        <v>148</v>
      </c>
      <c r="K95" t="s">
        <v>23</v>
      </c>
      <c r="L95">
        <v>534</v>
      </c>
      <c r="M95">
        <v>4.0192613000000001</v>
      </c>
      <c r="N95">
        <v>74.671860856374394</v>
      </c>
      <c r="O95">
        <v>-0.33802521122689189</v>
      </c>
      <c r="P95" s="1" t="str">
        <f>HYPERLINK(".\sm_car_250824_2329\sm_car_250824_2329_094_Ca120TrN_MaLSS_DrSt_ode23t_1.png","figure")</f>
        <v>figure</v>
      </c>
      <c r="Q95" t="s">
        <v>15</v>
      </c>
    </row>
    <row r="96" spans="1:17" x14ac:dyDescent="0.25">
      <c r="A96">
        <v>95</v>
      </c>
      <c r="B96">
        <v>126</v>
      </c>
      <c r="C96" t="s">
        <v>16</v>
      </c>
      <c r="D96" t="s">
        <v>35</v>
      </c>
      <c r="E96" t="s">
        <v>49</v>
      </c>
      <c r="F96" t="s">
        <v>28</v>
      </c>
      <c r="G96" t="s">
        <v>26</v>
      </c>
      <c r="H96" t="s">
        <v>21</v>
      </c>
      <c r="I96" t="s">
        <v>22</v>
      </c>
      <c r="J96" t="s">
        <v>148</v>
      </c>
      <c r="K96" t="s">
        <v>23</v>
      </c>
      <c r="L96">
        <v>1021</v>
      </c>
      <c r="M96">
        <v>5.4171355999999999</v>
      </c>
      <c r="N96">
        <v>241.41642724986067</v>
      </c>
      <c r="O96">
        <v>0.23235374620598437</v>
      </c>
      <c r="P96" s="1" t="str">
        <f>HYPERLINK(".\sm_car_250824_2329\sm_car_250824_2329_095_Ca126TrN_MaWOT_DrSt_ode23t_1.png","figure")</f>
        <v>figure</v>
      </c>
      <c r="Q96" t="s">
        <v>15</v>
      </c>
    </row>
    <row r="97" spans="1:17" x14ac:dyDescent="0.25">
      <c r="A97">
        <v>96</v>
      </c>
      <c r="B97">
        <v>126</v>
      </c>
      <c r="C97" t="s">
        <v>16</v>
      </c>
      <c r="D97" t="s">
        <v>35</v>
      </c>
      <c r="E97" t="s">
        <v>49</v>
      </c>
      <c r="F97" t="s">
        <v>28</v>
      </c>
      <c r="G97" t="s">
        <v>26</v>
      </c>
      <c r="H97" t="s">
        <v>21</v>
      </c>
      <c r="I97" t="s">
        <v>24</v>
      </c>
      <c r="J97" t="s">
        <v>148</v>
      </c>
      <c r="K97" t="s">
        <v>23</v>
      </c>
      <c r="L97">
        <v>1146</v>
      </c>
      <c r="M97">
        <v>6.1505578999999999</v>
      </c>
      <c r="N97">
        <v>74.340172688289186</v>
      </c>
      <c r="O97">
        <v>-0.3354664429166006</v>
      </c>
      <c r="P97" s="1" t="str">
        <f>HYPERLINK(".\sm_car_250824_2329\sm_car_250824_2329_096_Ca126TrN_MaLSS_DrSt_ode23t_1.png","figure")</f>
        <v>figure</v>
      </c>
      <c r="Q97" t="s">
        <v>15</v>
      </c>
    </row>
    <row r="98" spans="1:17" x14ac:dyDescent="0.25">
      <c r="A98">
        <v>97</v>
      </c>
      <c r="B98">
        <v>127</v>
      </c>
      <c r="C98" t="s">
        <v>16</v>
      </c>
      <c r="D98" t="s">
        <v>35</v>
      </c>
      <c r="E98" t="s">
        <v>49</v>
      </c>
      <c r="F98" t="s">
        <v>28</v>
      </c>
      <c r="G98" t="s">
        <v>27</v>
      </c>
      <c r="H98" t="s">
        <v>21</v>
      </c>
      <c r="I98" t="s">
        <v>22</v>
      </c>
      <c r="J98" t="s">
        <v>148</v>
      </c>
      <c r="K98" t="s">
        <v>23</v>
      </c>
      <c r="L98">
        <v>1053</v>
      </c>
      <c r="M98">
        <v>5.8212520999999997</v>
      </c>
      <c r="N98">
        <v>241.05536954644745</v>
      </c>
      <c r="O98">
        <v>0.23100331212525366</v>
      </c>
      <c r="P98" s="1" t="str">
        <f>HYPERLINK(".\sm_car_250824_2329\sm_car_250824_2329_097_Ca127TrN_MaWOT_DrSt_ode23t_1.png","figure")</f>
        <v>figure</v>
      </c>
      <c r="Q98" t="s">
        <v>15</v>
      </c>
    </row>
    <row r="99" spans="1:17" x14ac:dyDescent="0.25">
      <c r="A99">
        <v>98</v>
      </c>
      <c r="B99">
        <v>127</v>
      </c>
      <c r="C99" t="s">
        <v>16</v>
      </c>
      <c r="D99" t="s">
        <v>35</v>
      </c>
      <c r="E99" t="s">
        <v>49</v>
      </c>
      <c r="F99" t="s">
        <v>28</v>
      </c>
      <c r="G99" t="s">
        <v>27</v>
      </c>
      <c r="H99" t="s">
        <v>21</v>
      </c>
      <c r="I99" t="s">
        <v>24</v>
      </c>
      <c r="J99" t="s">
        <v>148</v>
      </c>
      <c r="K99" t="s">
        <v>23</v>
      </c>
      <c r="L99">
        <v>1175</v>
      </c>
      <c r="M99">
        <v>6.6310862999999998</v>
      </c>
      <c r="N99">
        <v>74.195637812943474</v>
      </c>
      <c r="O99">
        <v>-0.33253745102725341</v>
      </c>
      <c r="P99" s="1" t="str">
        <f>HYPERLINK(".\sm_car_250824_2329\sm_car_250824_2329_098_Ca127TrN_MaLSS_DrSt_ode23t_1.png","figure")</f>
        <v>figure</v>
      </c>
      <c r="Q99" t="s">
        <v>15</v>
      </c>
    </row>
    <row r="100" spans="1:17" x14ac:dyDescent="0.25">
      <c r="A100">
        <v>99</v>
      </c>
      <c r="B100">
        <v>145</v>
      </c>
      <c r="C100" t="s">
        <v>46</v>
      </c>
      <c r="D100" t="s">
        <v>17</v>
      </c>
      <c r="E100" t="s">
        <v>50</v>
      </c>
      <c r="F100" t="s">
        <v>19</v>
      </c>
      <c r="G100" t="s">
        <v>26</v>
      </c>
      <c r="H100" t="s">
        <v>21</v>
      </c>
      <c r="I100" t="s">
        <v>22</v>
      </c>
      <c r="J100" t="s">
        <v>148</v>
      </c>
      <c r="K100" t="s">
        <v>23</v>
      </c>
      <c r="L100">
        <v>352</v>
      </c>
      <c r="M100">
        <v>13.0607305</v>
      </c>
      <c r="N100">
        <v>62.39895439545981</v>
      </c>
      <c r="O100">
        <v>1.9024297056399325E-2</v>
      </c>
      <c r="P100" s="1" t="str">
        <f>HYPERLINK(".\sm_car_250824_2329\sm_car_250824_2329_099_Ca145TrN_MaWOT_DrSt_ode23t_1.png","figure")</f>
        <v>figure</v>
      </c>
      <c r="Q100" t="s">
        <v>15</v>
      </c>
    </row>
    <row r="101" spans="1:17" x14ac:dyDescent="0.25">
      <c r="A101">
        <v>100</v>
      </c>
      <c r="B101">
        <v>145</v>
      </c>
      <c r="C101" t="s">
        <v>46</v>
      </c>
      <c r="D101" t="s">
        <v>17</v>
      </c>
      <c r="E101" t="s">
        <v>50</v>
      </c>
      <c r="F101" t="s">
        <v>19</v>
      </c>
      <c r="G101" t="s">
        <v>26</v>
      </c>
      <c r="H101" t="s">
        <v>21</v>
      </c>
      <c r="I101" t="s">
        <v>24</v>
      </c>
      <c r="J101" t="s">
        <v>148</v>
      </c>
      <c r="K101" t="s">
        <v>23</v>
      </c>
      <c r="L101">
        <v>446</v>
      </c>
      <c r="M101">
        <v>16.042872299999999</v>
      </c>
      <c r="N101">
        <v>24.926034666867814</v>
      </c>
      <c r="O101">
        <v>-4.910005416593187E-2</v>
      </c>
      <c r="P101" s="1" t="str">
        <f>HYPERLINK(".\sm_car_250824_2329\sm_car_250824_2329_100_Ca145TrN_MaLSS_DrSt_ode23t_1.png","figure")</f>
        <v>figure</v>
      </c>
      <c r="Q101" t="s">
        <v>15</v>
      </c>
    </row>
    <row r="102" spans="1:17" x14ac:dyDescent="0.25">
      <c r="A102">
        <v>101</v>
      </c>
      <c r="B102">
        <v>184</v>
      </c>
      <c r="C102" t="s">
        <v>105</v>
      </c>
      <c r="D102" t="s">
        <v>120</v>
      </c>
      <c r="E102" t="s">
        <v>49</v>
      </c>
      <c r="F102" t="s">
        <v>19</v>
      </c>
      <c r="G102" t="s">
        <v>20</v>
      </c>
      <c r="H102" t="s">
        <v>21</v>
      </c>
      <c r="I102" t="s">
        <v>22</v>
      </c>
      <c r="J102" t="s">
        <v>148</v>
      </c>
      <c r="K102" t="s">
        <v>23</v>
      </c>
      <c r="L102">
        <v>303</v>
      </c>
      <c r="M102">
        <v>14.8025758</v>
      </c>
      <c r="N102">
        <v>294.63379630214121</v>
      </c>
      <c r="O102">
        <v>1.8059886843932189E-4</v>
      </c>
      <c r="P102" s="1" t="str">
        <f>HYPERLINK(".\sm_car_250824_2329\sm_car_250824_2329_101_Ca184TrN_MaWOT_DrSt_ode23t_1.png","figure")</f>
        <v>figure</v>
      </c>
      <c r="Q102" t="s">
        <v>15</v>
      </c>
    </row>
    <row r="103" spans="1:17" x14ac:dyDescent="0.25">
      <c r="A103">
        <v>102</v>
      </c>
      <c r="B103">
        <v>184</v>
      </c>
      <c r="C103" t="s">
        <v>105</v>
      </c>
      <c r="D103" t="s">
        <v>120</v>
      </c>
      <c r="E103" t="s">
        <v>49</v>
      </c>
      <c r="F103" t="s">
        <v>19</v>
      </c>
      <c r="G103" t="s">
        <v>20</v>
      </c>
      <c r="H103" t="s">
        <v>21</v>
      </c>
      <c r="I103" t="s">
        <v>24</v>
      </c>
      <c r="J103" t="s">
        <v>148</v>
      </c>
      <c r="K103" t="s">
        <v>23</v>
      </c>
      <c r="L103">
        <v>477</v>
      </c>
      <c r="M103">
        <v>11.581576399999999</v>
      </c>
      <c r="N103">
        <v>103.55245800054142</v>
      </c>
      <c r="O103">
        <v>-0.21314779231165731</v>
      </c>
      <c r="P103" s="1" t="str">
        <f>HYPERLINK(".\sm_car_250824_2329\sm_car_250824_2329_102_Ca184TrN_MaLSS_DrSt_ode23t_1.png","figure")</f>
        <v>figure</v>
      </c>
      <c r="Q103" t="s">
        <v>15</v>
      </c>
    </row>
    <row r="104" spans="1:17" x14ac:dyDescent="0.25">
      <c r="A104">
        <v>103</v>
      </c>
      <c r="B104">
        <v>217</v>
      </c>
      <c r="C104" t="s">
        <v>45</v>
      </c>
      <c r="D104" t="s">
        <v>17</v>
      </c>
      <c r="E104" t="s">
        <v>107</v>
      </c>
      <c r="F104" t="s">
        <v>119</v>
      </c>
      <c r="G104" t="s">
        <v>26</v>
      </c>
      <c r="H104" t="s">
        <v>21</v>
      </c>
      <c r="I104" t="s">
        <v>22</v>
      </c>
      <c r="J104" t="s">
        <v>148</v>
      </c>
      <c r="K104" t="s">
        <v>23</v>
      </c>
      <c r="L104">
        <v>733</v>
      </c>
      <c r="M104">
        <v>32.674712800000002</v>
      </c>
      <c r="N104">
        <v>276.37912911038921</v>
      </c>
      <c r="O104">
        <v>0.74691483654217783</v>
      </c>
      <c r="P104" s="1" t="str">
        <f>HYPERLINK(".\sm_car_250824_2329\sm_car_250824_2329_103_Ca217TrN_MaWOT_DrSt_ode23t_1.png","figure")</f>
        <v>figure</v>
      </c>
      <c r="Q104" t="s">
        <v>15</v>
      </c>
    </row>
    <row r="105" spans="1:17" x14ac:dyDescent="0.25">
      <c r="A105">
        <v>104</v>
      </c>
      <c r="B105">
        <v>217</v>
      </c>
      <c r="C105" t="s">
        <v>45</v>
      </c>
      <c r="D105" t="s">
        <v>17</v>
      </c>
      <c r="E105" t="s">
        <v>107</v>
      </c>
      <c r="F105" t="s">
        <v>119</v>
      </c>
      <c r="G105" t="s">
        <v>26</v>
      </c>
      <c r="H105" t="s">
        <v>21</v>
      </c>
      <c r="I105" t="s">
        <v>24</v>
      </c>
      <c r="J105" t="s">
        <v>148</v>
      </c>
      <c r="K105" t="s">
        <v>23</v>
      </c>
      <c r="L105">
        <v>845</v>
      </c>
      <c r="M105">
        <v>34.143142300000001</v>
      </c>
      <c r="N105">
        <v>109.18610629294641</v>
      </c>
      <c r="O105">
        <v>-0.34156151463218348</v>
      </c>
      <c r="P105" s="1" t="str">
        <f>HYPERLINK(".\sm_car_250824_2329\sm_car_250824_2329_104_Ca217TrN_MaLSS_DrSt_ode23t_1.png","figure")</f>
        <v>figure</v>
      </c>
      <c r="Q105" t="s">
        <v>15</v>
      </c>
    </row>
    <row r="106" spans="1:17" x14ac:dyDescent="0.25">
      <c r="A106">
        <v>105</v>
      </c>
      <c r="B106">
        <v>12</v>
      </c>
      <c r="C106" t="s">
        <v>16</v>
      </c>
      <c r="D106" t="s">
        <v>17</v>
      </c>
      <c r="E106" t="s">
        <v>49</v>
      </c>
      <c r="F106" t="s">
        <v>28</v>
      </c>
      <c r="G106" t="s">
        <v>20</v>
      </c>
      <c r="H106" t="s">
        <v>21</v>
      </c>
      <c r="I106" t="s">
        <v>53</v>
      </c>
      <c r="J106" t="s">
        <v>148</v>
      </c>
      <c r="K106" t="s">
        <v>23</v>
      </c>
      <c r="L106">
        <v>861</v>
      </c>
      <c r="M106">
        <v>10.0636677</v>
      </c>
      <c r="N106">
        <v>255.26210606250055</v>
      </c>
      <c r="O106">
        <v>4.06542418477982E-2</v>
      </c>
      <c r="P106" s="1" t="str">
        <f>HYPERLINK(".\sm_car_250824_2329\sm_car_250824_2329_105_Ca012TrN_MaDLC_DrSt_ode23t_1.png","figure")</f>
        <v>figure</v>
      </c>
      <c r="Q106" t="s">
        <v>15</v>
      </c>
    </row>
    <row r="107" spans="1:17" x14ac:dyDescent="0.25">
      <c r="A107">
        <v>106</v>
      </c>
      <c r="B107">
        <v>12</v>
      </c>
      <c r="C107" t="s">
        <v>16</v>
      </c>
      <c r="D107" t="s">
        <v>17</v>
      </c>
      <c r="E107" t="s">
        <v>49</v>
      </c>
      <c r="F107" t="s">
        <v>28</v>
      </c>
      <c r="G107" t="s">
        <v>20</v>
      </c>
      <c r="H107" t="s">
        <v>21</v>
      </c>
      <c r="I107" t="s">
        <v>54</v>
      </c>
      <c r="J107" t="s">
        <v>148</v>
      </c>
      <c r="K107" t="s">
        <v>23</v>
      </c>
      <c r="L107">
        <v>902</v>
      </c>
      <c r="M107">
        <v>13.968761300000001</v>
      </c>
      <c r="N107">
        <v>74.40465403117858</v>
      </c>
      <c r="O107">
        <v>0.70185950080412518</v>
      </c>
      <c r="P107" s="1" t="str">
        <f>HYPERLINK(".\sm_car_250824_2329\sm_car_250824_2329_106_Ca012TrN_MaIPA_DrSt_ode23t_1.png","figure")</f>
        <v>figure</v>
      </c>
      <c r="Q107" t="s">
        <v>15</v>
      </c>
    </row>
    <row r="108" spans="1:17" x14ac:dyDescent="0.25">
      <c r="A108">
        <v>107</v>
      </c>
      <c r="B108">
        <v>142</v>
      </c>
      <c r="C108" t="s">
        <v>45</v>
      </c>
      <c r="D108" t="s">
        <v>17</v>
      </c>
      <c r="E108" t="s">
        <v>49</v>
      </c>
      <c r="F108" t="s">
        <v>28</v>
      </c>
      <c r="G108" t="s">
        <v>26</v>
      </c>
      <c r="H108" t="s">
        <v>21</v>
      </c>
      <c r="I108" t="s">
        <v>53</v>
      </c>
      <c r="J108" t="s">
        <v>148</v>
      </c>
      <c r="K108" t="s">
        <v>23</v>
      </c>
      <c r="L108">
        <v>983</v>
      </c>
      <c r="M108">
        <v>14.164869100000001</v>
      </c>
      <c r="N108">
        <v>254.55501024241693</v>
      </c>
      <c r="O108">
        <v>-7.4365839307120041E-3</v>
      </c>
      <c r="P108" s="1" t="str">
        <f>HYPERLINK(".\sm_car_250824_2329\sm_car_250824_2329_107_Ca142TrN_MaDLC_DrSt_ode23t_1.png","figure")</f>
        <v>figure</v>
      </c>
      <c r="Q108" t="s">
        <v>15</v>
      </c>
    </row>
    <row r="109" spans="1:17" x14ac:dyDescent="0.25">
      <c r="A109">
        <v>108</v>
      </c>
      <c r="B109">
        <v>142</v>
      </c>
      <c r="C109" t="s">
        <v>45</v>
      </c>
      <c r="D109" t="s">
        <v>17</v>
      </c>
      <c r="E109" t="s">
        <v>49</v>
      </c>
      <c r="F109" t="s">
        <v>28</v>
      </c>
      <c r="G109" t="s">
        <v>26</v>
      </c>
      <c r="H109" t="s">
        <v>21</v>
      </c>
      <c r="I109" t="s">
        <v>54</v>
      </c>
      <c r="J109" t="s">
        <v>148</v>
      </c>
      <c r="K109" t="s">
        <v>23</v>
      </c>
      <c r="L109">
        <v>1359</v>
      </c>
      <c r="M109">
        <v>32.644980199999999</v>
      </c>
      <c r="N109">
        <v>82.609457976043245</v>
      </c>
      <c r="O109">
        <v>0.63788670942218262</v>
      </c>
      <c r="P109" s="1" t="str">
        <f>HYPERLINK(".\sm_car_250824_2329\sm_car_250824_2329_108_Ca142TrN_MaIPA_DrSt_ode23t_1.png","figure")</f>
        <v>figure</v>
      </c>
      <c r="Q109" t="s">
        <v>15</v>
      </c>
    </row>
    <row r="110" spans="1:17" x14ac:dyDescent="0.25">
      <c r="A110">
        <v>109</v>
      </c>
      <c r="B110">
        <v>145</v>
      </c>
      <c r="C110" t="s">
        <v>46</v>
      </c>
      <c r="D110" t="s">
        <v>17</v>
      </c>
      <c r="E110" t="s">
        <v>50</v>
      </c>
      <c r="F110" t="s">
        <v>19</v>
      </c>
      <c r="G110" t="s">
        <v>26</v>
      </c>
      <c r="H110" t="s">
        <v>21</v>
      </c>
      <c r="I110" t="s">
        <v>53</v>
      </c>
      <c r="J110" t="s">
        <v>148</v>
      </c>
      <c r="K110" t="s">
        <v>23</v>
      </c>
      <c r="L110">
        <v>464</v>
      </c>
      <c r="M110">
        <v>15.6618092</v>
      </c>
      <c r="N110">
        <v>255.28779016135792</v>
      </c>
      <c r="O110">
        <v>6.8415375574617521E-2</v>
      </c>
      <c r="P110" s="1" t="str">
        <f>HYPERLINK(".\sm_car_250824_2329\sm_car_250824_2329_109_Ca145TrN_MaDLC_DrSt_ode23t_1.png","figure")</f>
        <v>figure</v>
      </c>
      <c r="Q110" t="s">
        <v>15</v>
      </c>
    </row>
    <row r="111" spans="1:17" x14ac:dyDescent="0.25">
      <c r="A111">
        <v>110</v>
      </c>
      <c r="B111">
        <v>145</v>
      </c>
      <c r="C111" t="s">
        <v>46</v>
      </c>
      <c r="D111" t="s">
        <v>17</v>
      </c>
      <c r="E111" t="s">
        <v>50</v>
      </c>
      <c r="F111" t="s">
        <v>19</v>
      </c>
      <c r="G111" t="s">
        <v>26</v>
      </c>
      <c r="H111" t="s">
        <v>21</v>
      </c>
      <c r="I111" t="s">
        <v>54</v>
      </c>
      <c r="J111" t="s">
        <v>148</v>
      </c>
      <c r="K111" t="s">
        <v>23</v>
      </c>
      <c r="L111">
        <v>324</v>
      </c>
      <c r="M111">
        <v>11.187595099999999</v>
      </c>
      <c r="N111">
        <v>27.998537058085546</v>
      </c>
      <c r="O111">
        <v>1.570866703714317E-2</v>
      </c>
      <c r="P111" s="1" t="str">
        <f>HYPERLINK(".\sm_car_250824_2329\sm_car_250824_2329_110_Ca145TrN_MaIPA_DrSt_ode23t_1.png","figure")</f>
        <v>figure</v>
      </c>
      <c r="Q111" t="s">
        <v>15</v>
      </c>
    </row>
    <row r="112" spans="1:17" x14ac:dyDescent="0.25">
      <c r="A112">
        <v>111</v>
      </c>
      <c r="B112">
        <v>184</v>
      </c>
      <c r="C112" t="s">
        <v>105</v>
      </c>
      <c r="D112" t="s">
        <v>120</v>
      </c>
      <c r="E112" t="s">
        <v>49</v>
      </c>
      <c r="F112" t="s">
        <v>19</v>
      </c>
      <c r="G112" t="s">
        <v>20</v>
      </c>
      <c r="H112" t="s">
        <v>21</v>
      </c>
      <c r="I112" t="s">
        <v>53</v>
      </c>
      <c r="J112" t="s">
        <v>148</v>
      </c>
      <c r="K112" t="s">
        <v>23</v>
      </c>
      <c r="L112">
        <v>383</v>
      </c>
      <c r="M112">
        <v>9.8726368999999998</v>
      </c>
      <c r="N112">
        <v>257.35722780816474</v>
      </c>
      <c r="O112">
        <v>7.7606557530609521E-3</v>
      </c>
      <c r="P112" s="1" t="str">
        <f>HYPERLINK(".\sm_car_250824_2329\sm_car_250824_2329_111_Ca184TrN_MaDLC_DrSt_ode23t_1.png","figure")</f>
        <v>figure</v>
      </c>
      <c r="Q112" t="s">
        <v>15</v>
      </c>
    </row>
    <row r="113" spans="1:17" x14ac:dyDescent="0.25">
      <c r="A113">
        <v>112</v>
      </c>
      <c r="B113">
        <v>184</v>
      </c>
      <c r="C113" t="s">
        <v>105</v>
      </c>
      <c r="D113" t="s">
        <v>120</v>
      </c>
      <c r="E113" t="s">
        <v>49</v>
      </c>
      <c r="F113" t="s">
        <v>19</v>
      </c>
      <c r="G113" t="s">
        <v>20</v>
      </c>
      <c r="H113" t="s">
        <v>21</v>
      </c>
      <c r="I113" t="s">
        <v>54</v>
      </c>
      <c r="J113" t="s">
        <v>148</v>
      </c>
      <c r="K113" t="s">
        <v>23</v>
      </c>
      <c r="L113">
        <v>323</v>
      </c>
      <c r="M113">
        <v>11.836519300000001</v>
      </c>
      <c r="N113">
        <v>55.268292264342122</v>
      </c>
      <c r="O113">
        <v>5.6701607031800164E-3</v>
      </c>
      <c r="P113" s="1" t="str">
        <f>HYPERLINK(".\sm_car_250824_2329\sm_car_250824_2329_112_Ca184TrN_MaIPA_DrSt_ode23t_1.png","figure")</f>
        <v>figure</v>
      </c>
      <c r="Q113" t="s">
        <v>15</v>
      </c>
    </row>
    <row r="114" spans="1:17" x14ac:dyDescent="0.25">
      <c r="A114">
        <v>113</v>
      </c>
      <c r="B114">
        <v>204</v>
      </c>
      <c r="C114" t="s">
        <v>105</v>
      </c>
      <c r="D114" t="s">
        <v>106</v>
      </c>
      <c r="E114" t="s">
        <v>18</v>
      </c>
      <c r="F114" t="s">
        <v>19</v>
      </c>
      <c r="G114" t="s">
        <v>20</v>
      </c>
      <c r="H114" t="s">
        <v>21</v>
      </c>
      <c r="I114" t="s">
        <v>53</v>
      </c>
      <c r="J114" t="s">
        <v>148</v>
      </c>
      <c r="K114" t="s">
        <v>23</v>
      </c>
      <c r="L114">
        <v>1846</v>
      </c>
      <c r="M114">
        <v>24.205959400000001</v>
      </c>
      <c r="N114">
        <v>254.66277026108662</v>
      </c>
      <c r="O114">
        <v>1.8069888375600307E-2</v>
      </c>
      <c r="P114" s="1" t="str">
        <f>HYPERLINK(".\sm_car_250824_2329\sm_car_250824_2329_113_Ca204TrN_MaDLC_DrSt_ode23t_1.png","figure")</f>
        <v>figure</v>
      </c>
      <c r="Q114" t="s">
        <v>15</v>
      </c>
    </row>
    <row r="115" spans="1:17" x14ac:dyDescent="0.25">
      <c r="A115">
        <v>114</v>
      </c>
      <c r="B115">
        <v>204</v>
      </c>
      <c r="C115" t="s">
        <v>105</v>
      </c>
      <c r="D115" t="s">
        <v>106</v>
      </c>
      <c r="E115" t="s">
        <v>18</v>
      </c>
      <c r="F115" t="s">
        <v>19</v>
      </c>
      <c r="G115" t="s">
        <v>20</v>
      </c>
      <c r="H115" t="s">
        <v>21</v>
      </c>
      <c r="I115" t="s">
        <v>54</v>
      </c>
      <c r="J115" t="s">
        <v>148</v>
      </c>
      <c r="K115" t="s">
        <v>23</v>
      </c>
      <c r="L115">
        <v>663</v>
      </c>
      <c r="M115">
        <v>11.2781614</v>
      </c>
      <c r="N115">
        <v>26.034582908336471</v>
      </c>
      <c r="O115">
        <v>9.6641497332310318E-3</v>
      </c>
      <c r="P115" s="1" t="str">
        <f>HYPERLINK(".\sm_car_250824_2329\sm_car_250824_2329_114_Ca204TrN_MaIPA_DrSt_ode23t_1.png","figure")</f>
        <v>figure</v>
      </c>
      <c r="Q115" t="s">
        <v>15</v>
      </c>
    </row>
    <row r="116" spans="1:17" x14ac:dyDescent="0.25">
      <c r="A116">
        <v>115</v>
      </c>
      <c r="B116">
        <v>12</v>
      </c>
      <c r="C116" t="s">
        <v>16</v>
      </c>
      <c r="D116" t="s">
        <v>17</v>
      </c>
      <c r="E116" t="s">
        <v>49</v>
      </c>
      <c r="F116" t="s">
        <v>28</v>
      </c>
      <c r="G116" t="s">
        <v>20</v>
      </c>
      <c r="H116" t="s">
        <v>21</v>
      </c>
      <c r="I116" t="s">
        <v>55</v>
      </c>
      <c r="J116" t="s">
        <v>148</v>
      </c>
      <c r="K116" t="s">
        <v>23</v>
      </c>
      <c r="L116">
        <v>2585</v>
      </c>
      <c r="M116">
        <v>24.4078865</v>
      </c>
      <c r="N116">
        <v>-2.0629093586502431E-2</v>
      </c>
      <c r="O116">
        <v>-0.64593465569900743</v>
      </c>
      <c r="P116" s="1" t="str">
        <f>HYPERLINK(".\sm_car_250824_2329\sm_car_250824_2329_115_Ca012TrN_MaMPK_DrSt_ode23t_1.png","figure")</f>
        <v>figure</v>
      </c>
      <c r="Q116" t="s">
        <v>15</v>
      </c>
    </row>
    <row r="117" spans="1:17" x14ac:dyDescent="0.25">
      <c r="A117">
        <v>116</v>
      </c>
      <c r="B117">
        <v>12</v>
      </c>
      <c r="C117" t="s">
        <v>16</v>
      </c>
      <c r="D117" t="s">
        <v>17</v>
      </c>
      <c r="E117" t="s">
        <v>49</v>
      </c>
      <c r="F117" t="s">
        <v>28</v>
      </c>
      <c r="G117" t="s">
        <v>20</v>
      </c>
      <c r="H117" t="s">
        <v>21</v>
      </c>
      <c r="I117" t="s">
        <v>55</v>
      </c>
      <c r="J117" t="s">
        <v>149</v>
      </c>
      <c r="K117" t="s">
        <v>23</v>
      </c>
      <c r="L117">
        <v>2382</v>
      </c>
      <c r="M117">
        <v>21.466650999999999</v>
      </c>
      <c r="N117">
        <v>-8.757132298674461E-3</v>
      </c>
      <c r="O117">
        <v>-3.7756162313556704E-2</v>
      </c>
      <c r="P117" s="1" t="str">
        <f>HYPERLINK(".\sm_car_250824_2329\sm_car_250824_2329_116_Ca012TrN_MaMPK_DrSt_ode23t_1.png","figure")</f>
        <v>figure</v>
      </c>
      <c r="Q117" t="s">
        <v>15</v>
      </c>
    </row>
    <row r="118" spans="1:17" x14ac:dyDescent="0.25">
      <c r="A118">
        <v>117</v>
      </c>
      <c r="B118">
        <v>12</v>
      </c>
      <c r="C118" t="s">
        <v>16</v>
      </c>
      <c r="D118" t="s">
        <v>17</v>
      </c>
      <c r="E118" t="s">
        <v>49</v>
      </c>
      <c r="F118" t="s">
        <v>28</v>
      </c>
      <c r="G118" t="s">
        <v>20</v>
      </c>
      <c r="H118" t="s">
        <v>21</v>
      </c>
      <c r="I118" t="s">
        <v>56</v>
      </c>
      <c r="J118" t="s">
        <v>148</v>
      </c>
      <c r="K118" t="s">
        <v>23</v>
      </c>
      <c r="L118">
        <v>2425</v>
      </c>
      <c r="M118">
        <v>25.4583893</v>
      </c>
      <c r="N118">
        <v>0.78942604956534623</v>
      </c>
      <c r="O118">
        <v>-0.33091525642731834</v>
      </c>
      <c r="P118" s="1" t="str">
        <f>HYPERLINK(".\sm_car_250824_2329\sm_car_250824_2329_117_Ca012TrN_MaMPC_DrSt_ode23t_1.png","figure")</f>
        <v>figure</v>
      </c>
      <c r="Q118" t="s">
        <v>15</v>
      </c>
    </row>
    <row r="119" spans="1:17" x14ac:dyDescent="0.25">
      <c r="A119">
        <v>118</v>
      </c>
      <c r="B119">
        <v>12</v>
      </c>
      <c r="C119" t="s">
        <v>16</v>
      </c>
      <c r="D119" t="s">
        <v>17</v>
      </c>
      <c r="E119" t="s">
        <v>49</v>
      </c>
      <c r="F119" t="s">
        <v>28</v>
      </c>
      <c r="G119" t="s">
        <v>20</v>
      </c>
      <c r="H119" t="s">
        <v>21</v>
      </c>
      <c r="I119" t="s">
        <v>56</v>
      </c>
      <c r="J119" t="s">
        <v>149</v>
      </c>
      <c r="K119" t="s">
        <v>23</v>
      </c>
      <c r="L119">
        <v>2262</v>
      </c>
      <c r="M119">
        <v>22.234066899999998</v>
      </c>
      <c r="N119">
        <v>0.78567685266048137</v>
      </c>
      <c r="O119">
        <v>0.10504751602754532</v>
      </c>
      <c r="P119" s="1" t="str">
        <f>HYPERLINK(".\sm_car_250824_2329\sm_car_250824_2329_118_Ca012TrN_MaMPC_DrSt_ode23t_1.png","figure")</f>
        <v>figure</v>
      </c>
      <c r="Q119" t="s">
        <v>15</v>
      </c>
    </row>
    <row r="120" spans="1:17" x14ac:dyDescent="0.25">
      <c r="A120">
        <v>119</v>
      </c>
      <c r="B120">
        <v>142</v>
      </c>
      <c r="C120" t="s">
        <v>45</v>
      </c>
      <c r="D120" t="s">
        <v>17</v>
      </c>
      <c r="E120" t="s">
        <v>49</v>
      </c>
      <c r="F120" t="s">
        <v>28</v>
      </c>
      <c r="G120" t="s">
        <v>26</v>
      </c>
      <c r="H120" t="s">
        <v>21</v>
      </c>
      <c r="I120" t="s">
        <v>55</v>
      </c>
      <c r="J120" t="s">
        <v>148</v>
      </c>
      <c r="K120" t="s">
        <v>23</v>
      </c>
      <c r="L120">
        <v>2565</v>
      </c>
      <c r="M120">
        <v>35.822290600000002</v>
      </c>
      <c r="N120">
        <v>-6.9433460483666609E-3</v>
      </c>
      <c r="O120">
        <v>-0.55914196649901282</v>
      </c>
      <c r="P120" s="1" t="str">
        <f>HYPERLINK(".\sm_car_250824_2329\sm_car_250824_2329_119_Ca142TrN_MaMPK_DrSt_ode23t_1.png","figure")</f>
        <v>figure</v>
      </c>
      <c r="Q120" t="s">
        <v>15</v>
      </c>
    </row>
    <row r="121" spans="1:17" x14ac:dyDescent="0.25">
      <c r="A121">
        <v>120</v>
      </c>
      <c r="B121">
        <v>142</v>
      </c>
      <c r="C121" t="s">
        <v>45</v>
      </c>
      <c r="D121" t="s">
        <v>17</v>
      </c>
      <c r="E121" t="s">
        <v>49</v>
      </c>
      <c r="F121" t="s">
        <v>28</v>
      </c>
      <c r="G121" t="s">
        <v>26</v>
      </c>
      <c r="H121" t="s">
        <v>21</v>
      </c>
      <c r="I121" t="s">
        <v>55</v>
      </c>
      <c r="J121" t="s">
        <v>149</v>
      </c>
      <c r="K121" t="s">
        <v>23</v>
      </c>
      <c r="L121">
        <v>2924</v>
      </c>
      <c r="M121">
        <v>33.379646700000002</v>
      </c>
      <c r="N121">
        <v>-9.8743940283370218E-3</v>
      </c>
      <c r="O121">
        <v>-7.9209557457091712E-2</v>
      </c>
      <c r="P121" s="1" t="str">
        <f>HYPERLINK(".\sm_car_250824_2329\sm_car_250824_2329_120_Ca142TrN_MaMPK_DrSt_ode23t_1.png","figure")</f>
        <v>figure</v>
      </c>
      <c r="Q121" t="s">
        <v>15</v>
      </c>
    </row>
    <row r="122" spans="1:17" x14ac:dyDescent="0.25">
      <c r="A122">
        <v>121</v>
      </c>
      <c r="B122">
        <v>142</v>
      </c>
      <c r="C122" t="s">
        <v>45</v>
      </c>
      <c r="D122" t="s">
        <v>17</v>
      </c>
      <c r="E122" t="s">
        <v>49</v>
      </c>
      <c r="F122" t="s">
        <v>28</v>
      </c>
      <c r="G122" t="s">
        <v>26</v>
      </c>
      <c r="H122" t="s">
        <v>21</v>
      </c>
      <c r="I122" t="s">
        <v>56</v>
      </c>
      <c r="J122" t="s">
        <v>148</v>
      </c>
      <c r="K122" t="s">
        <v>23</v>
      </c>
      <c r="L122">
        <v>2403</v>
      </c>
      <c r="M122">
        <v>35.335920199999997</v>
      </c>
      <c r="N122">
        <v>0.7886861143095576</v>
      </c>
      <c r="O122">
        <v>-0.3725001293340276</v>
      </c>
      <c r="P122" s="1" t="str">
        <f>HYPERLINK(".\sm_car_250824_2329\sm_car_250824_2329_121_Ca142TrN_MaMPC_DrSt_ode23t_1.png","figure")</f>
        <v>figure</v>
      </c>
      <c r="Q122" t="s">
        <v>15</v>
      </c>
    </row>
    <row r="123" spans="1:17" x14ac:dyDescent="0.25">
      <c r="A123">
        <v>122</v>
      </c>
      <c r="B123">
        <v>142</v>
      </c>
      <c r="C123" t="s">
        <v>45</v>
      </c>
      <c r="D123" t="s">
        <v>17</v>
      </c>
      <c r="E123" t="s">
        <v>49</v>
      </c>
      <c r="F123" t="s">
        <v>28</v>
      </c>
      <c r="G123" t="s">
        <v>26</v>
      </c>
      <c r="H123" t="s">
        <v>21</v>
      </c>
      <c r="I123" t="s">
        <v>56</v>
      </c>
      <c r="J123" t="s">
        <v>149</v>
      </c>
      <c r="K123" t="s">
        <v>23</v>
      </c>
      <c r="L123">
        <v>2778</v>
      </c>
      <c r="M123">
        <v>38.623943300000001</v>
      </c>
      <c r="N123">
        <v>0.76919531902451332</v>
      </c>
      <c r="O123">
        <v>1.9460578381337773E-2</v>
      </c>
      <c r="P123" s="1" t="str">
        <f>HYPERLINK(".\sm_car_250824_2329\sm_car_250824_2329_122_Ca142TrN_MaMPC_DrSt_ode23t_1.png","figure")</f>
        <v>figure</v>
      </c>
      <c r="Q123" t="s">
        <v>15</v>
      </c>
    </row>
    <row r="124" spans="1:17" x14ac:dyDescent="0.25">
      <c r="A124">
        <v>123</v>
      </c>
      <c r="B124">
        <v>116</v>
      </c>
      <c r="C124" t="s">
        <v>16</v>
      </c>
      <c r="D124" t="s">
        <v>35</v>
      </c>
      <c r="E124" t="s">
        <v>18</v>
      </c>
      <c r="F124" t="s">
        <v>28</v>
      </c>
      <c r="G124" t="s">
        <v>20</v>
      </c>
      <c r="H124" t="s">
        <v>21</v>
      </c>
      <c r="I124" t="s">
        <v>55</v>
      </c>
      <c r="J124" t="s">
        <v>148</v>
      </c>
      <c r="K124" t="s">
        <v>23</v>
      </c>
      <c r="L124">
        <v>2864</v>
      </c>
      <c r="M124">
        <v>14.2373789</v>
      </c>
      <c r="N124">
        <v>-1.7414599569133979E-2</v>
      </c>
      <c r="O124">
        <v>-0.54245933815137337</v>
      </c>
      <c r="P124" s="1" t="str">
        <f>HYPERLINK(".\sm_car_250824_2329\sm_car_250824_2329_123_Ca116TrN_MaMPK_DrSt_ode23t_1.png","figure")</f>
        <v>figure</v>
      </c>
      <c r="Q124" t="s">
        <v>15</v>
      </c>
    </row>
    <row r="125" spans="1:17" x14ac:dyDescent="0.25">
      <c r="A125">
        <v>124</v>
      </c>
      <c r="B125">
        <v>116</v>
      </c>
      <c r="C125" t="s">
        <v>16</v>
      </c>
      <c r="D125" t="s">
        <v>35</v>
      </c>
      <c r="E125" t="s">
        <v>18</v>
      </c>
      <c r="F125" t="s">
        <v>28</v>
      </c>
      <c r="G125" t="s">
        <v>20</v>
      </c>
      <c r="H125" t="s">
        <v>21</v>
      </c>
      <c r="I125" t="s">
        <v>55</v>
      </c>
      <c r="J125" t="s">
        <v>149</v>
      </c>
      <c r="K125" t="s">
        <v>23</v>
      </c>
      <c r="L125">
        <v>2783</v>
      </c>
      <c r="M125">
        <v>13.729070699999999</v>
      </c>
      <c r="N125">
        <v>-1.8397055124210179E-2</v>
      </c>
      <c r="O125">
        <v>-0.53558486049605125</v>
      </c>
      <c r="P125" s="1" t="str">
        <f>HYPERLINK(".\sm_car_250824_2329\sm_car_250824_2329_124_Ca116TrN_MaMPK_DrSt_ode23t_1.png","figure")</f>
        <v>figure</v>
      </c>
      <c r="Q125" t="s">
        <v>15</v>
      </c>
    </row>
    <row r="126" spans="1:17" x14ac:dyDescent="0.25">
      <c r="A126">
        <v>125</v>
      </c>
      <c r="B126">
        <v>116</v>
      </c>
      <c r="C126" t="s">
        <v>16</v>
      </c>
      <c r="D126" t="s">
        <v>35</v>
      </c>
      <c r="E126" t="s">
        <v>18</v>
      </c>
      <c r="F126" t="s">
        <v>28</v>
      </c>
      <c r="G126" t="s">
        <v>20</v>
      </c>
      <c r="H126" t="s">
        <v>21</v>
      </c>
      <c r="I126" t="s">
        <v>56</v>
      </c>
      <c r="J126" t="s">
        <v>148</v>
      </c>
      <c r="K126" t="s">
        <v>23</v>
      </c>
      <c r="L126">
        <v>2768</v>
      </c>
      <c r="M126">
        <v>13.447878899999999</v>
      </c>
      <c r="N126">
        <v>0.78798839429490464</v>
      </c>
      <c r="O126">
        <v>-0.36276275941761932</v>
      </c>
      <c r="P126" s="1" t="str">
        <f>HYPERLINK(".\sm_car_250824_2329\sm_car_250824_2329_125_Ca116TrN_MaMPC_DrSt_ode23t_1.png","figure")</f>
        <v>figure</v>
      </c>
      <c r="Q126" t="s">
        <v>15</v>
      </c>
    </row>
    <row r="127" spans="1:17" x14ac:dyDescent="0.25">
      <c r="A127">
        <v>126</v>
      </c>
      <c r="B127">
        <v>116</v>
      </c>
      <c r="C127" t="s">
        <v>16</v>
      </c>
      <c r="D127" t="s">
        <v>35</v>
      </c>
      <c r="E127" t="s">
        <v>18</v>
      </c>
      <c r="F127" t="s">
        <v>28</v>
      </c>
      <c r="G127" t="s">
        <v>20</v>
      </c>
      <c r="H127" t="s">
        <v>21</v>
      </c>
      <c r="I127" t="s">
        <v>56</v>
      </c>
      <c r="J127" t="s">
        <v>149</v>
      </c>
      <c r="K127" t="s">
        <v>23</v>
      </c>
      <c r="L127">
        <v>2639</v>
      </c>
      <c r="M127">
        <v>12.995097100000001</v>
      </c>
      <c r="N127">
        <v>0.78924363933189667</v>
      </c>
      <c r="O127">
        <v>0.44067295820595781</v>
      </c>
      <c r="P127" s="1" t="str">
        <f>HYPERLINK(".\sm_car_250824_2329\sm_car_250824_2329_126_Ca116TrN_MaMPC_DrSt_ode23t_1.png","figure")</f>
        <v>figure</v>
      </c>
      <c r="Q127" t="s">
        <v>15</v>
      </c>
    </row>
    <row r="128" spans="1:17" x14ac:dyDescent="0.25">
      <c r="A128">
        <v>127</v>
      </c>
      <c r="B128">
        <v>143</v>
      </c>
      <c r="C128" t="s">
        <v>46</v>
      </c>
      <c r="D128" t="s">
        <v>17</v>
      </c>
      <c r="E128" t="s">
        <v>47</v>
      </c>
      <c r="F128" t="s">
        <v>19</v>
      </c>
      <c r="G128" t="s">
        <v>26</v>
      </c>
      <c r="H128" t="s">
        <v>21</v>
      </c>
      <c r="I128" t="s">
        <v>55</v>
      </c>
      <c r="J128" t="s">
        <v>148</v>
      </c>
      <c r="K128" t="s">
        <v>23</v>
      </c>
      <c r="L128">
        <v>2474</v>
      </c>
      <c r="M128">
        <v>48.430402899999997</v>
      </c>
      <c r="N128">
        <v>-1.7232913288221685E-2</v>
      </c>
      <c r="O128">
        <v>-0.40370609761196213</v>
      </c>
      <c r="P128" s="1" t="str">
        <f>HYPERLINK(".\sm_car_250824_2329\sm_car_250824_2329_127_Ca143TrN_MaMPK_DrSt_ode23t_1.png","figure")</f>
        <v>figure</v>
      </c>
      <c r="Q128" t="s">
        <v>15</v>
      </c>
    </row>
    <row r="129" spans="1:17" x14ac:dyDescent="0.25">
      <c r="A129">
        <v>128</v>
      </c>
      <c r="B129">
        <v>143</v>
      </c>
      <c r="C129" t="s">
        <v>46</v>
      </c>
      <c r="D129" t="s">
        <v>17</v>
      </c>
      <c r="E129" t="s">
        <v>47</v>
      </c>
      <c r="F129" t="s">
        <v>19</v>
      </c>
      <c r="G129" t="s">
        <v>26</v>
      </c>
      <c r="H129" t="s">
        <v>21</v>
      </c>
      <c r="I129" t="s">
        <v>55</v>
      </c>
      <c r="J129" t="s">
        <v>149</v>
      </c>
      <c r="K129" t="s">
        <v>23</v>
      </c>
      <c r="L129">
        <v>2213</v>
      </c>
      <c r="M129">
        <v>41.953572800000003</v>
      </c>
      <c r="N129">
        <v>-1.0456680420459538E-2</v>
      </c>
      <c r="O129">
        <v>-8.9734616205116566E-2</v>
      </c>
      <c r="P129" s="1" t="str">
        <f>HYPERLINK(".\sm_car_250824_2329\sm_car_250824_2329_128_Ca143TrN_MaMPK_DrSt_ode23t_1.png","figure")</f>
        <v>figure</v>
      </c>
      <c r="Q129" t="s">
        <v>15</v>
      </c>
    </row>
    <row r="130" spans="1:17" x14ac:dyDescent="0.25">
      <c r="A130">
        <v>129</v>
      </c>
      <c r="B130">
        <v>143</v>
      </c>
      <c r="C130" t="s">
        <v>46</v>
      </c>
      <c r="D130" t="s">
        <v>17</v>
      </c>
      <c r="E130" t="s">
        <v>47</v>
      </c>
      <c r="F130" t="s">
        <v>19</v>
      </c>
      <c r="G130" t="s">
        <v>26</v>
      </c>
      <c r="H130" t="s">
        <v>21</v>
      </c>
      <c r="I130" t="s">
        <v>56</v>
      </c>
      <c r="J130" t="s">
        <v>148</v>
      </c>
      <c r="K130" t="s">
        <v>23</v>
      </c>
      <c r="L130">
        <v>2363</v>
      </c>
      <c r="M130">
        <v>50.409292000000001</v>
      </c>
      <c r="N130">
        <v>0.78847781581590404</v>
      </c>
      <c r="O130">
        <v>-0.27201963163576759</v>
      </c>
      <c r="P130" s="1" t="str">
        <f>HYPERLINK(".\sm_car_250824_2329\sm_car_250824_2329_129_Ca143TrN_MaMPC_DrSt_ode23t_1.png","figure")</f>
        <v>figure</v>
      </c>
      <c r="Q130" t="s">
        <v>15</v>
      </c>
    </row>
    <row r="131" spans="1:17" x14ac:dyDescent="0.25">
      <c r="A131">
        <v>130</v>
      </c>
      <c r="B131">
        <v>143</v>
      </c>
      <c r="C131" t="s">
        <v>46</v>
      </c>
      <c r="D131" t="s">
        <v>17</v>
      </c>
      <c r="E131" t="s">
        <v>47</v>
      </c>
      <c r="F131" t="s">
        <v>19</v>
      </c>
      <c r="G131" t="s">
        <v>26</v>
      </c>
      <c r="H131" t="s">
        <v>21</v>
      </c>
      <c r="I131" t="s">
        <v>56</v>
      </c>
      <c r="J131" t="s">
        <v>149</v>
      </c>
      <c r="K131" t="s">
        <v>23</v>
      </c>
      <c r="L131">
        <v>2131</v>
      </c>
      <c r="M131">
        <v>45.539548000000003</v>
      </c>
      <c r="N131">
        <v>0.78600248733707723</v>
      </c>
      <c r="O131">
        <v>-0.15682852274492198</v>
      </c>
      <c r="P131" s="1" t="str">
        <f>HYPERLINK(".\sm_car_250824_2329\sm_car_250824_2329_130_Ca143TrN_MaMPC_DrSt_ode23t_1.png","figure")</f>
        <v>figure</v>
      </c>
      <c r="Q131" t="s">
        <v>15</v>
      </c>
    </row>
    <row r="132" spans="1:17" x14ac:dyDescent="0.25">
      <c r="A132">
        <v>131</v>
      </c>
      <c r="B132">
        <v>166</v>
      </c>
      <c r="C132" t="s">
        <v>45</v>
      </c>
      <c r="D132" t="s">
        <v>57</v>
      </c>
      <c r="E132" t="s">
        <v>18</v>
      </c>
      <c r="F132" t="s">
        <v>19</v>
      </c>
      <c r="G132" t="s">
        <v>26</v>
      </c>
      <c r="H132" t="s">
        <v>21</v>
      </c>
      <c r="I132" t="s">
        <v>55</v>
      </c>
      <c r="J132" t="s">
        <v>148</v>
      </c>
      <c r="K132" t="s">
        <v>23</v>
      </c>
      <c r="L132">
        <v>3158</v>
      </c>
      <c r="M132">
        <v>52.606147399999998</v>
      </c>
      <c r="N132">
        <v>-1.9659881456310202E-2</v>
      </c>
      <c r="O132">
        <v>-0.57254016640087868</v>
      </c>
      <c r="P132" s="1" t="str">
        <f>HYPERLINK(".\sm_car_250824_2329\sm_car_250824_2329_131_Ca166TrN_MaMPK_DrSt_ode23t_1.png","figure")</f>
        <v>figure</v>
      </c>
      <c r="Q132" t="s">
        <v>15</v>
      </c>
    </row>
    <row r="133" spans="1:17" x14ac:dyDescent="0.25">
      <c r="A133">
        <v>132</v>
      </c>
      <c r="B133">
        <v>166</v>
      </c>
      <c r="C133" t="s">
        <v>45</v>
      </c>
      <c r="D133" t="s">
        <v>57</v>
      </c>
      <c r="E133" t="s">
        <v>18</v>
      </c>
      <c r="F133" t="s">
        <v>19</v>
      </c>
      <c r="G133" t="s">
        <v>26</v>
      </c>
      <c r="H133" t="s">
        <v>21</v>
      </c>
      <c r="I133" t="s">
        <v>55</v>
      </c>
      <c r="J133" t="s">
        <v>149</v>
      </c>
      <c r="K133" t="s">
        <v>23</v>
      </c>
      <c r="L133">
        <v>3759</v>
      </c>
      <c r="M133">
        <v>58.028160700000001</v>
      </c>
      <c r="N133">
        <v>-2.8636948101360415E-3</v>
      </c>
      <c r="O133">
        <v>-8.4694541711007196E-2</v>
      </c>
      <c r="P133" s="1" t="str">
        <f>HYPERLINK(".\sm_car_250824_2329\sm_car_250824_2329_132_Ca166TrN_MaMPK_DrSt_ode23t_1.png","figure")</f>
        <v>figure</v>
      </c>
      <c r="Q133" t="s">
        <v>15</v>
      </c>
    </row>
    <row r="134" spans="1:17" x14ac:dyDescent="0.25">
      <c r="A134">
        <v>133</v>
      </c>
      <c r="B134">
        <v>166</v>
      </c>
      <c r="C134" t="s">
        <v>45</v>
      </c>
      <c r="D134" t="s">
        <v>57</v>
      </c>
      <c r="E134" t="s">
        <v>18</v>
      </c>
      <c r="F134" t="s">
        <v>19</v>
      </c>
      <c r="G134" t="s">
        <v>26</v>
      </c>
      <c r="H134" t="s">
        <v>21</v>
      </c>
      <c r="I134" t="s">
        <v>56</v>
      </c>
      <c r="J134" t="s">
        <v>148</v>
      </c>
      <c r="K134" t="s">
        <v>23</v>
      </c>
      <c r="L134">
        <v>3028</v>
      </c>
      <c r="M134">
        <v>52.319957500000001</v>
      </c>
      <c r="N134">
        <v>0.78732603304547411</v>
      </c>
      <c r="O134">
        <v>-0.36185250276050279</v>
      </c>
      <c r="P134" s="1" t="str">
        <f>HYPERLINK(".\sm_car_250824_2329\sm_car_250824_2329_133_Ca166TrN_MaMPC_DrSt_ode23t_1.png","figure")</f>
        <v>figure</v>
      </c>
      <c r="Q134" t="s">
        <v>15</v>
      </c>
    </row>
    <row r="135" spans="1:17" x14ac:dyDescent="0.25">
      <c r="A135">
        <v>134</v>
      </c>
      <c r="B135">
        <v>166</v>
      </c>
      <c r="C135" t="s">
        <v>45</v>
      </c>
      <c r="D135" t="s">
        <v>57</v>
      </c>
      <c r="E135" t="s">
        <v>18</v>
      </c>
      <c r="F135" t="s">
        <v>19</v>
      </c>
      <c r="G135" t="s">
        <v>26</v>
      </c>
      <c r="H135" t="s">
        <v>21</v>
      </c>
      <c r="I135" t="s">
        <v>56</v>
      </c>
      <c r="J135" t="s">
        <v>149</v>
      </c>
      <c r="K135" t="s">
        <v>23</v>
      </c>
      <c r="L135">
        <v>3467</v>
      </c>
      <c r="M135">
        <v>53.164298899999999</v>
      </c>
      <c r="N135">
        <v>0.78763326438935977</v>
      </c>
      <c r="O135">
        <v>2.5836934813935397E-2</v>
      </c>
      <c r="P135" s="1" t="str">
        <f>HYPERLINK(".\sm_car_250824_2329\sm_car_250824_2329_134_Ca166TrN_MaMPC_DrSt_ode23t_1.png","figure")</f>
        <v>figure</v>
      </c>
      <c r="Q135" t="s">
        <v>15</v>
      </c>
    </row>
    <row r="136" spans="1:17" x14ac:dyDescent="0.25">
      <c r="A136">
        <v>135</v>
      </c>
      <c r="B136">
        <v>169</v>
      </c>
      <c r="C136" t="s">
        <v>45</v>
      </c>
      <c r="D136" t="s">
        <v>58</v>
      </c>
      <c r="E136" t="s">
        <v>49</v>
      </c>
      <c r="F136" t="s">
        <v>19</v>
      </c>
      <c r="G136" t="s">
        <v>26</v>
      </c>
      <c r="H136" t="s">
        <v>21</v>
      </c>
      <c r="I136" t="s">
        <v>55</v>
      </c>
      <c r="J136" t="s">
        <v>148</v>
      </c>
      <c r="K136" t="s">
        <v>23</v>
      </c>
      <c r="L136">
        <v>3299</v>
      </c>
      <c r="M136">
        <v>47.2656688</v>
      </c>
      <c r="N136">
        <v>-1.8971251755959831E-2</v>
      </c>
      <c r="O136">
        <v>-0.57354610793972138</v>
      </c>
      <c r="P136" s="1" t="str">
        <f>HYPERLINK(".\sm_car_250824_2329\sm_car_250824_2329_135_Ca169TrN_MaMPK_DrSt_ode23t_1.png","figure")</f>
        <v>figure</v>
      </c>
      <c r="Q136" t="s">
        <v>15</v>
      </c>
    </row>
    <row r="137" spans="1:17" x14ac:dyDescent="0.25">
      <c r="A137">
        <v>136</v>
      </c>
      <c r="B137">
        <v>169</v>
      </c>
      <c r="C137" t="s">
        <v>45</v>
      </c>
      <c r="D137" t="s">
        <v>58</v>
      </c>
      <c r="E137" t="s">
        <v>49</v>
      </c>
      <c r="F137" t="s">
        <v>19</v>
      </c>
      <c r="G137" t="s">
        <v>26</v>
      </c>
      <c r="H137" t="s">
        <v>21</v>
      </c>
      <c r="I137" t="s">
        <v>55</v>
      </c>
      <c r="J137" t="s">
        <v>149</v>
      </c>
      <c r="K137" t="s">
        <v>23</v>
      </c>
      <c r="L137">
        <v>3906</v>
      </c>
      <c r="M137">
        <v>52.183722199999998</v>
      </c>
      <c r="N137">
        <v>-1.0827693867648647E-2</v>
      </c>
      <c r="O137">
        <v>-8.3796155033663E-2</v>
      </c>
      <c r="P137" s="1" t="str">
        <f>HYPERLINK(".\sm_car_250824_2329\sm_car_250824_2329_136_Ca169TrN_MaMPK_DrSt_ode23t_1.png","figure")</f>
        <v>figure</v>
      </c>
      <c r="Q137" t="s">
        <v>15</v>
      </c>
    </row>
    <row r="138" spans="1:17" x14ac:dyDescent="0.25">
      <c r="A138">
        <v>137</v>
      </c>
      <c r="B138">
        <v>169</v>
      </c>
      <c r="C138" t="s">
        <v>45</v>
      </c>
      <c r="D138" t="s">
        <v>58</v>
      </c>
      <c r="E138" t="s">
        <v>49</v>
      </c>
      <c r="F138" t="s">
        <v>19</v>
      </c>
      <c r="G138" t="s">
        <v>26</v>
      </c>
      <c r="H138" t="s">
        <v>21</v>
      </c>
      <c r="I138" t="s">
        <v>56</v>
      </c>
      <c r="J138" t="s">
        <v>148</v>
      </c>
      <c r="K138" t="s">
        <v>23</v>
      </c>
      <c r="L138">
        <v>3043</v>
      </c>
      <c r="M138">
        <v>46.375005600000001</v>
      </c>
      <c r="N138">
        <v>0.78633488807258978</v>
      </c>
      <c r="O138">
        <v>-0.35992119126188155</v>
      </c>
      <c r="P138" s="1" t="str">
        <f>HYPERLINK(".\sm_car_250824_2329\sm_car_250824_2329_137_Ca169TrN_MaMPC_DrSt_ode23t_1.png","figure")</f>
        <v>figure</v>
      </c>
      <c r="Q138" t="s">
        <v>15</v>
      </c>
    </row>
    <row r="139" spans="1:17" x14ac:dyDescent="0.25">
      <c r="A139">
        <v>138</v>
      </c>
      <c r="B139">
        <v>169</v>
      </c>
      <c r="C139" t="s">
        <v>45</v>
      </c>
      <c r="D139" t="s">
        <v>58</v>
      </c>
      <c r="E139" t="s">
        <v>49</v>
      </c>
      <c r="F139" t="s">
        <v>19</v>
      </c>
      <c r="G139" t="s">
        <v>26</v>
      </c>
      <c r="H139" t="s">
        <v>21</v>
      </c>
      <c r="I139" t="s">
        <v>56</v>
      </c>
      <c r="J139" t="s">
        <v>149</v>
      </c>
      <c r="K139" t="s">
        <v>23</v>
      </c>
      <c r="L139">
        <v>3470</v>
      </c>
      <c r="M139">
        <v>47.3972087</v>
      </c>
      <c r="N139">
        <v>0.78829538937226218</v>
      </c>
      <c r="O139">
        <v>2.8193719485102516E-2</v>
      </c>
      <c r="P139" s="1" t="str">
        <f>HYPERLINK(".\sm_car_250824_2329\sm_car_250824_2329_138_Ca169TrN_MaMPC_DrSt_ode23t_1.png","figure")</f>
        <v>figure</v>
      </c>
      <c r="Q139" t="s">
        <v>15</v>
      </c>
    </row>
    <row r="140" spans="1:17" x14ac:dyDescent="0.25">
      <c r="A140">
        <v>139</v>
      </c>
      <c r="B140">
        <v>184</v>
      </c>
      <c r="C140" t="s">
        <v>105</v>
      </c>
      <c r="D140" t="s">
        <v>120</v>
      </c>
      <c r="E140" t="s">
        <v>49</v>
      </c>
      <c r="F140" t="s">
        <v>19</v>
      </c>
      <c r="G140" t="s">
        <v>20</v>
      </c>
      <c r="H140" t="s">
        <v>21</v>
      </c>
      <c r="I140" t="s">
        <v>55</v>
      </c>
      <c r="J140" t="s">
        <v>148</v>
      </c>
      <c r="K140" t="s">
        <v>23</v>
      </c>
      <c r="L140">
        <v>2208</v>
      </c>
      <c r="M140">
        <v>50.249859399999998</v>
      </c>
      <c r="N140">
        <v>-2.2117343957160557E-2</v>
      </c>
      <c r="O140">
        <v>-0.74271926162471846</v>
      </c>
      <c r="P140" s="1" t="str">
        <f>HYPERLINK(".\sm_car_250824_2329\sm_car_250824_2329_139_Ca184TrN_MaMPK_DrSt_ode23t_1.png","figure")</f>
        <v>figure</v>
      </c>
      <c r="Q140" t="s">
        <v>15</v>
      </c>
    </row>
    <row r="141" spans="1:17" x14ac:dyDescent="0.25">
      <c r="A141">
        <v>140</v>
      </c>
      <c r="B141">
        <v>184</v>
      </c>
      <c r="C141" t="s">
        <v>105</v>
      </c>
      <c r="D141" t="s">
        <v>120</v>
      </c>
      <c r="E141" t="s">
        <v>49</v>
      </c>
      <c r="F141" t="s">
        <v>19</v>
      </c>
      <c r="G141" t="s">
        <v>20</v>
      </c>
      <c r="H141" t="s">
        <v>21</v>
      </c>
      <c r="I141" t="s">
        <v>55</v>
      </c>
      <c r="J141" t="s">
        <v>149</v>
      </c>
      <c r="K141" t="s">
        <v>23</v>
      </c>
      <c r="L141">
        <v>2306</v>
      </c>
      <c r="M141">
        <v>47.938673199999997</v>
      </c>
      <c r="N141">
        <v>-1.0372714607681049E-2</v>
      </c>
      <c r="O141">
        <v>-3.0167214313253199E-2</v>
      </c>
      <c r="P141" s="1" t="str">
        <f>HYPERLINK(".\sm_car_250824_2329\sm_car_250824_2329_140_Ca184TrN_MaMPK_DrSt_ode23t_1.png","figure")</f>
        <v>figure</v>
      </c>
      <c r="Q141" t="s">
        <v>15</v>
      </c>
    </row>
    <row r="142" spans="1:17" x14ac:dyDescent="0.25">
      <c r="A142">
        <v>141</v>
      </c>
      <c r="B142">
        <v>184</v>
      </c>
      <c r="C142" t="s">
        <v>105</v>
      </c>
      <c r="D142" t="s">
        <v>120</v>
      </c>
      <c r="E142" t="s">
        <v>49</v>
      </c>
      <c r="F142" t="s">
        <v>19</v>
      </c>
      <c r="G142" t="s">
        <v>20</v>
      </c>
      <c r="H142" t="s">
        <v>21</v>
      </c>
      <c r="I142" t="s">
        <v>56</v>
      </c>
      <c r="J142" t="s">
        <v>148</v>
      </c>
      <c r="K142" t="s">
        <v>23</v>
      </c>
      <c r="L142">
        <v>2072</v>
      </c>
      <c r="M142">
        <v>50.225555100000001</v>
      </c>
      <c r="N142">
        <v>0.77497881401913027</v>
      </c>
      <c r="O142">
        <v>-0.33795248333457284</v>
      </c>
      <c r="P142" s="1" t="str">
        <f>HYPERLINK(".\sm_car_250824_2329\sm_car_250824_2329_141_Ca184TrN_MaMPC_DrSt_ode23t_1.png","figure")</f>
        <v>figure</v>
      </c>
      <c r="Q142" t="s">
        <v>15</v>
      </c>
    </row>
    <row r="143" spans="1:17" x14ac:dyDescent="0.25">
      <c r="A143">
        <v>142</v>
      </c>
      <c r="B143">
        <v>184</v>
      </c>
      <c r="C143" t="s">
        <v>105</v>
      </c>
      <c r="D143" t="s">
        <v>120</v>
      </c>
      <c r="E143" t="s">
        <v>49</v>
      </c>
      <c r="F143" t="s">
        <v>19</v>
      </c>
      <c r="G143" t="s">
        <v>20</v>
      </c>
      <c r="H143" t="s">
        <v>21</v>
      </c>
      <c r="I143" t="s">
        <v>56</v>
      </c>
      <c r="J143" t="s">
        <v>149</v>
      </c>
      <c r="K143" t="s">
        <v>23</v>
      </c>
      <c r="L143">
        <v>2054</v>
      </c>
      <c r="M143">
        <v>50.405638000000003</v>
      </c>
      <c r="N143">
        <v>0.78211905177887076</v>
      </c>
      <c r="O143">
        <v>-8.2475788669948508E-2</v>
      </c>
      <c r="P143" s="1" t="str">
        <f>HYPERLINK(".\sm_car_250824_2329\sm_car_250824_2329_142_Ca184TrN_MaMPC_DrSt_ode23t_1.png","figure")</f>
        <v>figure</v>
      </c>
      <c r="Q143" t="s">
        <v>15</v>
      </c>
    </row>
    <row r="144" spans="1:17" x14ac:dyDescent="0.25">
      <c r="A144">
        <v>143</v>
      </c>
      <c r="B144">
        <v>195</v>
      </c>
      <c r="C144" t="s">
        <v>45</v>
      </c>
      <c r="D144" t="s">
        <v>58</v>
      </c>
      <c r="E144" t="s">
        <v>107</v>
      </c>
      <c r="F144" t="s">
        <v>19</v>
      </c>
      <c r="G144" t="s">
        <v>26</v>
      </c>
      <c r="H144" t="s">
        <v>21</v>
      </c>
      <c r="I144" t="s">
        <v>55</v>
      </c>
      <c r="J144" t="s">
        <v>148</v>
      </c>
      <c r="K144" t="s">
        <v>23</v>
      </c>
      <c r="L144">
        <v>3292</v>
      </c>
      <c r="M144">
        <v>48.362043999999997</v>
      </c>
      <c r="N144">
        <v>-1.962093136313163E-2</v>
      </c>
      <c r="O144">
        <v>-0.57354258259847368</v>
      </c>
      <c r="P144" s="1" t="str">
        <f>HYPERLINK(".\sm_car_250824_2329\sm_car_250824_2329_143_Ca195TrN_MaMPK_DrSt_ode23t_1.png","figure")</f>
        <v>figure</v>
      </c>
      <c r="Q144" t="s">
        <v>15</v>
      </c>
    </row>
    <row r="145" spans="1:17" x14ac:dyDescent="0.25">
      <c r="A145">
        <v>144</v>
      </c>
      <c r="B145">
        <v>195</v>
      </c>
      <c r="C145" t="s">
        <v>45</v>
      </c>
      <c r="D145" t="s">
        <v>58</v>
      </c>
      <c r="E145" t="s">
        <v>107</v>
      </c>
      <c r="F145" t="s">
        <v>19</v>
      </c>
      <c r="G145" t="s">
        <v>26</v>
      </c>
      <c r="H145" t="s">
        <v>21</v>
      </c>
      <c r="I145" t="s">
        <v>55</v>
      </c>
      <c r="J145" t="s">
        <v>149</v>
      </c>
      <c r="K145" t="s">
        <v>23</v>
      </c>
      <c r="L145">
        <v>3897</v>
      </c>
      <c r="M145">
        <v>48.922042599999997</v>
      </c>
      <c r="N145">
        <v>-1.0689814453209601E-2</v>
      </c>
      <c r="O145">
        <v>-8.3841910733831959E-2</v>
      </c>
      <c r="P145" s="1" t="str">
        <f>HYPERLINK(".\sm_car_250824_2329\sm_car_250824_2329_144_Ca195TrN_MaMPK_DrSt_ode23t_1.png","figure")</f>
        <v>figure</v>
      </c>
      <c r="Q145" t="s">
        <v>15</v>
      </c>
    </row>
    <row r="146" spans="1:17" x14ac:dyDescent="0.25">
      <c r="A146">
        <v>145</v>
      </c>
      <c r="B146">
        <v>195</v>
      </c>
      <c r="C146" t="s">
        <v>45</v>
      </c>
      <c r="D146" t="s">
        <v>58</v>
      </c>
      <c r="E146" t="s">
        <v>107</v>
      </c>
      <c r="F146" t="s">
        <v>19</v>
      </c>
      <c r="G146" t="s">
        <v>26</v>
      </c>
      <c r="H146" t="s">
        <v>21</v>
      </c>
      <c r="I146" t="s">
        <v>56</v>
      </c>
      <c r="J146" t="s">
        <v>148</v>
      </c>
      <c r="K146" t="s">
        <v>23</v>
      </c>
      <c r="L146">
        <v>3022</v>
      </c>
      <c r="M146">
        <v>42.959466399999997</v>
      </c>
      <c r="N146">
        <v>0.78824588662189932</v>
      </c>
      <c r="O146">
        <v>-0.3598911977053707</v>
      </c>
      <c r="P146" s="1" t="str">
        <f>HYPERLINK(".\sm_car_250824_2329\sm_car_250824_2329_145_Ca195TrN_MaMPC_DrSt_ode23t_1.png","figure")</f>
        <v>figure</v>
      </c>
      <c r="Q146" t="s">
        <v>15</v>
      </c>
    </row>
    <row r="147" spans="1:17" x14ac:dyDescent="0.25">
      <c r="A147">
        <v>146</v>
      </c>
      <c r="B147">
        <v>195</v>
      </c>
      <c r="C147" t="s">
        <v>45</v>
      </c>
      <c r="D147" t="s">
        <v>58</v>
      </c>
      <c r="E147" t="s">
        <v>107</v>
      </c>
      <c r="F147" t="s">
        <v>19</v>
      </c>
      <c r="G147" t="s">
        <v>26</v>
      </c>
      <c r="H147" t="s">
        <v>21</v>
      </c>
      <c r="I147" t="s">
        <v>56</v>
      </c>
      <c r="J147" t="s">
        <v>149</v>
      </c>
      <c r="K147" t="s">
        <v>23</v>
      </c>
      <c r="L147">
        <v>3464</v>
      </c>
      <c r="M147">
        <v>44.473673900000001</v>
      </c>
      <c r="N147">
        <v>0.78739283128408388</v>
      </c>
      <c r="O147">
        <v>2.8180227756776158E-2</v>
      </c>
      <c r="P147" s="1" t="str">
        <f>HYPERLINK(".\sm_car_250824_2329\sm_car_250824_2329_146_Ca195TrN_MaMPC_DrSt_ode23t_1.png","figure")</f>
        <v>figure</v>
      </c>
      <c r="Q147" t="s">
        <v>15</v>
      </c>
    </row>
    <row r="148" spans="1:17" x14ac:dyDescent="0.25">
      <c r="A148">
        <v>147</v>
      </c>
      <c r="B148">
        <v>198</v>
      </c>
      <c r="C148" t="s">
        <v>105</v>
      </c>
      <c r="D148" t="s">
        <v>120</v>
      </c>
      <c r="E148" t="s">
        <v>107</v>
      </c>
      <c r="F148" t="s">
        <v>19</v>
      </c>
      <c r="G148" t="s">
        <v>20</v>
      </c>
      <c r="H148" t="s">
        <v>21</v>
      </c>
      <c r="I148" t="s">
        <v>55</v>
      </c>
      <c r="J148" t="s">
        <v>148</v>
      </c>
      <c r="K148" t="s">
        <v>23</v>
      </c>
      <c r="L148">
        <v>2303</v>
      </c>
      <c r="M148">
        <v>30.9601793</v>
      </c>
      <c r="N148">
        <v>8.9491580942834964E-3</v>
      </c>
      <c r="O148">
        <v>-0.74353293562381539</v>
      </c>
      <c r="P148" s="1" t="str">
        <f>HYPERLINK(".\sm_car_250824_2329\sm_car_250824_2329_147_Ca198TrN_MaMPK_DrSt_ode23t_1.png","figure")</f>
        <v>figure</v>
      </c>
      <c r="Q148" t="s">
        <v>15</v>
      </c>
    </row>
    <row r="149" spans="1:17" x14ac:dyDescent="0.25">
      <c r="A149">
        <v>148</v>
      </c>
      <c r="B149">
        <v>198</v>
      </c>
      <c r="C149" t="s">
        <v>105</v>
      </c>
      <c r="D149" t="s">
        <v>120</v>
      </c>
      <c r="E149" t="s">
        <v>107</v>
      </c>
      <c r="F149" t="s">
        <v>19</v>
      </c>
      <c r="G149" t="s">
        <v>20</v>
      </c>
      <c r="H149" t="s">
        <v>21</v>
      </c>
      <c r="I149" t="s">
        <v>55</v>
      </c>
      <c r="J149" t="s">
        <v>149</v>
      </c>
      <c r="K149" t="s">
        <v>23</v>
      </c>
      <c r="L149">
        <v>2610</v>
      </c>
      <c r="M149">
        <v>34.283724999999997</v>
      </c>
      <c r="N149">
        <v>-8.5760171372995103E-3</v>
      </c>
      <c r="O149">
        <v>-3.0368078928762116E-2</v>
      </c>
      <c r="P149" s="1" t="str">
        <f>HYPERLINK(".\sm_car_250824_2329\sm_car_250824_2329_148_Ca198TrN_MaMPK_DrSt_ode23t_1.png","figure")</f>
        <v>figure</v>
      </c>
      <c r="Q149" t="s">
        <v>15</v>
      </c>
    </row>
    <row r="150" spans="1:17" x14ac:dyDescent="0.25">
      <c r="A150">
        <v>149</v>
      </c>
      <c r="B150">
        <v>198</v>
      </c>
      <c r="C150" t="s">
        <v>105</v>
      </c>
      <c r="D150" t="s">
        <v>120</v>
      </c>
      <c r="E150" t="s">
        <v>107</v>
      </c>
      <c r="F150" t="s">
        <v>19</v>
      </c>
      <c r="G150" t="s">
        <v>20</v>
      </c>
      <c r="H150" t="s">
        <v>21</v>
      </c>
      <c r="I150" t="s">
        <v>56</v>
      </c>
      <c r="J150" t="s">
        <v>148</v>
      </c>
      <c r="K150" t="s">
        <v>23</v>
      </c>
      <c r="L150">
        <v>2077</v>
      </c>
      <c r="M150">
        <v>30.6176298</v>
      </c>
      <c r="N150">
        <v>0.78594009465250991</v>
      </c>
      <c r="O150">
        <v>-0.33801095391641228</v>
      </c>
      <c r="P150" s="1" t="str">
        <f>HYPERLINK(".\sm_car_250824_2329\sm_car_250824_2329_149_Ca198TrN_MaMPC_DrSt_ode23t_1.png","figure")</f>
        <v>figure</v>
      </c>
      <c r="Q150" t="s">
        <v>15</v>
      </c>
    </row>
    <row r="151" spans="1:17" x14ac:dyDescent="0.25">
      <c r="A151">
        <v>150</v>
      </c>
      <c r="B151">
        <v>198</v>
      </c>
      <c r="C151" t="s">
        <v>105</v>
      </c>
      <c r="D151" t="s">
        <v>120</v>
      </c>
      <c r="E151" t="s">
        <v>107</v>
      </c>
      <c r="F151" t="s">
        <v>19</v>
      </c>
      <c r="G151" t="s">
        <v>20</v>
      </c>
      <c r="H151" t="s">
        <v>21</v>
      </c>
      <c r="I151" t="s">
        <v>56</v>
      </c>
      <c r="J151" t="s">
        <v>149</v>
      </c>
      <c r="K151" t="s">
        <v>23</v>
      </c>
      <c r="L151">
        <v>2143</v>
      </c>
      <c r="M151">
        <v>31.825019900000001</v>
      </c>
      <c r="N151">
        <v>0.78864605529092735</v>
      </c>
      <c r="O151">
        <v>-8.222215141263868E-2</v>
      </c>
      <c r="P151" s="1" t="str">
        <f>HYPERLINK(".\sm_car_250824_2329\sm_car_250824_2329_150_Ca198TrN_MaMPC_DrSt_ode23t_1.png","figure")</f>
        <v>figure</v>
      </c>
      <c r="Q151" t="s">
        <v>15</v>
      </c>
    </row>
    <row r="152" spans="1:17" x14ac:dyDescent="0.25">
      <c r="A152">
        <v>151</v>
      </c>
      <c r="B152">
        <v>151</v>
      </c>
      <c r="C152" t="s">
        <v>16</v>
      </c>
      <c r="D152" t="s">
        <v>17</v>
      </c>
      <c r="E152" t="s">
        <v>18</v>
      </c>
      <c r="F152" t="s">
        <v>19</v>
      </c>
      <c r="G152" t="s">
        <v>59</v>
      </c>
      <c r="H152" t="s">
        <v>21</v>
      </c>
      <c r="I152" t="s">
        <v>24</v>
      </c>
      <c r="J152" t="s">
        <v>148</v>
      </c>
      <c r="K152" t="s">
        <v>23</v>
      </c>
      <c r="L152">
        <v>514</v>
      </c>
      <c r="M152">
        <v>11.2616978</v>
      </c>
      <c r="N152">
        <v>72.170720197472406</v>
      </c>
      <c r="O152">
        <v>-0.7881204902985588</v>
      </c>
      <c r="P152" s="1" t="str">
        <f>HYPERLINK(".\sm_car_250824_2329\sm_car_250824_2329_151_Ca151TrN_MaLSS_DrSt_ode23t_1.png","figure")</f>
        <v>figure</v>
      </c>
      <c r="Q152" t="s">
        <v>15</v>
      </c>
    </row>
    <row r="153" spans="1:17" x14ac:dyDescent="0.25">
      <c r="A153">
        <v>152</v>
      </c>
      <c r="B153">
        <v>152</v>
      </c>
      <c r="C153" t="s">
        <v>16</v>
      </c>
      <c r="D153" t="s">
        <v>17</v>
      </c>
      <c r="E153" t="s">
        <v>18</v>
      </c>
      <c r="F153" t="s">
        <v>19</v>
      </c>
      <c r="G153" t="s">
        <v>60</v>
      </c>
      <c r="H153" t="s">
        <v>21</v>
      </c>
      <c r="I153" t="s">
        <v>24</v>
      </c>
      <c r="J153" t="s">
        <v>148</v>
      </c>
      <c r="K153" t="s">
        <v>23</v>
      </c>
      <c r="L153">
        <v>533</v>
      </c>
      <c r="M153">
        <v>12.5198473</v>
      </c>
      <c r="N153">
        <v>70.582574800098868</v>
      </c>
      <c r="O153">
        <v>-0.5225752399123339</v>
      </c>
      <c r="P153" s="1" t="str">
        <f>HYPERLINK(".\sm_car_250824_2329\sm_car_250824_2329_152_Ca152TrN_MaLSS_DrSt_ode23t_1.png","figure")</f>
        <v>figure</v>
      </c>
      <c r="Q153" t="s">
        <v>15</v>
      </c>
    </row>
    <row r="154" spans="1:17" x14ac:dyDescent="0.25">
      <c r="A154">
        <v>153</v>
      </c>
      <c r="B154">
        <v>153</v>
      </c>
      <c r="C154" t="s">
        <v>16</v>
      </c>
      <c r="D154" t="s">
        <v>17</v>
      </c>
      <c r="E154" t="s">
        <v>18</v>
      </c>
      <c r="F154" t="s">
        <v>19</v>
      </c>
      <c r="G154" t="s">
        <v>61</v>
      </c>
      <c r="H154" t="s">
        <v>21</v>
      </c>
      <c r="I154" t="s">
        <v>24</v>
      </c>
      <c r="J154" t="s">
        <v>148</v>
      </c>
      <c r="K154" t="s">
        <v>23</v>
      </c>
      <c r="L154">
        <v>543</v>
      </c>
      <c r="M154">
        <v>12.6372587</v>
      </c>
      <c r="N154">
        <v>70.435288219888065</v>
      </c>
      <c r="O154">
        <v>-0.85962999888355573</v>
      </c>
      <c r="P154" s="1" t="str">
        <f>HYPERLINK(".\sm_car_250824_2329\sm_car_250824_2329_153_Ca153TrN_MaLSS_DrSt_ode23t_1.png","figure")</f>
        <v>figure</v>
      </c>
      <c r="Q154" t="s">
        <v>15</v>
      </c>
    </row>
    <row r="155" spans="1:17" x14ac:dyDescent="0.25">
      <c r="A155">
        <v>154</v>
      </c>
      <c r="B155">
        <v>154</v>
      </c>
      <c r="C155" t="s">
        <v>16</v>
      </c>
      <c r="D155" t="s">
        <v>17</v>
      </c>
      <c r="E155" t="s">
        <v>18</v>
      </c>
      <c r="F155" t="s">
        <v>19</v>
      </c>
      <c r="G155" t="s">
        <v>108</v>
      </c>
      <c r="H155" t="s">
        <v>21</v>
      </c>
      <c r="I155" t="s">
        <v>24</v>
      </c>
      <c r="J155" t="s">
        <v>148</v>
      </c>
      <c r="K155" t="s">
        <v>23</v>
      </c>
      <c r="L155">
        <v>496</v>
      </c>
      <c r="M155">
        <v>14.897963900000001</v>
      </c>
      <c r="N155">
        <v>70.60983387792875</v>
      </c>
      <c r="O155">
        <v>-0.35359574413203271</v>
      </c>
      <c r="P155" s="1" t="str">
        <f>HYPERLINK(".\sm_car_250824_2329\sm_car_250824_2329_154_Ca154TrN_MaLSS_DrSt_ode23t_1.png","figure")</f>
        <v>figure</v>
      </c>
      <c r="Q155" t="s">
        <v>15</v>
      </c>
    </row>
    <row r="156" spans="1:17" x14ac:dyDescent="0.25">
      <c r="A156">
        <v>155</v>
      </c>
      <c r="B156">
        <v>155</v>
      </c>
      <c r="C156" t="s">
        <v>16</v>
      </c>
      <c r="D156" t="s">
        <v>17</v>
      </c>
      <c r="E156" t="s">
        <v>18</v>
      </c>
      <c r="F156" t="s">
        <v>19</v>
      </c>
      <c r="G156" t="s">
        <v>62</v>
      </c>
      <c r="H156" t="s">
        <v>21</v>
      </c>
      <c r="I156" t="s">
        <v>24</v>
      </c>
      <c r="J156" t="s">
        <v>148</v>
      </c>
      <c r="K156" t="s">
        <v>23</v>
      </c>
      <c r="L156">
        <v>557</v>
      </c>
      <c r="M156">
        <v>16.9607612</v>
      </c>
      <c r="N156">
        <v>70.46702992573249</v>
      </c>
      <c r="O156">
        <v>-0.83646545291369834</v>
      </c>
      <c r="P156" s="1" t="str">
        <f>HYPERLINK(".\sm_car_250824_2329\sm_car_250824_2329_155_Ca155TrN_MaLSS_DrSt_ode23t_1.png","figure")</f>
        <v>figure</v>
      </c>
      <c r="Q156" t="s">
        <v>15</v>
      </c>
    </row>
    <row r="157" spans="1:17" x14ac:dyDescent="0.25">
      <c r="A157">
        <v>156</v>
      </c>
      <c r="B157">
        <v>4</v>
      </c>
      <c r="C157" t="s">
        <v>16</v>
      </c>
      <c r="D157" t="s">
        <v>17</v>
      </c>
      <c r="E157" t="s">
        <v>18</v>
      </c>
      <c r="F157" t="s">
        <v>28</v>
      </c>
      <c r="G157" t="s">
        <v>20</v>
      </c>
      <c r="H157" t="s">
        <v>21</v>
      </c>
      <c r="I157" t="s">
        <v>22</v>
      </c>
      <c r="J157" t="s">
        <v>148</v>
      </c>
      <c r="K157" t="s">
        <v>63</v>
      </c>
      <c r="L157">
        <v>3247</v>
      </c>
      <c r="M157">
        <v>8.302327</v>
      </c>
      <c r="N157">
        <v>230.12391720383511</v>
      </c>
      <c r="O157">
        <v>-2.7189243063187834E-3</v>
      </c>
      <c r="P157" s="1" t="str">
        <f>HYPERLINK(".\sm_car_250824_2329\sm_car_250824_2329_156_Ca004TrN_MaWOT_DrSt_ode3_1.png","figure")</f>
        <v>figure</v>
      </c>
      <c r="Q157" t="s">
        <v>15</v>
      </c>
    </row>
    <row r="158" spans="1:17" x14ac:dyDescent="0.25">
      <c r="A158">
        <v>157</v>
      </c>
      <c r="B158">
        <v>4</v>
      </c>
      <c r="C158" t="s">
        <v>16</v>
      </c>
      <c r="D158" t="s">
        <v>17</v>
      </c>
      <c r="E158" t="s">
        <v>18</v>
      </c>
      <c r="F158" t="s">
        <v>28</v>
      </c>
      <c r="G158" t="s">
        <v>20</v>
      </c>
      <c r="H158" t="s">
        <v>21</v>
      </c>
      <c r="I158" t="s">
        <v>24</v>
      </c>
      <c r="J158" t="s">
        <v>148</v>
      </c>
      <c r="K158" t="s">
        <v>63</v>
      </c>
      <c r="L158">
        <v>2564</v>
      </c>
      <c r="M158">
        <v>6.7424578000000004</v>
      </c>
      <c r="N158">
        <v>70.877460182998419</v>
      </c>
      <c r="O158">
        <v>-0.53377971206600749</v>
      </c>
      <c r="P158" s="1" t="str">
        <f>HYPERLINK(".\sm_car_250824_2329\sm_car_250824_2329_157_Ca004TrN_MaLSS_DrSt_ode3_1.png","figure")</f>
        <v>figure</v>
      </c>
      <c r="Q158" t="s">
        <v>15</v>
      </c>
    </row>
    <row r="159" spans="1:17" x14ac:dyDescent="0.25">
      <c r="A159">
        <v>158</v>
      </c>
      <c r="B159">
        <v>4</v>
      </c>
      <c r="C159" t="s">
        <v>16</v>
      </c>
      <c r="D159" t="s">
        <v>17</v>
      </c>
      <c r="E159" t="s">
        <v>18</v>
      </c>
      <c r="F159" t="s">
        <v>28</v>
      </c>
      <c r="G159" t="s">
        <v>20</v>
      </c>
      <c r="H159" t="s">
        <v>21</v>
      </c>
      <c r="I159" t="s">
        <v>64</v>
      </c>
      <c r="J159" t="s">
        <v>148</v>
      </c>
      <c r="K159" t="s">
        <v>63</v>
      </c>
      <c r="L159">
        <v>2562</v>
      </c>
      <c r="M159">
        <v>6.8338229999999998</v>
      </c>
      <c r="N159">
        <v>63.517181713594383</v>
      </c>
      <c r="O159">
        <v>-24.808510944630196</v>
      </c>
      <c r="P159" s="1" t="str">
        <f>HYPERLINK(".\sm_car_250824_2329\sm_car_250824_2329_158_Ca004TrN_MaTUR_DrSt_ode3_1.png","figure")</f>
        <v>figure</v>
      </c>
      <c r="Q159" t="s">
        <v>15</v>
      </c>
    </row>
    <row r="160" spans="1:17" x14ac:dyDescent="0.25">
      <c r="A160">
        <v>159</v>
      </c>
      <c r="B160">
        <v>116</v>
      </c>
      <c r="C160" t="s">
        <v>16</v>
      </c>
      <c r="D160" t="s">
        <v>35</v>
      </c>
      <c r="E160" t="s">
        <v>18</v>
      </c>
      <c r="F160" t="s">
        <v>28</v>
      </c>
      <c r="G160" t="s">
        <v>20</v>
      </c>
      <c r="H160" t="s">
        <v>21</v>
      </c>
      <c r="I160" t="s">
        <v>22</v>
      </c>
      <c r="J160" t="s">
        <v>148</v>
      </c>
      <c r="K160" t="s">
        <v>63</v>
      </c>
      <c r="L160">
        <v>3244</v>
      </c>
      <c r="M160">
        <v>3.9149302000000001</v>
      </c>
      <c r="N160">
        <v>242.69607452341987</v>
      </c>
      <c r="O160">
        <v>0.23635446031101723</v>
      </c>
      <c r="P160" s="1" t="str">
        <f>HYPERLINK(".\sm_car_250824_2329\sm_car_250824_2329_159_Ca116TrN_MaWOT_DrSt_ode3_1.png","figure")</f>
        <v>figure</v>
      </c>
      <c r="Q160" t="s">
        <v>15</v>
      </c>
    </row>
    <row r="161" spans="1:17" x14ac:dyDescent="0.25">
      <c r="A161">
        <v>160</v>
      </c>
      <c r="B161">
        <v>116</v>
      </c>
      <c r="C161" t="s">
        <v>16</v>
      </c>
      <c r="D161" t="s">
        <v>35</v>
      </c>
      <c r="E161" t="s">
        <v>18</v>
      </c>
      <c r="F161" t="s">
        <v>28</v>
      </c>
      <c r="G161" t="s">
        <v>20</v>
      </c>
      <c r="H161" t="s">
        <v>21</v>
      </c>
      <c r="I161" t="s">
        <v>24</v>
      </c>
      <c r="J161" t="s">
        <v>148</v>
      </c>
      <c r="K161" t="s">
        <v>63</v>
      </c>
      <c r="L161">
        <v>2564</v>
      </c>
      <c r="M161">
        <v>3.2666024</v>
      </c>
      <c r="N161">
        <v>74.657190781644118</v>
      </c>
      <c r="O161">
        <v>-0.34075824439014252</v>
      </c>
      <c r="P161" s="1" t="str">
        <f>HYPERLINK(".\sm_car_250824_2329\sm_car_250824_2329_160_Ca116TrN_MaLSS_DrSt_ode3_1.png","figure")</f>
        <v>figure</v>
      </c>
      <c r="Q161" t="s">
        <v>15</v>
      </c>
    </row>
    <row r="162" spans="1:17" x14ac:dyDescent="0.25">
      <c r="A162">
        <v>161</v>
      </c>
      <c r="B162">
        <v>116</v>
      </c>
      <c r="C162" t="s">
        <v>16</v>
      </c>
      <c r="D162" t="s">
        <v>35</v>
      </c>
      <c r="E162" t="s">
        <v>18</v>
      </c>
      <c r="F162" t="s">
        <v>28</v>
      </c>
      <c r="G162" t="s">
        <v>20</v>
      </c>
      <c r="H162" t="s">
        <v>21</v>
      </c>
      <c r="I162" t="s">
        <v>64</v>
      </c>
      <c r="J162" t="s">
        <v>148</v>
      </c>
      <c r="K162" t="s">
        <v>63</v>
      </c>
      <c r="L162">
        <v>2563</v>
      </c>
      <c r="M162">
        <v>3.2233022999999998</v>
      </c>
      <c r="N162">
        <v>71.322015477791922</v>
      </c>
      <c r="O162">
        <v>-17.59032913116118</v>
      </c>
      <c r="P162" s="1" t="str">
        <f>HYPERLINK(".\sm_car_250824_2329\sm_car_250824_2329_161_Ca116TrN_MaTUR_DrSt_ode3_1.png","figure")</f>
        <v>figure</v>
      </c>
      <c r="Q162" t="s">
        <v>15</v>
      </c>
    </row>
    <row r="163" spans="1:17" x14ac:dyDescent="0.25">
      <c r="A163">
        <v>162</v>
      </c>
      <c r="B163">
        <v>124</v>
      </c>
      <c r="C163" t="s">
        <v>16</v>
      </c>
      <c r="D163" t="s">
        <v>35</v>
      </c>
      <c r="E163" t="s">
        <v>49</v>
      </c>
      <c r="F163" t="s">
        <v>28</v>
      </c>
      <c r="G163" t="s">
        <v>20</v>
      </c>
      <c r="H163" t="s">
        <v>21</v>
      </c>
      <c r="I163" t="s">
        <v>22</v>
      </c>
      <c r="J163" t="s">
        <v>148</v>
      </c>
      <c r="K163" t="s">
        <v>63</v>
      </c>
      <c r="L163">
        <v>3244</v>
      </c>
      <c r="M163">
        <v>2.1765115000000002</v>
      </c>
      <c r="N163">
        <v>242.87242715534217</v>
      </c>
      <c r="O163">
        <v>0.2361586465591097</v>
      </c>
      <c r="P163" s="1" t="str">
        <f>HYPERLINK(".\sm_car_250824_2329\sm_car_250824_2329_162_Ca124TrN_MaWOT_DrSt_ode3_1.png","figure")</f>
        <v>figure</v>
      </c>
      <c r="Q163" t="s">
        <v>15</v>
      </c>
    </row>
    <row r="164" spans="1:17" x14ac:dyDescent="0.25">
      <c r="A164">
        <v>163</v>
      </c>
      <c r="B164">
        <v>124</v>
      </c>
      <c r="C164" t="s">
        <v>16</v>
      </c>
      <c r="D164" t="s">
        <v>35</v>
      </c>
      <c r="E164" t="s">
        <v>49</v>
      </c>
      <c r="F164" t="s">
        <v>28</v>
      </c>
      <c r="G164" t="s">
        <v>20</v>
      </c>
      <c r="H164" t="s">
        <v>21</v>
      </c>
      <c r="I164" t="s">
        <v>24</v>
      </c>
      <c r="J164" t="s">
        <v>148</v>
      </c>
      <c r="K164" t="s">
        <v>63</v>
      </c>
      <c r="L164">
        <v>2565</v>
      </c>
      <c r="M164">
        <v>1.7121033000000001</v>
      </c>
      <c r="N164">
        <v>74.796106047599494</v>
      </c>
      <c r="O164">
        <v>-0.34233746651595126</v>
      </c>
      <c r="P164" s="1" t="str">
        <f>HYPERLINK(".\sm_car_250824_2329\sm_car_250824_2329_163_Ca124TrN_MaLSS_DrSt_ode3_1.png","figure")</f>
        <v>figure</v>
      </c>
      <c r="Q164" t="s">
        <v>15</v>
      </c>
    </row>
    <row r="165" spans="1:17" x14ac:dyDescent="0.25">
      <c r="A165">
        <v>164</v>
      </c>
      <c r="B165">
        <v>124</v>
      </c>
      <c r="C165" t="s">
        <v>16</v>
      </c>
      <c r="D165" t="s">
        <v>35</v>
      </c>
      <c r="E165" t="s">
        <v>49</v>
      </c>
      <c r="F165" t="s">
        <v>28</v>
      </c>
      <c r="G165" t="s">
        <v>20</v>
      </c>
      <c r="H165" t="s">
        <v>21</v>
      </c>
      <c r="I165" t="s">
        <v>64</v>
      </c>
      <c r="J165" t="s">
        <v>148</v>
      </c>
      <c r="K165" t="s">
        <v>63</v>
      </c>
      <c r="L165">
        <v>2564</v>
      </c>
      <c r="M165">
        <v>1.7737111999999999</v>
      </c>
      <c r="N165">
        <v>71.447408139703882</v>
      </c>
      <c r="O165">
        <v>-17.636376353758354</v>
      </c>
      <c r="P165" s="1" t="str">
        <f>HYPERLINK(".\sm_car_250824_2329\sm_car_250824_2329_164_Ca124TrN_MaTUR_DrSt_ode3_1.png","figure")</f>
        <v>figure</v>
      </c>
      <c r="Q165" t="s">
        <v>15</v>
      </c>
    </row>
    <row r="166" spans="1:17" x14ac:dyDescent="0.25">
      <c r="A166">
        <v>165</v>
      </c>
      <c r="B166">
        <v>141</v>
      </c>
      <c r="C166" t="s">
        <v>45</v>
      </c>
      <c r="D166" t="s">
        <v>17</v>
      </c>
      <c r="E166" t="s">
        <v>18</v>
      </c>
      <c r="F166" t="s">
        <v>28</v>
      </c>
      <c r="G166" t="s">
        <v>26</v>
      </c>
      <c r="H166" t="s">
        <v>21</v>
      </c>
      <c r="I166" t="s">
        <v>22</v>
      </c>
      <c r="J166" t="s">
        <v>148</v>
      </c>
      <c r="K166" t="s">
        <v>63</v>
      </c>
      <c r="L166">
        <v>3839</v>
      </c>
      <c r="M166">
        <v>11.9865095</v>
      </c>
      <c r="N166">
        <v>402.3086467361619</v>
      </c>
      <c r="O166">
        <v>1.6315172649289178</v>
      </c>
      <c r="P166" s="1" t="str">
        <f>HYPERLINK(".\sm_car_250824_2329\sm_car_250824_2329_165_Ca141TrN_MaWOT_DrSt_ode3_1.png","figure")</f>
        <v>figure</v>
      </c>
      <c r="Q166" t="s">
        <v>15</v>
      </c>
    </row>
    <row r="167" spans="1:17" x14ac:dyDescent="0.25">
      <c r="A167">
        <v>166</v>
      </c>
      <c r="B167">
        <v>141</v>
      </c>
      <c r="C167" t="s">
        <v>45</v>
      </c>
      <c r="D167" t="s">
        <v>17</v>
      </c>
      <c r="E167" t="s">
        <v>18</v>
      </c>
      <c r="F167" t="s">
        <v>28</v>
      </c>
      <c r="G167" t="s">
        <v>26</v>
      </c>
      <c r="H167" t="s">
        <v>21</v>
      </c>
      <c r="I167" t="s">
        <v>24</v>
      </c>
      <c r="J167" t="s">
        <v>148</v>
      </c>
      <c r="K167" t="s">
        <v>63</v>
      </c>
      <c r="L167">
        <v>3192</v>
      </c>
      <c r="M167">
        <v>9.6812985000000005</v>
      </c>
      <c r="N167">
        <v>153.16112811043706</v>
      </c>
      <c r="O167">
        <v>-0.57358606081031227</v>
      </c>
      <c r="P167" s="1" t="str">
        <f>HYPERLINK(".\sm_car_250824_2329\sm_car_250824_2329_166_Ca141TrN_MaLSS_DrSt_ode3_1.png","figure")</f>
        <v>figure</v>
      </c>
      <c r="Q167" t="s">
        <v>15</v>
      </c>
    </row>
    <row r="168" spans="1:17" x14ac:dyDescent="0.25">
      <c r="A168">
        <v>167</v>
      </c>
      <c r="B168">
        <v>141</v>
      </c>
      <c r="C168" t="s">
        <v>45</v>
      </c>
      <c r="D168" t="s">
        <v>17</v>
      </c>
      <c r="E168" t="s">
        <v>18</v>
      </c>
      <c r="F168" t="s">
        <v>28</v>
      </c>
      <c r="G168" t="s">
        <v>26</v>
      </c>
      <c r="H168" t="s">
        <v>21</v>
      </c>
      <c r="I168" t="s">
        <v>64</v>
      </c>
      <c r="J168" t="s">
        <v>148</v>
      </c>
      <c r="K168" t="s">
        <v>63</v>
      </c>
      <c r="L168">
        <v>3161</v>
      </c>
      <c r="M168">
        <v>10.017556799999999</v>
      </c>
      <c r="N168">
        <v>98.197141883149385</v>
      </c>
      <c r="O168">
        <v>-86.467118588251893</v>
      </c>
      <c r="P168" s="1" t="str">
        <f>HYPERLINK(".\sm_car_250824_2329\sm_car_250824_2329_167_Ca141TrN_MaTUR_DrSt_ode3_1.png","figure")</f>
        <v>figure</v>
      </c>
      <c r="Q168" t="s">
        <v>15</v>
      </c>
    </row>
    <row r="169" spans="1:17" x14ac:dyDescent="0.25">
      <c r="A169">
        <v>168</v>
      </c>
      <c r="B169">
        <v>145</v>
      </c>
      <c r="C169" t="s">
        <v>46</v>
      </c>
      <c r="D169" t="s">
        <v>17</v>
      </c>
      <c r="E169" t="s">
        <v>50</v>
      </c>
      <c r="F169" t="s">
        <v>19</v>
      </c>
      <c r="G169" t="s">
        <v>26</v>
      </c>
      <c r="H169" t="s">
        <v>21</v>
      </c>
      <c r="I169" t="s">
        <v>22</v>
      </c>
      <c r="J169" t="s">
        <v>148</v>
      </c>
      <c r="K169" t="s">
        <v>63</v>
      </c>
      <c r="L169">
        <v>2641</v>
      </c>
      <c r="M169">
        <v>6.4533626999999996</v>
      </c>
      <c r="N169">
        <v>62.800910540515559</v>
      </c>
      <c r="O169">
        <v>1.2917832202050079E-2</v>
      </c>
      <c r="P169" s="1" t="str">
        <f>HYPERLINK(".\sm_car_250824_2329\sm_car_250824_2329_168_Ca145TrN_MaWOT_DrSt_ode3_1.png","figure")</f>
        <v>figure</v>
      </c>
      <c r="Q169" t="s">
        <v>15</v>
      </c>
    </row>
    <row r="170" spans="1:17" x14ac:dyDescent="0.25">
      <c r="A170">
        <v>169</v>
      </c>
      <c r="B170">
        <v>145</v>
      </c>
      <c r="C170" t="s">
        <v>46</v>
      </c>
      <c r="D170" t="s">
        <v>17</v>
      </c>
      <c r="E170" t="s">
        <v>50</v>
      </c>
      <c r="F170" t="s">
        <v>19</v>
      </c>
      <c r="G170" t="s">
        <v>26</v>
      </c>
      <c r="H170" t="s">
        <v>21</v>
      </c>
      <c r="I170" t="s">
        <v>24</v>
      </c>
      <c r="J170" t="s">
        <v>148</v>
      </c>
      <c r="K170" t="s">
        <v>63</v>
      </c>
      <c r="L170">
        <v>2383</v>
      </c>
      <c r="M170">
        <v>6.4201516999999999</v>
      </c>
      <c r="N170">
        <v>25.300132166901456</v>
      </c>
      <c r="O170">
        <v>-5.097733361304882E-2</v>
      </c>
      <c r="P170" s="1" t="str">
        <f>HYPERLINK(".\sm_car_250824_2329\sm_car_250824_2329_169_Ca145TrN_MaLSS_DrSt_ode3_1.png","figure")</f>
        <v>figure</v>
      </c>
      <c r="Q170" t="s">
        <v>15</v>
      </c>
    </row>
    <row r="171" spans="1:17" x14ac:dyDescent="0.25">
      <c r="A171">
        <v>170</v>
      </c>
      <c r="B171">
        <v>145</v>
      </c>
      <c r="C171" t="s">
        <v>46</v>
      </c>
      <c r="D171" t="s">
        <v>17</v>
      </c>
      <c r="E171" t="s">
        <v>50</v>
      </c>
      <c r="F171" t="s">
        <v>19</v>
      </c>
      <c r="G171" t="s">
        <v>26</v>
      </c>
      <c r="H171" t="s">
        <v>21</v>
      </c>
      <c r="I171" t="s">
        <v>64</v>
      </c>
      <c r="J171" t="s">
        <v>148</v>
      </c>
      <c r="K171" t="s">
        <v>63</v>
      </c>
      <c r="L171">
        <v>2381</v>
      </c>
      <c r="M171">
        <v>6.3607313999999997</v>
      </c>
      <c r="N171">
        <v>25.120681006764457</v>
      </c>
      <c r="O171">
        <v>-2.6102218965548429</v>
      </c>
      <c r="P171" s="1" t="str">
        <f>HYPERLINK(".\sm_car_250824_2329\sm_car_250824_2329_170_Ca145TrN_MaTUR_DrSt_ode3_1.png","figure")</f>
        <v>figure</v>
      </c>
      <c r="Q171" t="s">
        <v>15</v>
      </c>
    </row>
    <row r="172" spans="1:17" x14ac:dyDescent="0.25">
      <c r="A172">
        <v>171</v>
      </c>
      <c r="B172">
        <v>199</v>
      </c>
      <c r="C172" t="s">
        <v>46</v>
      </c>
      <c r="D172" t="s">
        <v>17</v>
      </c>
      <c r="E172" t="s">
        <v>109</v>
      </c>
      <c r="F172" t="s">
        <v>19</v>
      </c>
      <c r="G172" t="s">
        <v>26</v>
      </c>
      <c r="H172" t="s">
        <v>21</v>
      </c>
      <c r="I172" t="s">
        <v>22</v>
      </c>
      <c r="J172" t="s">
        <v>148</v>
      </c>
      <c r="K172" t="s">
        <v>63</v>
      </c>
      <c r="L172">
        <v>2647</v>
      </c>
      <c r="M172">
        <v>7.1343429</v>
      </c>
      <c r="N172">
        <v>63.48001673727822</v>
      </c>
      <c r="O172">
        <v>-7.3619758685258905E-5</v>
      </c>
      <c r="P172" s="1" t="str">
        <f>HYPERLINK(".\sm_car_250824_2329\sm_car_250824_2329_171_Ca199TrN_MaWOT_DrSt_ode3_1.png","figure")</f>
        <v>figure</v>
      </c>
      <c r="Q172" t="s">
        <v>15</v>
      </c>
    </row>
    <row r="173" spans="1:17" x14ac:dyDescent="0.25">
      <c r="A173">
        <v>172</v>
      </c>
      <c r="B173">
        <v>199</v>
      </c>
      <c r="C173" t="s">
        <v>46</v>
      </c>
      <c r="D173" t="s">
        <v>17</v>
      </c>
      <c r="E173" t="s">
        <v>109</v>
      </c>
      <c r="F173" t="s">
        <v>19</v>
      </c>
      <c r="G173" t="s">
        <v>26</v>
      </c>
      <c r="H173" t="s">
        <v>21</v>
      </c>
      <c r="I173" t="s">
        <v>24</v>
      </c>
      <c r="J173" t="s">
        <v>148</v>
      </c>
      <c r="K173" t="s">
        <v>63</v>
      </c>
      <c r="L173">
        <v>2385</v>
      </c>
      <c r="M173">
        <v>7.0557854000000004</v>
      </c>
      <c r="N173">
        <v>25.919530857830136</v>
      </c>
      <c r="O173">
        <v>-5.378821615555672E-2</v>
      </c>
      <c r="P173" s="1" t="str">
        <f>HYPERLINK(".\sm_car_250824_2329\sm_car_250824_2329_172_Ca199TrN_MaLSS_DrSt_ode3_1.png","figure")</f>
        <v>figure</v>
      </c>
      <c r="Q173" t="s">
        <v>15</v>
      </c>
    </row>
    <row r="174" spans="1:17" x14ac:dyDescent="0.25">
      <c r="A174">
        <v>173</v>
      </c>
      <c r="B174">
        <v>199</v>
      </c>
      <c r="C174" t="s">
        <v>46</v>
      </c>
      <c r="D174" t="s">
        <v>17</v>
      </c>
      <c r="E174" t="s">
        <v>109</v>
      </c>
      <c r="F174" t="s">
        <v>19</v>
      </c>
      <c r="G174" t="s">
        <v>26</v>
      </c>
      <c r="H174" t="s">
        <v>21</v>
      </c>
      <c r="I174" t="s">
        <v>64</v>
      </c>
      <c r="J174" t="s">
        <v>148</v>
      </c>
      <c r="K174" t="s">
        <v>63</v>
      </c>
      <c r="L174">
        <v>2384</v>
      </c>
      <c r="M174">
        <v>6.3876265999999999</v>
      </c>
      <c r="N174">
        <v>25.734126782305804</v>
      </c>
      <c r="O174">
        <v>-2.6938230537996364</v>
      </c>
      <c r="P174" s="1" t="str">
        <f>HYPERLINK(".\sm_car_250824_2329\sm_car_250824_2329_173_Ca199TrN_MaTUR_DrSt_ode3_1.png","figure")</f>
        <v>figure</v>
      </c>
      <c r="Q174" t="s">
        <v>15</v>
      </c>
    </row>
    <row r="175" spans="1:17" x14ac:dyDescent="0.25">
      <c r="A175">
        <v>174</v>
      </c>
      <c r="B175">
        <v>139</v>
      </c>
      <c r="C175" t="s">
        <v>45</v>
      </c>
      <c r="D175" t="s">
        <v>17</v>
      </c>
      <c r="E175" t="s">
        <v>18</v>
      </c>
      <c r="F175" t="s">
        <v>19</v>
      </c>
      <c r="G175" t="s">
        <v>26</v>
      </c>
      <c r="H175" t="s">
        <v>21</v>
      </c>
      <c r="I175" t="s">
        <v>53</v>
      </c>
      <c r="J175" t="s">
        <v>148</v>
      </c>
      <c r="K175" t="s">
        <v>23</v>
      </c>
      <c r="L175">
        <v>556</v>
      </c>
      <c r="M175">
        <v>11.881815400000001</v>
      </c>
      <c r="N175">
        <v>255.05507338546505</v>
      </c>
      <c r="O175">
        <v>-7.8834669645377886E-3</v>
      </c>
      <c r="P175" s="1" t="str">
        <f>HYPERLINK(".\sm_car_250824_2329\sm_car_250824_2329_174_Ca139TrN_MaDLC_DrSt_ode23t_1.png","figure")</f>
        <v>figure</v>
      </c>
      <c r="Q175" t="s">
        <v>15</v>
      </c>
    </row>
    <row r="176" spans="1:17" x14ac:dyDescent="0.25">
      <c r="A176">
        <v>175</v>
      </c>
      <c r="B176">
        <v>139</v>
      </c>
      <c r="C176" t="s">
        <v>45</v>
      </c>
      <c r="D176" t="s">
        <v>17</v>
      </c>
      <c r="E176" t="s">
        <v>18</v>
      </c>
      <c r="F176" t="s">
        <v>19</v>
      </c>
      <c r="G176" t="s">
        <v>26</v>
      </c>
      <c r="H176" t="s">
        <v>65</v>
      </c>
      <c r="I176" t="s">
        <v>53</v>
      </c>
      <c r="J176" t="s">
        <v>148</v>
      </c>
      <c r="K176" t="s">
        <v>23</v>
      </c>
      <c r="L176">
        <v>889</v>
      </c>
      <c r="M176">
        <v>30.915297899999999</v>
      </c>
      <c r="N176">
        <v>253.18981647136951</v>
      </c>
      <c r="O176">
        <v>0.16055310524904609</v>
      </c>
      <c r="P176" s="1" t="str">
        <f>HYPERLINK(".\sm_car_250824_2329\sm_car_250824_2329_175_Ca139TrE_MaDLC_DrSt_ode23t_1.png","figure")</f>
        <v>figure</v>
      </c>
      <c r="Q176" t="s">
        <v>15</v>
      </c>
    </row>
    <row r="177" spans="1:17" x14ac:dyDescent="0.25">
      <c r="A177">
        <v>176</v>
      </c>
      <c r="B177">
        <v>139</v>
      </c>
      <c r="C177" t="s">
        <v>45</v>
      </c>
      <c r="D177" t="s">
        <v>17</v>
      </c>
      <c r="E177" t="s">
        <v>18</v>
      </c>
      <c r="F177" t="s">
        <v>19</v>
      </c>
      <c r="G177" t="s">
        <v>26</v>
      </c>
      <c r="H177" t="s">
        <v>66</v>
      </c>
      <c r="I177" t="s">
        <v>53</v>
      </c>
      <c r="J177" t="s">
        <v>148</v>
      </c>
      <c r="K177" t="s">
        <v>23</v>
      </c>
      <c r="L177">
        <v>999</v>
      </c>
      <c r="M177">
        <v>39.397503499999999</v>
      </c>
      <c r="N177">
        <v>255.99966724533726</v>
      </c>
      <c r="O177">
        <v>-6.9732142719325374E-3</v>
      </c>
      <c r="P177" s="1" t="str">
        <f>HYPERLINK(".\sm_car_250824_2329\sm_car_250824_2329_176_Ca139TrT_MaDLC_DrSt_ode23t_1.png","figure")</f>
        <v>figure</v>
      </c>
      <c r="Q177" t="s">
        <v>15</v>
      </c>
    </row>
    <row r="178" spans="1:17" x14ac:dyDescent="0.25">
      <c r="A178">
        <v>177</v>
      </c>
      <c r="B178">
        <v>139</v>
      </c>
      <c r="C178" t="s">
        <v>45</v>
      </c>
      <c r="D178" t="s">
        <v>17</v>
      </c>
      <c r="E178" t="s">
        <v>18</v>
      </c>
      <c r="F178" t="s">
        <v>19</v>
      </c>
      <c r="G178" t="s">
        <v>26</v>
      </c>
      <c r="H178" t="s">
        <v>65</v>
      </c>
      <c r="I178" t="s">
        <v>53</v>
      </c>
      <c r="J178" t="s">
        <v>148</v>
      </c>
      <c r="K178" t="s">
        <v>23</v>
      </c>
      <c r="L178">
        <v>795</v>
      </c>
      <c r="M178">
        <v>21.493644100000001</v>
      </c>
      <c r="N178">
        <v>253.80098247056242</v>
      </c>
      <c r="O178">
        <v>9.7405908839283128E-3</v>
      </c>
      <c r="P178" s="1" t="str">
        <f>HYPERLINK(".\sm_car_250824_2329\sm_car_250824_2329_177_Ca139TrE_MaDLC_DrSt_ode23t_1.png","figure")</f>
        <v>figure</v>
      </c>
      <c r="Q178" t="s">
        <v>15</v>
      </c>
    </row>
    <row r="179" spans="1:17" x14ac:dyDescent="0.25">
      <c r="A179">
        <v>178</v>
      </c>
      <c r="B179">
        <v>2</v>
      </c>
      <c r="C179" t="s">
        <v>16</v>
      </c>
      <c r="D179" t="s">
        <v>17</v>
      </c>
      <c r="E179" t="s">
        <v>18</v>
      </c>
      <c r="F179" t="s">
        <v>19</v>
      </c>
      <c r="G179" t="s">
        <v>26</v>
      </c>
      <c r="H179" t="s">
        <v>21</v>
      </c>
      <c r="I179" t="s">
        <v>53</v>
      </c>
      <c r="J179" t="s">
        <v>148</v>
      </c>
      <c r="K179" t="s">
        <v>23</v>
      </c>
      <c r="L179">
        <v>523</v>
      </c>
      <c r="M179">
        <v>9.3804286999999995</v>
      </c>
      <c r="N179">
        <v>253.37972765129274</v>
      </c>
      <c r="O179">
        <v>4.6984542987775768E-2</v>
      </c>
      <c r="P179" s="1" t="str">
        <f>HYPERLINK(".\sm_car_250824_2329\sm_car_250824_2329_178_Ca002TrN_MaDLC_DrSt_ode23t_1.png","figure")</f>
        <v>figure</v>
      </c>
      <c r="Q179" t="s">
        <v>15</v>
      </c>
    </row>
    <row r="180" spans="1:17" x14ac:dyDescent="0.25">
      <c r="A180">
        <v>179</v>
      </c>
      <c r="B180">
        <v>2</v>
      </c>
      <c r="C180" t="s">
        <v>16</v>
      </c>
      <c r="D180" t="s">
        <v>17</v>
      </c>
      <c r="E180" t="s">
        <v>18</v>
      </c>
      <c r="F180" t="s">
        <v>19</v>
      </c>
      <c r="G180" t="s">
        <v>26</v>
      </c>
      <c r="H180" t="s">
        <v>65</v>
      </c>
      <c r="I180" t="s">
        <v>53</v>
      </c>
      <c r="J180" t="s">
        <v>148</v>
      </c>
      <c r="K180" t="s">
        <v>23</v>
      </c>
      <c r="L180">
        <v>576</v>
      </c>
      <c r="M180">
        <v>17.0314485</v>
      </c>
      <c r="N180">
        <v>254.46553087804165</v>
      </c>
      <c r="O180">
        <v>4.3517205296981665E-2</v>
      </c>
      <c r="P180" s="1" t="str">
        <f>HYPERLINK(".\sm_car_250824_2329\sm_car_250824_2329_179_Ca002TrE_MaDLC_DrSt_ode23t_1.png","figure")</f>
        <v>figure</v>
      </c>
      <c r="Q180" t="s">
        <v>15</v>
      </c>
    </row>
    <row r="181" spans="1:17" x14ac:dyDescent="0.25">
      <c r="A181">
        <v>180</v>
      </c>
      <c r="B181">
        <v>2</v>
      </c>
      <c r="C181" t="s">
        <v>16</v>
      </c>
      <c r="D181" t="s">
        <v>17</v>
      </c>
      <c r="E181" t="s">
        <v>18</v>
      </c>
      <c r="F181" t="s">
        <v>19</v>
      </c>
      <c r="G181" t="s">
        <v>26</v>
      </c>
      <c r="H181" t="s">
        <v>66</v>
      </c>
      <c r="I181" t="s">
        <v>53</v>
      </c>
      <c r="J181" t="s">
        <v>148</v>
      </c>
      <c r="K181" t="s">
        <v>23</v>
      </c>
      <c r="L181">
        <v>896</v>
      </c>
      <c r="M181">
        <v>28.646779899999999</v>
      </c>
      <c r="N181">
        <v>254.81911529488212</v>
      </c>
      <c r="O181">
        <v>4.1621502796862053E-2</v>
      </c>
      <c r="P181" s="1" t="str">
        <f>HYPERLINK(".\sm_car_250824_2329\sm_car_250824_2329_180_Ca002TrT_MaDLC_DrSt_ode23t_1.png","figure")</f>
        <v>figure</v>
      </c>
      <c r="Q181" t="s">
        <v>15</v>
      </c>
    </row>
    <row r="182" spans="1:17" x14ac:dyDescent="0.25">
      <c r="A182">
        <v>181</v>
      </c>
      <c r="B182">
        <v>2</v>
      </c>
      <c r="C182" t="s">
        <v>16</v>
      </c>
      <c r="D182" t="s">
        <v>17</v>
      </c>
      <c r="E182" t="s">
        <v>18</v>
      </c>
      <c r="F182" t="s">
        <v>19</v>
      </c>
      <c r="G182" t="s">
        <v>26</v>
      </c>
      <c r="H182" t="s">
        <v>65</v>
      </c>
      <c r="I182" t="s">
        <v>53</v>
      </c>
      <c r="J182" t="s">
        <v>148</v>
      </c>
      <c r="K182" t="s">
        <v>23</v>
      </c>
      <c r="L182">
        <v>572</v>
      </c>
      <c r="M182">
        <v>12.0449521</v>
      </c>
      <c r="N182">
        <v>255.33864448700291</v>
      </c>
      <c r="O182">
        <v>4.0428943518918903E-2</v>
      </c>
      <c r="P182" s="1" t="str">
        <f>HYPERLINK(".\sm_car_250824_2329\sm_car_250824_2329_181_Ca002TrE_MaDLC_DrSt_ode23t_1.png","figure")</f>
        <v>figure</v>
      </c>
      <c r="Q182" t="s">
        <v>15</v>
      </c>
    </row>
    <row r="183" spans="1:17" x14ac:dyDescent="0.25">
      <c r="A183">
        <v>182</v>
      </c>
      <c r="B183">
        <v>145</v>
      </c>
      <c r="C183" t="s">
        <v>46</v>
      </c>
      <c r="D183" t="s">
        <v>17</v>
      </c>
      <c r="E183" t="s">
        <v>50</v>
      </c>
      <c r="F183" t="s">
        <v>19</v>
      </c>
      <c r="G183" t="s">
        <v>26</v>
      </c>
      <c r="H183" t="s">
        <v>21</v>
      </c>
      <c r="I183" t="s">
        <v>53</v>
      </c>
      <c r="J183" t="s">
        <v>148</v>
      </c>
      <c r="K183" t="s">
        <v>23</v>
      </c>
      <c r="L183">
        <v>464</v>
      </c>
      <c r="M183">
        <v>16.110069899999999</v>
      </c>
      <c r="N183">
        <v>255.28779016135792</v>
      </c>
      <c r="O183">
        <v>6.8415375574617521E-2</v>
      </c>
      <c r="P183" s="1" t="str">
        <f>HYPERLINK(".\sm_car_250824_2329\sm_car_250824_2329_182_Ca145TrN_MaDLC_DrSt_ode23t_1.png","figure")</f>
        <v>figure</v>
      </c>
      <c r="Q183" t="s">
        <v>15</v>
      </c>
    </row>
    <row r="184" spans="1:17" x14ac:dyDescent="0.25">
      <c r="A184">
        <v>183</v>
      </c>
      <c r="B184">
        <v>145</v>
      </c>
      <c r="C184" t="s">
        <v>46</v>
      </c>
      <c r="D184" t="s">
        <v>17</v>
      </c>
      <c r="E184" t="s">
        <v>50</v>
      </c>
      <c r="F184" t="s">
        <v>19</v>
      </c>
      <c r="G184" t="s">
        <v>26</v>
      </c>
      <c r="H184" t="s">
        <v>65</v>
      </c>
      <c r="I184" t="s">
        <v>53</v>
      </c>
      <c r="J184" t="s">
        <v>148</v>
      </c>
      <c r="K184" t="s">
        <v>23</v>
      </c>
      <c r="L184">
        <v>575</v>
      </c>
      <c r="M184">
        <v>30.349201399999998</v>
      </c>
      <c r="N184">
        <v>253.18940683327173</v>
      </c>
      <c r="O184">
        <v>7.9218085624853884E-2</v>
      </c>
      <c r="P184" s="1" t="str">
        <f>HYPERLINK(".\sm_car_250824_2329\sm_car_250824_2329_183_Ca145TrE_MaDLC_DrSt_ode23t_1.png","figure")</f>
        <v>figure</v>
      </c>
      <c r="Q184" t="s">
        <v>15</v>
      </c>
    </row>
    <row r="185" spans="1:17" x14ac:dyDescent="0.25">
      <c r="A185">
        <v>184</v>
      </c>
      <c r="B185">
        <v>145</v>
      </c>
      <c r="C185" t="s">
        <v>46</v>
      </c>
      <c r="D185" t="s">
        <v>17</v>
      </c>
      <c r="E185" t="s">
        <v>50</v>
      </c>
      <c r="F185" t="s">
        <v>19</v>
      </c>
      <c r="G185" t="s">
        <v>26</v>
      </c>
      <c r="H185" t="s">
        <v>66</v>
      </c>
      <c r="I185" t="s">
        <v>53</v>
      </c>
      <c r="J185" t="s">
        <v>148</v>
      </c>
      <c r="K185" t="s">
        <v>23</v>
      </c>
      <c r="L185">
        <v>821</v>
      </c>
      <c r="M185">
        <v>49.7839983</v>
      </c>
      <c r="N185">
        <v>253.82295099909237</v>
      </c>
      <c r="O185">
        <v>7.5677056862414549E-2</v>
      </c>
      <c r="P185" s="1" t="str">
        <f>HYPERLINK(".\sm_car_250824_2329\sm_car_250824_2329_184_Ca145TrT_MaDLC_DrSt_ode23t_1.png","figure")</f>
        <v>figure</v>
      </c>
      <c r="Q185" t="s">
        <v>15</v>
      </c>
    </row>
    <row r="186" spans="1:17" x14ac:dyDescent="0.25">
      <c r="A186">
        <v>185</v>
      </c>
      <c r="B186">
        <v>145</v>
      </c>
      <c r="C186" t="s">
        <v>46</v>
      </c>
      <c r="D186" t="s">
        <v>17</v>
      </c>
      <c r="E186" t="s">
        <v>50</v>
      </c>
      <c r="F186" t="s">
        <v>19</v>
      </c>
      <c r="G186" t="s">
        <v>26</v>
      </c>
      <c r="H186" t="s">
        <v>65</v>
      </c>
      <c r="I186" t="s">
        <v>53</v>
      </c>
      <c r="J186" t="s">
        <v>148</v>
      </c>
      <c r="K186" t="s">
        <v>23</v>
      </c>
      <c r="L186">
        <v>582</v>
      </c>
      <c r="M186">
        <v>26.389287199999998</v>
      </c>
      <c r="N186">
        <v>255.92160357683224</v>
      </c>
      <c r="O186">
        <v>6.6290448986210837E-2</v>
      </c>
      <c r="P186" s="1" t="str">
        <f>HYPERLINK(".\sm_car_250824_2329\sm_car_250824_2329_185_Ca145TrE_MaDLC_DrSt_ode23t_1.png","figure")</f>
        <v>figure</v>
      </c>
      <c r="Q186" t="s">
        <v>15</v>
      </c>
    </row>
    <row r="187" spans="1:17" x14ac:dyDescent="0.25">
      <c r="A187">
        <v>186</v>
      </c>
      <c r="B187">
        <v>199</v>
      </c>
      <c r="C187" t="s">
        <v>46</v>
      </c>
      <c r="D187" t="s">
        <v>17</v>
      </c>
      <c r="E187" t="s">
        <v>109</v>
      </c>
      <c r="F187" t="s">
        <v>19</v>
      </c>
      <c r="G187" t="s">
        <v>26</v>
      </c>
      <c r="H187" t="s">
        <v>21</v>
      </c>
      <c r="I187" t="s">
        <v>53</v>
      </c>
      <c r="J187" t="s">
        <v>148</v>
      </c>
      <c r="K187" t="s">
        <v>23</v>
      </c>
      <c r="L187">
        <v>460</v>
      </c>
      <c r="M187">
        <v>6.5696633999999996</v>
      </c>
      <c r="N187">
        <v>255.92488857811145</v>
      </c>
      <c r="O187">
        <v>6.581746077970152E-2</v>
      </c>
      <c r="P187" s="1" t="str">
        <f>HYPERLINK(".\sm_car_250824_2329\sm_car_250824_2329_186_Ca199TrN_MaDLC_DrSt_ode23t_1.png","figure")</f>
        <v>figure</v>
      </c>
      <c r="Q187" t="s">
        <v>15</v>
      </c>
    </row>
    <row r="188" spans="1:17" x14ac:dyDescent="0.25">
      <c r="A188">
        <v>187</v>
      </c>
      <c r="B188">
        <v>199</v>
      </c>
      <c r="C188" t="s">
        <v>46</v>
      </c>
      <c r="D188" t="s">
        <v>17</v>
      </c>
      <c r="E188" t="s">
        <v>109</v>
      </c>
      <c r="F188" t="s">
        <v>19</v>
      </c>
      <c r="G188" t="s">
        <v>26</v>
      </c>
      <c r="H188" t="s">
        <v>65</v>
      </c>
      <c r="I188" t="s">
        <v>53</v>
      </c>
      <c r="J188" t="s">
        <v>148</v>
      </c>
      <c r="K188" t="s">
        <v>23</v>
      </c>
      <c r="L188">
        <v>578</v>
      </c>
      <c r="M188">
        <v>15.5892965</v>
      </c>
      <c r="N188">
        <v>255.42046438808785</v>
      </c>
      <c r="O188">
        <v>6.8616052968871077E-2</v>
      </c>
      <c r="P188" s="1" t="str">
        <f>HYPERLINK(".\sm_car_250824_2329\sm_car_250824_2329_187_Ca199TrE_MaDLC_DrSt_ode23t_1.png","figure")</f>
        <v>figure</v>
      </c>
      <c r="Q188" t="s">
        <v>15</v>
      </c>
    </row>
    <row r="189" spans="1:17" x14ac:dyDescent="0.25">
      <c r="A189">
        <v>188</v>
      </c>
      <c r="B189">
        <v>199</v>
      </c>
      <c r="C189" t="s">
        <v>46</v>
      </c>
      <c r="D189" t="s">
        <v>17</v>
      </c>
      <c r="E189" t="s">
        <v>109</v>
      </c>
      <c r="F189" t="s">
        <v>19</v>
      </c>
      <c r="G189" t="s">
        <v>26</v>
      </c>
      <c r="H189" t="s">
        <v>66</v>
      </c>
      <c r="I189" t="s">
        <v>53</v>
      </c>
      <c r="J189" t="s">
        <v>148</v>
      </c>
      <c r="K189" t="s">
        <v>23</v>
      </c>
      <c r="L189">
        <v>4938</v>
      </c>
      <c r="M189">
        <v>352.34939329999997</v>
      </c>
      <c r="N189">
        <v>254.73755397058443</v>
      </c>
      <c r="O189">
        <v>7.1138552534791177E-2</v>
      </c>
      <c r="P189" s="1" t="str">
        <f>HYPERLINK(".\sm_car_250824_2329\sm_car_250824_2329_188_Ca199TrT_MaDLC_DrSt_ode23t_1.png","figure")</f>
        <v>figure</v>
      </c>
      <c r="Q189" t="s">
        <v>15</v>
      </c>
    </row>
    <row r="190" spans="1:17" x14ac:dyDescent="0.25">
      <c r="A190">
        <v>189</v>
      </c>
      <c r="B190">
        <v>199</v>
      </c>
      <c r="C190" t="s">
        <v>46</v>
      </c>
      <c r="D190" t="s">
        <v>17</v>
      </c>
      <c r="E190" t="s">
        <v>109</v>
      </c>
      <c r="F190" t="s">
        <v>19</v>
      </c>
      <c r="G190" t="s">
        <v>26</v>
      </c>
      <c r="H190" t="s">
        <v>65</v>
      </c>
      <c r="I190" t="s">
        <v>53</v>
      </c>
      <c r="J190" t="s">
        <v>148</v>
      </c>
      <c r="K190" t="s">
        <v>23</v>
      </c>
      <c r="L190">
        <v>575</v>
      </c>
      <c r="M190">
        <v>11.616332</v>
      </c>
      <c r="N190">
        <v>255.4295444827132</v>
      </c>
      <c r="O190">
        <v>6.8602120633093566E-2</v>
      </c>
      <c r="P190" s="1" t="str">
        <f>HYPERLINK(".\sm_car_250824_2329\sm_car_250824_2329_189_Ca199TrE_MaDLC_DrSt_ode23t_1.png","figure")</f>
        <v>figure</v>
      </c>
      <c r="Q190" t="s">
        <v>15</v>
      </c>
    </row>
    <row r="191" spans="1:17" x14ac:dyDescent="0.25">
      <c r="A191">
        <v>190</v>
      </c>
      <c r="B191">
        <v>189</v>
      </c>
      <c r="C191" t="s">
        <v>45</v>
      </c>
      <c r="D191" t="s">
        <v>17</v>
      </c>
      <c r="E191" t="s">
        <v>107</v>
      </c>
      <c r="F191" t="s">
        <v>19</v>
      </c>
      <c r="G191" t="s">
        <v>26</v>
      </c>
      <c r="H191" t="s">
        <v>65</v>
      </c>
      <c r="I191" t="s">
        <v>67</v>
      </c>
      <c r="J191" t="s">
        <v>148</v>
      </c>
      <c r="K191" t="s">
        <v>23</v>
      </c>
      <c r="L191">
        <v>402</v>
      </c>
      <c r="M191">
        <v>10.8499009</v>
      </c>
      <c r="N191">
        <v>264.58224329344364</v>
      </c>
      <c r="O191">
        <v>1.3495740005500245E-3</v>
      </c>
      <c r="P191" s="1" t="str">
        <f>HYPERLINK(".\sm_car_250824_2329\sm_car_250824_2329_190_Ca189TrE_MaTRD_DrSt_ode23t_1.png","figure")</f>
        <v>figure</v>
      </c>
      <c r="Q191" t="s">
        <v>15</v>
      </c>
    </row>
    <row r="192" spans="1:17" x14ac:dyDescent="0.25">
      <c r="A192">
        <v>191</v>
      </c>
      <c r="B192">
        <v>189</v>
      </c>
      <c r="C192" t="s">
        <v>45</v>
      </c>
      <c r="D192" t="s">
        <v>17</v>
      </c>
      <c r="E192" t="s">
        <v>107</v>
      </c>
      <c r="F192" t="s">
        <v>19</v>
      </c>
      <c r="G192" t="s">
        <v>26</v>
      </c>
      <c r="H192" t="s">
        <v>65</v>
      </c>
      <c r="I192" t="s">
        <v>67</v>
      </c>
      <c r="J192" t="s">
        <v>148</v>
      </c>
      <c r="K192" t="s">
        <v>23</v>
      </c>
      <c r="L192">
        <v>568</v>
      </c>
      <c r="M192">
        <v>14.3565273</v>
      </c>
      <c r="N192">
        <v>264.4380898946867</v>
      </c>
      <c r="O192">
        <v>-7.322374100849327E-2</v>
      </c>
      <c r="P192" s="1" t="str">
        <f>HYPERLINK(".\sm_car_250824_2329\sm_car_250824_2329_191_Ca189TrU_MaTRD_DrSt_ode23t_1.png","figure")</f>
        <v>figure</v>
      </c>
      <c r="Q192" t="s">
        <v>15</v>
      </c>
    </row>
    <row r="193" spans="1:17" x14ac:dyDescent="0.25">
      <c r="A193">
        <v>192</v>
      </c>
      <c r="B193">
        <v>149</v>
      </c>
      <c r="C193" t="s">
        <v>46</v>
      </c>
      <c r="D193" t="s">
        <v>17</v>
      </c>
      <c r="E193" t="s">
        <v>68</v>
      </c>
      <c r="F193" t="s">
        <v>19</v>
      </c>
      <c r="G193" t="s">
        <v>26</v>
      </c>
      <c r="H193" t="s">
        <v>21</v>
      </c>
      <c r="I193" t="s">
        <v>69</v>
      </c>
      <c r="J193" t="s">
        <v>148</v>
      </c>
      <c r="K193" t="s">
        <v>23</v>
      </c>
      <c r="L193">
        <v>674</v>
      </c>
      <c r="M193">
        <v>9.0275824</v>
      </c>
      <c r="N193">
        <v>-5.8051000590464419E-3</v>
      </c>
      <c r="O193">
        <v>-4.0257958394901427E-4</v>
      </c>
      <c r="P193" s="1" t="str">
        <f>HYPERLINK(".\sm_car_250824_2329\sm_car_250824_2329_192_Ca149TrN_MaPST_DrSt_ode23t_1.png","figure")</f>
        <v>figure</v>
      </c>
      <c r="Q193" t="s">
        <v>15</v>
      </c>
    </row>
    <row r="194" spans="1:17" x14ac:dyDescent="0.25">
      <c r="A194">
        <v>193</v>
      </c>
      <c r="B194">
        <v>139</v>
      </c>
      <c r="C194" t="s">
        <v>45</v>
      </c>
      <c r="D194" t="s">
        <v>17</v>
      </c>
      <c r="E194" t="s">
        <v>18</v>
      </c>
      <c r="F194" t="s">
        <v>19</v>
      </c>
      <c r="G194" t="s">
        <v>26</v>
      </c>
      <c r="H194" t="s">
        <v>21</v>
      </c>
      <c r="I194" t="s">
        <v>70</v>
      </c>
      <c r="J194" t="s">
        <v>148</v>
      </c>
      <c r="K194" t="s">
        <v>23</v>
      </c>
      <c r="L194">
        <v>1549</v>
      </c>
      <c r="M194">
        <v>34.077755699999997</v>
      </c>
      <c r="N194">
        <v>36.419995745153834</v>
      </c>
      <c r="O194">
        <v>0.23128541214383799</v>
      </c>
      <c r="P194" s="1" t="str">
        <f>HYPERLINK(".\sm_car_250824_2329\sm_car_250824_2329_193_Ca139TrN_MaSKD_DrSt_ode23t_1.png","figure")</f>
        <v>figure</v>
      </c>
      <c r="Q194" t="s">
        <v>15</v>
      </c>
    </row>
    <row r="195" spans="1:17" x14ac:dyDescent="0.25">
      <c r="A195">
        <v>194</v>
      </c>
      <c r="B195">
        <v>139</v>
      </c>
      <c r="C195" t="s">
        <v>45</v>
      </c>
      <c r="D195" t="s">
        <v>17</v>
      </c>
      <c r="E195" t="s">
        <v>18</v>
      </c>
      <c r="F195" t="s">
        <v>19</v>
      </c>
      <c r="G195" t="s">
        <v>26</v>
      </c>
      <c r="H195" t="s">
        <v>21</v>
      </c>
      <c r="I195" t="s">
        <v>71</v>
      </c>
      <c r="J195" t="s">
        <v>148</v>
      </c>
      <c r="K195" t="s">
        <v>23</v>
      </c>
      <c r="L195">
        <v>824</v>
      </c>
      <c r="M195">
        <v>19.976140999999998</v>
      </c>
      <c r="N195">
        <v>-1.3601724142411342E-3</v>
      </c>
      <c r="O195">
        <v>20.567295940649295</v>
      </c>
      <c r="P195" s="1" t="str">
        <f>HYPERLINK(".\sm_car_250824_2329\sm_car_250824_2329_194_Ca139TrN_MaRAD_DrSt_ode23t_1.png","figure")</f>
        <v>figure</v>
      </c>
      <c r="Q195" t="s">
        <v>15</v>
      </c>
    </row>
    <row r="196" spans="1:17" x14ac:dyDescent="0.25">
      <c r="A196">
        <v>195</v>
      </c>
      <c r="B196">
        <v>184</v>
      </c>
      <c r="C196" t="s">
        <v>105</v>
      </c>
      <c r="D196" t="s">
        <v>120</v>
      </c>
      <c r="E196" t="s">
        <v>49</v>
      </c>
      <c r="F196" t="s">
        <v>19</v>
      </c>
      <c r="G196" t="s">
        <v>20</v>
      </c>
      <c r="H196" t="s">
        <v>21</v>
      </c>
      <c r="I196" t="s">
        <v>70</v>
      </c>
      <c r="J196" t="s">
        <v>148</v>
      </c>
      <c r="K196" t="s">
        <v>23</v>
      </c>
      <c r="L196">
        <v>1317</v>
      </c>
      <c r="M196">
        <v>47.940443399999999</v>
      </c>
      <c r="N196">
        <v>36.443109010693945</v>
      </c>
      <c r="O196">
        <v>0.1601184171461276</v>
      </c>
      <c r="P196" s="1" t="str">
        <f>HYPERLINK(".\sm_car_250824_2329\sm_car_250824_2329_195_Ca184TrN_MaSKD_DrSt_ode23t_1.png","figure")</f>
        <v>figure</v>
      </c>
      <c r="Q196" t="s">
        <v>15</v>
      </c>
    </row>
    <row r="197" spans="1:17" x14ac:dyDescent="0.25">
      <c r="A197">
        <v>196</v>
      </c>
      <c r="B197">
        <v>184</v>
      </c>
      <c r="C197" t="s">
        <v>105</v>
      </c>
      <c r="D197" t="s">
        <v>120</v>
      </c>
      <c r="E197" t="s">
        <v>49</v>
      </c>
      <c r="F197" t="s">
        <v>19</v>
      </c>
      <c r="G197" t="s">
        <v>20</v>
      </c>
      <c r="H197" t="s">
        <v>21</v>
      </c>
      <c r="I197" t="s">
        <v>71</v>
      </c>
      <c r="J197" t="s">
        <v>148</v>
      </c>
      <c r="K197" t="s">
        <v>23</v>
      </c>
      <c r="L197">
        <v>637</v>
      </c>
      <c r="M197">
        <v>22.707528100000001</v>
      </c>
      <c r="N197">
        <v>7.4816507501322675</v>
      </c>
      <c r="O197">
        <v>10.377818260095081</v>
      </c>
      <c r="P197" s="1" t="str">
        <f>HYPERLINK(".\sm_car_250824_2329\sm_car_250824_2329_196_Ca184TrN_MaRAD_DrSt_ode23t_1.png","figure")</f>
        <v>figure</v>
      </c>
      <c r="Q197" t="s">
        <v>15</v>
      </c>
    </row>
    <row r="198" spans="1:17" x14ac:dyDescent="0.25">
      <c r="A198">
        <v>197</v>
      </c>
      <c r="B198">
        <v>228</v>
      </c>
      <c r="C198" t="s">
        <v>160</v>
      </c>
      <c r="D198" t="s">
        <v>35</v>
      </c>
      <c r="E198" t="s">
        <v>107</v>
      </c>
      <c r="F198" t="s">
        <v>19</v>
      </c>
      <c r="G198" t="s">
        <v>26</v>
      </c>
      <c r="H198" t="s">
        <v>21</v>
      </c>
      <c r="I198" t="s">
        <v>70</v>
      </c>
      <c r="J198" t="s">
        <v>148</v>
      </c>
      <c r="K198" t="s">
        <v>23</v>
      </c>
      <c r="L198">
        <v>1676</v>
      </c>
      <c r="M198">
        <v>6.9863040999999999</v>
      </c>
      <c r="N198">
        <v>36.362024793657653</v>
      </c>
      <c r="O198">
        <v>0.58313581226670763</v>
      </c>
      <c r="P198" s="1" t="str">
        <f>HYPERLINK(".\sm_car_250824_2329\sm_car_250824_2329_197_Ca228TrN_MaSKD_DrSt_ode23t_1.png","figure")</f>
        <v>figure</v>
      </c>
      <c r="Q198" t="s">
        <v>15</v>
      </c>
    </row>
    <row r="199" spans="1:17" x14ac:dyDescent="0.25">
      <c r="A199">
        <v>198</v>
      </c>
      <c r="B199">
        <v>228</v>
      </c>
      <c r="C199" t="s">
        <v>160</v>
      </c>
      <c r="D199" t="s">
        <v>35</v>
      </c>
      <c r="E199" t="s">
        <v>107</v>
      </c>
      <c r="F199" t="s">
        <v>19</v>
      </c>
      <c r="G199" t="s">
        <v>26</v>
      </c>
      <c r="H199" t="s">
        <v>21</v>
      </c>
      <c r="I199" t="s">
        <v>71</v>
      </c>
      <c r="J199" t="s">
        <v>148</v>
      </c>
      <c r="K199" t="s">
        <v>23</v>
      </c>
      <c r="L199">
        <v>748</v>
      </c>
      <c r="M199">
        <v>3.2442144000000002</v>
      </c>
      <c r="N199">
        <v>6.9882992111386493</v>
      </c>
      <c r="O199">
        <v>19.412338560117302</v>
      </c>
      <c r="P199" s="1" t="str">
        <f>HYPERLINK(".\sm_car_250824_2329\sm_car_250824_2329_198_Ca228TrN_MaRAD_DrSt_ode23t_1.png","figure")</f>
        <v>figure</v>
      </c>
      <c r="Q199" t="s">
        <v>15</v>
      </c>
    </row>
    <row r="200" spans="1:17" x14ac:dyDescent="0.25">
      <c r="A200">
        <v>199</v>
      </c>
      <c r="B200">
        <v>230</v>
      </c>
      <c r="C200" t="s">
        <v>160</v>
      </c>
      <c r="D200" t="s">
        <v>161</v>
      </c>
      <c r="E200" t="s">
        <v>162</v>
      </c>
      <c r="F200" t="s">
        <v>19</v>
      </c>
      <c r="G200" t="s">
        <v>26</v>
      </c>
      <c r="H200" t="s">
        <v>21</v>
      </c>
      <c r="I200" t="s">
        <v>70</v>
      </c>
      <c r="J200" t="s">
        <v>148</v>
      </c>
      <c r="K200" t="s">
        <v>23</v>
      </c>
      <c r="L200">
        <v>1375</v>
      </c>
      <c r="M200">
        <v>25.3949316</v>
      </c>
      <c r="N200">
        <v>36.537552283661611</v>
      </c>
      <c r="O200">
        <v>0.18562378818615047</v>
      </c>
      <c r="P200" s="1" t="str">
        <f>HYPERLINK(".\sm_car_250824_2329\sm_car_250824_2329_199_Ca230TrN_MaSKD_DrSt_ode23t_1.png","figure")</f>
        <v>figure</v>
      </c>
      <c r="Q200" t="s">
        <v>15</v>
      </c>
    </row>
    <row r="201" spans="1:17" x14ac:dyDescent="0.25">
      <c r="A201">
        <v>200</v>
      </c>
      <c r="B201">
        <v>230</v>
      </c>
      <c r="C201" t="s">
        <v>160</v>
      </c>
      <c r="D201" t="s">
        <v>161</v>
      </c>
      <c r="E201" t="s">
        <v>162</v>
      </c>
      <c r="F201" t="s">
        <v>19</v>
      </c>
      <c r="G201" t="s">
        <v>26</v>
      </c>
      <c r="H201" t="s">
        <v>21</v>
      </c>
      <c r="I201" t="s">
        <v>71</v>
      </c>
      <c r="J201" t="s">
        <v>148</v>
      </c>
      <c r="K201" t="s">
        <v>23</v>
      </c>
      <c r="L201">
        <v>701</v>
      </c>
      <c r="M201">
        <v>12.670022700000001</v>
      </c>
      <c r="N201">
        <v>5.4383085085794676</v>
      </c>
      <c r="O201">
        <v>14.26814636627212</v>
      </c>
      <c r="P201" s="1" t="str">
        <f>HYPERLINK(".\sm_car_250824_2329\sm_car_250824_2329_200_Ca230TrN_MaRAD_DrSt_ode23t_1.png","figure")</f>
        <v>figure</v>
      </c>
      <c r="Q201" t="s">
        <v>15</v>
      </c>
    </row>
    <row r="202" spans="1:17" x14ac:dyDescent="0.25">
      <c r="A202">
        <v>201</v>
      </c>
      <c r="B202">
        <v>231</v>
      </c>
      <c r="C202" t="s">
        <v>160</v>
      </c>
      <c r="D202" t="s">
        <v>172</v>
      </c>
      <c r="E202" t="s">
        <v>162</v>
      </c>
      <c r="F202" t="s">
        <v>19</v>
      </c>
      <c r="G202" t="s">
        <v>26</v>
      </c>
      <c r="H202" t="s">
        <v>21</v>
      </c>
      <c r="I202" t="s">
        <v>70</v>
      </c>
      <c r="J202" t="s">
        <v>148</v>
      </c>
      <c r="K202" t="s">
        <v>23</v>
      </c>
      <c r="L202">
        <v>1667</v>
      </c>
      <c r="M202">
        <v>16.385889899999999</v>
      </c>
      <c r="N202">
        <v>36.356908796923641</v>
      </c>
      <c r="O202">
        <v>0.56439441512806299</v>
      </c>
      <c r="P202" s="1" t="str">
        <f>HYPERLINK(".\sm_car_250824_2329\sm_car_250824_2329_201_Ca231TrN_MaSKD_DrSt_ode23t_1.png","figure")</f>
        <v>figure</v>
      </c>
      <c r="Q202" t="s">
        <v>15</v>
      </c>
    </row>
    <row r="203" spans="1:17" x14ac:dyDescent="0.25">
      <c r="A203">
        <v>202</v>
      </c>
      <c r="B203">
        <v>231</v>
      </c>
      <c r="C203" t="s">
        <v>160</v>
      </c>
      <c r="D203" t="s">
        <v>172</v>
      </c>
      <c r="E203" t="s">
        <v>162</v>
      </c>
      <c r="F203" t="s">
        <v>19</v>
      </c>
      <c r="G203" t="s">
        <v>26</v>
      </c>
      <c r="H203" t="s">
        <v>21</v>
      </c>
      <c r="I203" t="s">
        <v>71</v>
      </c>
      <c r="J203" t="s">
        <v>148</v>
      </c>
      <c r="K203" t="s">
        <v>23</v>
      </c>
      <c r="L203">
        <v>798</v>
      </c>
      <c r="M203">
        <v>9.5742294000000001</v>
      </c>
      <c r="N203">
        <v>6.6977041231393706</v>
      </c>
      <c r="O203">
        <v>14.811027593128085</v>
      </c>
      <c r="P203" s="1" t="str">
        <f>HYPERLINK(".\sm_car_250824_2329\sm_car_250824_2329_202_Ca231TrN_MaRAD_DrSt_ode23t_1.png","figure")</f>
        <v>figure</v>
      </c>
      <c r="Q203" t="s">
        <v>15</v>
      </c>
    </row>
    <row r="204" spans="1:17" x14ac:dyDescent="0.25">
      <c r="A204">
        <v>203</v>
      </c>
      <c r="B204">
        <v>198</v>
      </c>
      <c r="C204" t="s">
        <v>105</v>
      </c>
      <c r="D204" t="s">
        <v>120</v>
      </c>
      <c r="E204" t="s">
        <v>107</v>
      </c>
      <c r="F204" t="s">
        <v>19</v>
      </c>
      <c r="G204" t="s">
        <v>20</v>
      </c>
      <c r="H204" t="s">
        <v>21</v>
      </c>
      <c r="I204" t="s">
        <v>70</v>
      </c>
      <c r="J204" t="s">
        <v>148</v>
      </c>
      <c r="K204" t="s">
        <v>23</v>
      </c>
      <c r="L204">
        <v>1401</v>
      </c>
      <c r="M204">
        <v>29.778324300000001</v>
      </c>
      <c r="N204">
        <v>36.3691650041484</v>
      </c>
      <c r="O204">
        <v>0.16202272545372895</v>
      </c>
      <c r="P204" s="1" t="str">
        <f>HYPERLINK(".\sm_car_250824_2329\sm_car_250824_2329_203_Ca198TrN_MaSKD_DrSt_ode23t_1.png","figure")</f>
        <v>figure</v>
      </c>
      <c r="Q204" t="s">
        <v>15</v>
      </c>
    </row>
    <row r="205" spans="1:17" x14ac:dyDescent="0.25">
      <c r="A205">
        <v>204</v>
      </c>
      <c r="B205">
        <v>198</v>
      </c>
      <c r="C205" t="s">
        <v>105</v>
      </c>
      <c r="D205" t="s">
        <v>120</v>
      </c>
      <c r="E205" t="s">
        <v>107</v>
      </c>
      <c r="F205" t="s">
        <v>19</v>
      </c>
      <c r="G205" t="s">
        <v>20</v>
      </c>
      <c r="H205" t="s">
        <v>21</v>
      </c>
      <c r="I205" t="s">
        <v>71</v>
      </c>
      <c r="J205" t="s">
        <v>148</v>
      </c>
      <c r="K205" t="s">
        <v>23</v>
      </c>
      <c r="L205">
        <v>685</v>
      </c>
      <c r="M205">
        <v>14.273270500000001</v>
      </c>
      <c r="N205">
        <v>7.5235895965044257</v>
      </c>
      <c r="O205">
        <v>10.293901527350551</v>
      </c>
      <c r="P205" s="1" t="str">
        <f>HYPERLINK(".\sm_car_250824_2329\sm_car_250824_2329_204_Ca198TrN_MaRAD_DrSt_ode23t_1.png","figure")</f>
        <v>figure</v>
      </c>
      <c r="Q205" t="s">
        <v>15</v>
      </c>
    </row>
    <row r="206" spans="1:17" x14ac:dyDescent="0.25">
      <c r="A206">
        <v>205</v>
      </c>
      <c r="B206">
        <v>189</v>
      </c>
      <c r="C206" t="s">
        <v>45</v>
      </c>
      <c r="D206" t="s">
        <v>17</v>
      </c>
      <c r="E206" t="s">
        <v>107</v>
      </c>
      <c r="F206" t="s">
        <v>19</v>
      </c>
      <c r="G206" t="s">
        <v>26</v>
      </c>
      <c r="H206" t="s">
        <v>21</v>
      </c>
      <c r="I206" t="s">
        <v>132</v>
      </c>
      <c r="J206" t="s">
        <v>148</v>
      </c>
      <c r="K206" t="s">
        <v>23</v>
      </c>
      <c r="L206">
        <v>573</v>
      </c>
      <c r="M206">
        <v>9.0842811000000001</v>
      </c>
      <c r="N206">
        <v>137.70166448938784</v>
      </c>
      <c r="O206">
        <v>-12.951746000276993</v>
      </c>
      <c r="P206" s="1" t="str">
        <f>HYPERLINK(".\sm_car_250824_2329\sm_car_250824_2329_205_Ca189TrN_MaFSH_DrSt_ode23t_1.png","figure")</f>
        <v>figure</v>
      </c>
      <c r="Q206" t="s">
        <v>15</v>
      </c>
    </row>
    <row r="207" spans="1:17" x14ac:dyDescent="0.25">
      <c r="A207">
        <v>206</v>
      </c>
      <c r="B207">
        <v>189</v>
      </c>
      <c r="C207" t="s">
        <v>45</v>
      </c>
      <c r="D207" t="s">
        <v>17</v>
      </c>
      <c r="E207" t="s">
        <v>107</v>
      </c>
      <c r="F207" t="s">
        <v>19</v>
      </c>
      <c r="G207" t="s">
        <v>26</v>
      </c>
      <c r="H207" t="s">
        <v>21</v>
      </c>
      <c r="I207" t="s">
        <v>133</v>
      </c>
      <c r="J207" t="s">
        <v>148</v>
      </c>
      <c r="K207" t="s">
        <v>23</v>
      </c>
      <c r="L207">
        <v>436</v>
      </c>
      <c r="M207">
        <v>6.8219291999999996</v>
      </c>
      <c r="N207">
        <v>129.5052822145708</v>
      </c>
      <c r="O207">
        <v>-8.8096853891408031</v>
      </c>
      <c r="P207" s="1" t="str">
        <f>HYPERLINK(".\sm_car_250824_2329\sm_car_250824_2329_206_Ca189TrN_MaSWD_DrSt_ode23t_1.png","figure")</f>
        <v>figure</v>
      </c>
      <c r="Q207" t="s">
        <v>15</v>
      </c>
    </row>
    <row r="208" spans="1:17" x14ac:dyDescent="0.25">
      <c r="A208">
        <v>207</v>
      </c>
      <c r="B208">
        <v>189</v>
      </c>
      <c r="C208" t="s">
        <v>45</v>
      </c>
      <c r="D208" t="s">
        <v>17</v>
      </c>
      <c r="E208" t="s">
        <v>107</v>
      </c>
      <c r="F208" t="s">
        <v>19</v>
      </c>
      <c r="G208" t="s">
        <v>26</v>
      </c>
      <c r="H208" t="s">
        <v>21</v>
      </c>
      <c r="I208" t="s">
        <v>134</v>
      </c>
      <c r="J208" t="s">
        <v>148</v>
      </c>
      <c r="K208" t="s">
        <v>23</v>
      </c>
      <c r="L208">
        <v>445</v>
      </c>
      <c r="M208">
        <v>8.1141173000000002</v>
      </c>
      <c r="N208">
        <v>113.3801558254886</v>
      </c>
      <c r="O208">
        <v>17.941820902876703</v>
      </c>
      <c r="P208" s="1" t="str">
        <f>HYPERLINK(".\sm_car_250824_2329\sm_car_250824_2329_207_Ca189TrN_MaRST_DrSt_ode23t_1.png","figure")</f>
        <v>figure</v>
      </c>
      <c r="Q208" t="s">
        <v>15</v>
      </c>
    </row>
    <row r="209" spans="1:17" x14ac:dyDescent="0.25">
      <c r="A209">
        <v>208</v>
      </c>
      <c r="B209">
        <v>189</v>
      </c>
      <c r="C209" t="s">
        <v>45</v>
      </c>
      <c r="D209" t="s">
        <v>17</v>
      </c>
      <c r="E209" t="s">
        <v>107</v>
      </c>
      <c r="F209" t="s">
        <v>19</v>
      </c>
      <c r="G209" t="s">
        <v>26</v>
      </c>
      <c r="H209" t="s">
        <v>21</v>
      </c>
      <c r="I209" t="s">
        <v>135</v>
      </c>
      <c r="J209" t="s">
        <v>148</v>
      </c>
      <c r="K209" t="s">
        <v>23</v>
      </c>
      <c r="L209">
        <v>596</v>
      </c>
      <c r="M209">
        <v>18.024237400000001</v>
      </c>
      <c r="N209">
        <v>224.04360699301071</v>
      </c>
      <c r="O209">
        <v>0.10747075273204745</v>
      </c>
      <c r="P209" s="1" t="str">
        <f>HYPERLINK(".\sm_car_250824_2329\sm_car_250824_2329_208_Ca189TrN_MaSLA_DrSt_ode23t_1.png","figure")</f>
        <v>figure</v>
      </c>
      <c r="Q209" t="s">
        <v>15</v>
      </c>
    </row>
    <row r="210" spans="1:17" x14ac:dyDescent="0.25">
      <c r="A210">
        <v>209</v>
      </c>
      <c r="B210">
        <v>218</v>
      </c>
      <c r="C210" t="s">
        <v>16</v>
      </c>
      <c r="D210" t="s">
        <v>128</v>
      </c>
      <c r="E210" t="s">
        <v>107</v>
      </c>
      <c r="F210" t="s">
        <v>19</v>
      </c>
      <c r="G210" t="s">
        <v>26</v>
      </c>
      <c r="H210" t="s">
        <v>21</v>
      </c>
      <c r="I210" t="s">
        <v>132</v>
      </c>
      <c r="J210" t="s">
        <v>148</v>
      </c>
      <c r="K210" t="s">
        <v>23</v>
      </c>
      <c r="L210">
        <v>572</v>
      </c>
      <c r="M210">
        <v>7.8226588000000001</v>
      </c>
      <c r="N210">
        <v>102.01961188005879</v>
      </c>
      <c r="O210">
        <v>-21.929951668617989</v>
      </c>
      <c r="P210" s="1" t="str">
        <f>HYPERLINK(".\sm_car_250824_2329\sm_car_250824_2329_209_Ca218TrN_MaFSH_DrSt_ode23t_1.png","figure")</f>
        <v>figure</v>
      </c>
      <c r="Q210" t="s">
        <v>15</v>
      </c>
    </row>
    <row r="211" spans="1:17" x14ac:dyDescent="0.25">
      <c r="A211">
        <v>210</v>
      </c>
      <c r="B211">
        <v>218</v>
      </c>
      <c r="C211" t="s">
        <v>16</v>
      </c>
      <c r="D211" t="s">
        <v>128</v>
      </c>
      <c r="E211" t="s">
        <v>107</v>
      </c>
      <c r="F211" t="s">
        <v>19</v>
      </c>
      <c r="G211" t="s">
        <v>26</v>
      </c>
      <c r="H211" t="s">
        <v>21</v>
      </c>
      <c r="I211" t="s">
        <v>133</v>
      </c>
      <c r="J211" t="s">
        <v>148</v>
      </c>
      <c r="K211" t="s">
        <v>23</v>
      </c>
      <c r="L211">
        <v>452</v>
      </c>
      <c r="M211">
        <v>6.0089522000000004</v>
      </c>
      <c r="N211">
        <v>136.84009958925125</v>
      </c>
      <c r="O211">
        <v>-8.9134489178926746</v>
      </c>
      <c r="P211" s="1" t="str">
        <f>HYPERLINK(".\sm_car_250824_2329\sm_car_250824_2329_210_Ca218TrN_MaSWD_DrSt_ode23t_1.png","figure")</f>
        <v>figure</v>
      </c>
      <c r="Q211" t="s">
        <v>15</v>
      </c>
    </row>
    <row r="212" spans="1:17" x14ac:dyDescent="0.25">
      <c r="A212">
        <v>211</v>
      </c>
      <c r="B212">
        <v>218</v>
      </c>
      <c r="C212" t="s">
        <v>16</v>
      </c>
      <c r="D212" t="s">
        <v>128</v>
      </c>
      <c r="E212" t="s">
        <v>107</v>
      </c>
      <c r="F212" t="s">
        <v>19</v>
      </c>
      <c r="G212" t="s">
        <v>26</v>
      </c>
      <c r="H212" t="s">
        <v>21</v>
      </c>
      <c r="I212" t="s">
        <v>134</v>
      </c>
      <c r="J212" t="s">
        <v>148</v>
      </c>
      <c r="K212" t="s">
        <v>23</v>
      </c>
      <c r="L212">
        <v>383</v>
      </c>
      <c r="M212">
        <v>5.2565290999999998</v>
      </c>
      <c r="N212">
        <v>102.53247465847821</v>
      </c>
      <c r="O212">
        <v>29.401306717856503</v>
      </c>
      <c r="P212" s="1" t="str">
        <f>HYPERLINK(".\sm_car_250824_2329\sm_car_250824_2329_211_Ca218TrN_MaRST_DrSt_ode23t_1.png","figure")</f>
        <v>figure</v>
      </c>
      <c r="Q212" t="s">
        <v>15</v>
      </c>
    </row>
    <row r="213" spans="1:17" x14ac:dyDescent="0.25">
      <c r="A213">
        <v>212</v>
      </c>
      <c r="B213">
        <v>218</v>
      </c>
      <c r="C213" t="s">
        <v>16</v>
      </c>
      <c r="D213" t="s">
        <v>128</v>
      </c>
      <c r="E213" t="s">
        <v>107</v>
      </c>
      <c r="F213" t="s">
        <v>19</v>
      </c>
      <c r="G213" t="s">
        <v>26</v>
      </c>
      <c r="H213" t="s">
        <v>21</v>
      </c>
      <c r="I213" t="s">
        <v>135</v>
      </c>
      <c r="J213" t="s">
        <v>148</v>
      </c>
      <c r="K213" t="s">
        <v>23</v>
      </c>
      <c r="L213">
        <v>677</v>
      </c>
      <c r="M213">
        <v>16.489127400000001</v>
      </c>
      <c r="N213">
        <v>222.43842325020231</v>
      </c>
      <c r="O213">
        <v>0.106027344099868</v>
      </c>
      <c r="P213" s="1" t="str">
        <f>HYPERLINK(".\sm_car_250824_2329\sm_car_250824_2329_212_Ca218TrN_MaSLA_DrSt_ode23t_1.png","figure")</f>
        <v>figure</v>
      </c>
      <c r="Q213" t="s">
        <v>15</v>
      </c>
    </row>
    <row r="214" spans="1:17" x14ac:dyDescent="0.25">
      <c r="A214">
        <v>213</v>
      </c>
      <c r="B214">
        <v>156</v>
      </c>
      <c r="C214" t="s">
        <v>45</v>
      </c>
      <c r="D214" t="s">
        <v>17</v>
      </c>
      <c r="E214" t="s">
        <v>18</v>
      </c>
      <c r="F214" t="s">
        <v>19</v>
      </c>
      <c r="G214" t="s">
        <v>38</v>
      </c>
      <c r="H214" t="s">
        <v>21</v>
      </c>
      <c r="I214" t="s">
        <v>54</v>
      </c>
      <c r="J214" t="s">
        <v>148</v>
      </c>
      <c r="K214" t="s">
        <v>23</v>
      </c>
      <c r="L214">
        <v>25905</v>
      </c>
      <c r="M214">
        <v>338.06981889999997</v>
      </c>
      <c r="N214">
        <v>19.289026259146425</v>
      </c>
      <c r="O214">
        <v>2.7639796752571266</v>
      </c>
      <c r="P214" s="1" t="str">
        <f>HYPERLINK(".\sm_car_250824_2329\sm_car_250824_2329_213_Ca156TrN_MaIPA_DrSt_ode23t.png","figure")</f>
        <v>figure</v>
      </c>
      <c r="Q214" t="s">
        <v>15</v>
      </c>
    </row>
    <row r="215" spans="1:17" x14ac:dyDescent="0.25">
      <c r="A215">
        <v>214</v>
      </c>
      <c r="B215">
        <v>130</v>
      </c>
      <c r="C215" t="s">
        <v>16</v>
      </c>
      <c r="D215" t="s">
        <v>17</v>
      </c>
      <c r="E215" t="s">
        <v>18</v>
      </c>
      <c r="F215" t="s">
        <v>19</v>
      </c>
      <c r="G215" t="s">
        <v>38</v>
      </c>
      <c r="H215" t="s">
        <v>21</v>
      </c>
      <c r="I215" t="s">
        <v>54</v>
      </c>
      <c r="J215" t="s">
        <v>148</v>
      </c>
      <c r="K215" t="s">
        <v>23</v>
      </c>
      <c r="L215">
        <v>18189</v>
      </c>
      <c r="M215">
        <v>252.38019299999999</v>
      </c>
      <c r="N215">
        <v>16.243974661335834</v>
      </c>
      <c r="O215">
        <v>0.55788193547418896</v>
      </c>
      <c r="P215" s="1" t="str">
        <f>HYPERLINK(".\sm_car_250824_2329\sm_car_250824_2329_214_Ca130TrN_MaIPA_DrSt_ode23t.png","figure")</f>
        <v>figure</v>
      </c>
      <c r="Q215" t="s">
        <v>15</v>
      </c>
    </row>
    <row r="216" spans="1:17" x14ac:dyDescent="0.25">
      <c r="A216">
        <v>215</v>
      </c>
      <c r="B216">
        <v>171</v>
      </c>
      <c r="C216" t="s">
        <v>45</v>
      </c>
      <c r="D216" t="s">
        <v>17</v>
      </c>
      <c r="E216" t="s">
        <v>72</v>
      </c>
      <c r="F216" t="s">
        <v>19</v>
      </c>
      <c r="G216" t="s">
        <v>26</v>
      </c>
      <c r="H216" t="s">
        <v>21</v>
      </c>
      <c r="I216" t="s">
        <v>73</v>
      </c>
      <c r="J216" t="s">
        <v>148</v>
      </c>
      <c r="K216" t="s">
        <v>23</v>
      </c>
      <c r="L216">
        <v>1440</v>
      </c>
      <c r="M216">
        <v>20.464334399999998</v>
      </c>
      <c r="N216">
        <v>334.34676755659098</v>
      </c>
      <c r="O216">
        <v>0.71218666008783271</v>
      </c>
      <c r="P216" s="1" t="str">
        <f>HYPERLINK(".\sm_car_250824_2329\sm_car_250824_2329_215_Ca171TrN_MaRDP_DrSt_ode23t_1.png","figure")</f>
        <v>figure</v>
      </c>
      <c r="Q216" t="s">
        <v>15</v>
      </c>
    </row>
    <row r="217" spans="1:17" x14ac:dyDescent="0.25">
      <c r="A217">
        <v>216</v>
      </c>
      <c r="B217">
        <v>172</v>
      </c>
      <c r="C217" t="s">
        <v>46</v>
      </c>
      <c r="D217" t="s">
        <v>17</v>
      </c>
      <c r="E217" t="s">
        <v>72</v>
      </c>
      <c r="F217" t="s">
        <v>19</v>
      </c>
      <c r="G217" t="s">
        <v>26</v>
      </c>
      <c r="H217" t="s">
        <v>21</v>
      </c>
      <c r="I217" t="s">
        <v>73</v>
      </c>
      <c r="J217" t="s">
        <v>148</v>
      </c>
      <c r="K217" t="s">
        <v>23</v>
      </c>
      <c r="L217">
        <v>1241</v>
      </c>
      <c r="M217">
        <v>11.021422100000001</v>
      </c>
      <c r="N217">
        <v>135.19143548413589</v>
      </c>
      <c r="O217">
        <v>3.5638575598208537E-2</v>
      </c>
      <c r="P217" s="1" t="str">
        <f>HYPERLINK(".\sm_car_250824_2329\sm_car_250824_2329_216_Ca172TrN_MaRDP_DrSt_ode23t_1.png","figure")</f>
        <v>figure</v>
      </c>
      <c r="Q217" t="s">
        <v>15</v>
      </c>
    </row>
    <row r="218" spans="1:17" x14ac:dyDescent="0.25">
      <c r="A218">
        <v>217</v>
      </c>
      <c r="B218">
        <v>139</v>
      </c>
      <c r="C218" t="s">
        <v>45</v>
      </c>
      <c r="D218" t="s">
        <v>17</v>
      </c>
      <c r="E218" t="s">
        <v>18</v>
      </c>
      <c r="F218" t="s">
        <v>19</v>
      </c>
      <c r="G218" t="s">
        <v>26</v>
      </c>
      <c r="H218" t="s">
        <v>21</v>
      </c>
      <c r="I218" t="s">
        <v>74</v>
      </c>
      <c r="J218" t="s">
        <v>148</v>
      </c>
      <c r="K218" t="s">
        <v>23</v>
      </c>
      <c r="L218">
        <v>1556</v>
      </c>
      <c r="M218">
        <v>17.328505199999999</v>
      </c>
      <c r="N218">
        <v>361.14332040710161</v>
      </c>
      <c r="O218">
        <v>0.74966075239966479</v>
      </c>
      <c r="P218" s="1" t="str">
        <f>HYPERLINK(".\sm_car_250824_2329\sm_car_250824_2329_217_Ca139TrN_MaZPL_DrSt_ode23t_1.png","figure")</f>
        <v>figure</v>
      </c>
      <c r="Q218" t="s">
        <v>15</v>
      </c>
    </row>
    <row r="219" spans="1:17" x14ac:dyDescent="0.25">
      <c r="A219">
        <v>218</v>
      </c>
      <c r="B219">
        <v>165</v>
      </c>
      <c r="C219" t="s">
        <v>45</v>
      </c>
      <c r="D219" t="s">
        <v>35</v>
      </c>
      <c r="E219" t="s">
        <v>49</v>
      </c>
      <c r="F219" t="s">
        <v>19</v>
      </c>
      <c r="G219" t="s">
        <v>26</v>
      </c>
      <c r="H219" t="s">
        <v>21</v>
      </c>
      <c r="I219" t="s">
        <v>74</v>
      </c>
      <c r="J219" t="s">
        <v>148</v>
      </c>
      <c r="K219" t="s">
        <v>23</v>
      </c>
      <c r="L219">
        <v>1970</v>
      </c>
      <c r="M219">
        <v>10.145077199999999</v>
      </c>
      <c r="N219">
        <v>397.79641448306273</v>
      </c>
      <c r="O219">
        <v>0.34060937827949883</v>
      </c>
      <c r="P219" s="1" t="str">
        <f>HYPERLINK(".\sm_car_250824_2329\sm_car_250824_2329_218_Ca165TrN_MaZPL_DrSt_ode23t_1.png","figure")</f>
        <v>figure</v>
      </c>
      <c r="Q219" t="s">
        <v>15</v>
      </c>
    </row>
    <row r="220" spans="1:17" x14ac:dyDescent="0.25">
      <c r="A220">
        <v>219</v>
      </c>
      <c r="B220">
        <v>171</v>
      </c>
      <c r="C220" t="s">
        <v>45</v>
      </c>
      <c r="D220" t="s">
        <v>17</v>
      </c>
      <c r="E220" t="s">
        <v>72</v>
      </c>
      <c r="F220" t="s">
        <v>19</v>
      </c>
      <c r="G220" t="s">
        <v>26</v>
      </c>
      <c r="H220" t="s">
        <v>21</v>
      </c>
      <c r="I220" t="s">
        <v>74</v>
      </c>
      <c r="J220" t="s">
        <v>148</v>
      </c>
      <c r="K220" t="s">
        <v>23</v>
      </c>
      <c r="L220">
        <v>1569</v>
      </c>
      <c r="M220">
        <v>23.743950099999999</v>
      </c>
      <c r="N220">
        <v>360.78871834162896</v>
      </c>
      <c r="O220">
        <v>0.79036448021209094</v>
      </c>
      <c r="P220" s="1" t="str">
        <f>HYPERLINK(".\sm_car_250824_2329\sm_car_250824_2329_219_Ca171TrN_MaZPL_DrSt_ode23t_1.png","figure")</f>
        <v>figure</v>
      </c>
      <c r="Q220" t="s">
        <v>15</v>
      </c>
    </row>
    <row r="221" spans="1:17" x14ac:dyDescent="0.25">
      <c r="A221">
        <v>220</v>
      </c>
      <c r="B221">
        <v>165</v>
      </c>
      <c r="C221" t="s">
        <v>45</v>
      </c>
      <c r="D221" t="s">
        <v>35</v>
      </c>
      <c r="E221" t="s">
        <v>49</v>
      </c>
      <c r="F221" t="s">
        <v>19</v>
      </c>
      <c r="G221" t="s">
        <v>26</v>
      </c>
      <c r="H221" t="s">
        <v>21</v>
      </c>
      <c r="I221" t="s">
        <v>75</v>
      </c>
      <c r="J221" t="s">
        <v>148</v>
      </c>
      <c r="K221" t="s">
        <v>23</v>
      </c>
      <c r="L221">
        <v>485</v>
      </c>
      <c r="M221">
        <v>4.2223484999999998</v>
      </c>
      <c r="N221">
        <v>378.48855475071525</v>
      </c>
      <c r="O221">
        <v>0.32789540243220477</v>
      </c>
      <c r="P221" s="1" t="str">
        <f>HYPERLINK(".\sm_car_250824_2329\sm_car_250824_2329_220_Ca165TrN_MaCPL_DrSt_ode23t_1.png","figure")</f>
        <v>figure</v>
      </c>
      <c r="Q221" t="s">
        <v>15</v>
      </c>
    </row>
    <row r="222" spans="1:17" x14ac:dyDescent="0.25">
      <c r="A222">
        <v>221</v>
      </c>
      <c r="B222">
        <v>170</v>
      </c>
      <c r="C222" t="s">
        <v>45</v>
      </c>
      <c r="D222" t="s">
        <v>35</v>
      </c>
      <c r="E222" t="s">
        <v>49</v>
      </c>
      <c r="F222" t="s">
        <v>19</v>
      </c>
      <c r="G222" t="s">
        <v>20</v>
      </c>
      <c r="H222" t="s">
        <v>21</v>
      </c>
      <c r="I222" t="s">
        <v>75</v>
      </c>
      <c r="J222" t="s">
        <v>148</v>
      </c>
      <c r="K222" t="s">
        <v>23</v>
      </c>
      <c r="L222">
        <v>470</v>
      </c>
      <c r="M222">
        <v>3.6183933000000001</v>
      </c>
      <c r="N222">
        <v>381.42969780778117</v>
      </c>
      <c r="O222">
        <v>0.33424114293474594</v>
      </c>
      <c r="P222" s="1" t="str">
        <f>HYPERLINK(".\sm_car_250824_2329\sm_car_250824_2329_221_Ca170TrN_MaCPL_DrSt_ode23t_1.png","figure")</f>
        <v>figure</v>
      </c>
      <c r="Q222" t="s">
        <v>15</v>
      </c>
    </row>
    <row r="223" spans="1:17" x14ac:dyDescent="0.25">
      <c r="A223">
        <v>222</v>
      </c>
      <c r="B223">
        <v>171</v>
      </c>
      <c r="C223" t="s">
        <v>45</v>
      </c>
      <c r="D223" t="s">
        <v>17</v>
      </c>
      <c r="E223" t="s">
        <v>72</v>
      </c>
      <c r="F223" t="s">
        <v>19</v>
      </c>
      <c r="G223" t="s">
        <v>26</v>
      </c>
      <c r="H223" t="s">
        <v>21</v>
      </c>
      <c r="I223" t="s">
        <v>76</v>
      </c>
      <c r="J223" t="s">
        <v>148</v>
      </c>
      <c r="K223" t="s">
        <v>23</v>
      </c>
      <c r="L223">
        <v>2825</v>
      </c>
      <c r="M223">
        <v>43.116677199999998</v>
      </c>
      <c r="N223">
        <v>165.08286554776183</v>
      </c>
      <c r="O223">
        <v>1.1059482067826154E-3</v>
      </c>
      <c r="P223" s="1" t="str">
        <f>HYPERLINK(".\sm_car_250824_2329\sm_car_250824_2329_222_Ca171TrN_MaRDR_DrSt_ode23t_1.png","figure")</f>
        <v>figure</v>
      </c>
      <c r="Q223" t="s">
        <v>15</v>
      </c>
    </row>
    <row r="224" spans="1:17" x14ac:dyDescent="0.25">
      <c r="A224">
        <v>223</v>
      </c>
      <c r="B224">
        <v>172</v>
      </c>
      <c r="C224" t="s">
        <v>46</v>
      </c>
      <c r="D224" t="s">
        <v>17</v>
      </c>
      <c r="E224" t="s">
        <v>72</v>
      </c>
      <c r="F224" t="s">
        <v>19</v>
      </c>
      <c r="G224" t="s">
        <v>26</v>
      </c>
      <c r="H224" t="s">
        <v>21</v>
      </c>
      <c r="I224" t="s">
        <v>76</v>
      </c>
      <c r="J224" t="s">
        <v>148</v>
      </c>
      <c r="K224" t="s">
        <v>23</v>
      </c>
      <c r="L224">
        <v>3272</v>
      </c>
      <c r="M224">
        <v>26.539172600000001</v>
      </c>
      <c r="N224">
        <v>162.25740444485339</v>
      </c>
      <c r="O224">
        <v>3.6795376697546921E-4</v>
      </c>
      <c r="P224" s="1" t="str">
        <f>HYPERLINK(".\sm_car_250824_2329\sm_car_250824_2329_223_Ca172TrN_MaRDR_DrSt_ode23t_1.png","figure")</f>
        <v>figure</v>
      </c>
      <c r="Q224" t="s">
        <v>15</v>
      </c>
    </row>
    <row r="225" spans="1:17" x14ac:dyDescent="0.25">
      <c r="A225">
        <v>224</v>
      </c>
      <c r="B225">
        <v>139</v>
      </c>
      <c r="C225" t="s">
        <v>45</v>
      </c>
      <c r="D225" t="s">
        <v>17</v>
      </c>
      <c r="E225" t="s">
        <v>18</v>
      </c>
      <c r="F225" t="s">
        <v>19</v>
      </c>
      <c r="G225" t="s">
        <v>26</v>
      </c>
      <c r="H225" t="s">
        <v>21</v>
      </c>
      <c r="I225" t="s">
        <v>77</v>
      </c>
      <c r="J225" t="s">
        <v>148</v>
      </c>
      <c r="K225" t="s">
        <v>23</v>
      </c>
      <c r="L225">
        <v>2983</v>
      </c>
      <c r="M225">
        <v>30.071556699999999</v>
      </c>
      <c r="N225">
        <v>189.28169189584565</v>
      </c>
      <c r="O225">
        <v>7.0046000835461211E-4</v>
      </c>
      <c r="P225" s="1" t="str">
        <f>HYPERLINK(".\sm_car_250824_2329\sm_car_250824_2329_224_Ca139TrN_MaZRR_DrSt_ode23t_1.png","figure")</f>
        <v>figure</v>
      </c>
      <c r="Q225" t="s">
        <v>15</v>
      </c>
    </row>
    <row r="226" spans="1:17" x14ac:dyDescent="0.25">
      <c r="A226">
        <v>225</v>
      </c>
      <c r="B226">
        <v>165</v>
      </c>
      <c r="C226" t="s">
        <v>45</v>
      </c>
      <c r="D226" t="s">
        <v>35</v>
      </c>
      <c r="E226" t="s">
        <v>49</v>
      </c>
      <c r="F226" t="s">
        <v>19</v>
      </c>
      <c r="G226" t="s">
        <v>26</v>
      </c>
      <c r="H226" t="s">
        <v>21</v>
      </c>
      <c r="I226" t="s">
        <v>77</v>
      </c>
      <c r="J226" t="s">
        <v>148</v>
      </c>
      <c r="K226" t="s">
        <v>23</v>
      </c>
      <c r="L226">
        <v>3285</v>
      </c>
      <c r="M226">
        <v>19.740277299999999</v>
      </c>
      <c r="N226">
        <v>189.41000390935815</v>
      </c>
      <c r="O226">
        <v>5.3905745171354878E-5</v>
      </c>
      <c r="P226" s="1" t="str">
        <f>HYPERLINK(".\sm_car_250824_2329\sm_car_250824_2329_225_Ca165TrN_MaZRR_DrSt_ode23t_1.png","figure")</f>
        <v>figure</v>
      </c>
      <c r="Q226" t="s">
        <v>15</v>
      </c>
    </row>
    <row r="227" spans="1:17" x14ac:dyDescent="0.25">
      <c r="A227">
        <v>226</v>
      </c>
      <c r="B227">
        <v>171</v>
      </c>
      <c r="C227" t="s">
        <v>45</v>
      </c>
      <c r="D227" t="s">
        <v>17</v>
      </c>
      <c r="E227" t="s">
        <v>72</v>
      </c>
      <c r="F227" t="s">
        <v>19</v>
      </c>
      <c r="G227" t="s">
        <v>26</v>
      </c>
      <c r="H227" t="s">
        <v>21</v>
      </c>
      <c r="I227" t="s">
        <v>77</v>
      </c>
      <c r="J227" t="s">
        <v>148</v>
      </c>
      <c r="K227" t="s">
        <v>23</v>
      </c>
      <c r="L227">
        <v>3026</v>
      </c>
      <c r="M227">
        <v>46.047696700000003</v>
      </c>
      <c r="N227">
        <v>189.2758009890504</v>
      </c>
      <c r="O227">
        <v>7.1997977374401226E-4</v>
      </c>
      <c r="P227" s="1" t="str">
        <f>HYPERLINK(".\sm_car_250824_2329\sm_car_250824_2329_226_Ca171TrN_MaZRR_DrSt_ode23t_1.png","figure")</f>
        <v>figure</v>
      </c>
      <c r="Q227" t="s">
        <v>15</v>
      </c>
    </row>
    <row r="228" spans="1:17" x14ac:dyDescent="0.25">
      <c r="A228">
        <v>227</v>
      </c>
      <c r="B228">
        <v>170</v>
      </c>
      <c r="C228" t="s">
        <v>45</v>
      </c>
      <c r="D228" t="s">
        <v>35</v>
      </c>
      <c r="E228" t="s">
        <v>49</v>
      </c>
      <c r="F228" t="s">
        <v>19</v>
      </c>
      <c r="G228" t="s">
        <v>20</v>
      </c>
      <c r="H228" t="s">
        <v>21</v>
      </c>
      <c r="I228" t="s">
        <v>78</v>
      </c>
      <c r="J228" t="s">
        <v>148</v>
      </c>
      <c r="K228" t="s">
        <v>23</v>
      </c>
      <c r="L228">
        <v>6162</v>
      </c>
      <c r="M228">
        <v>20.282427299999998</v>
      </c>
      <c r="N228">
        <v>-5.9995834759941893</v>
      </c>
      <c r="O228">
        <v>-6.2044531697699407E-3</v>
      </c>
      <c r="P228" s="1" t="str">
        <f>HYPERLINK(".\sm_car_250824_2329\sm_car_250824_2329_227_Ca170TrN_MaCMP_DrSt_ode23t_1.png","figure")</f>
        <v>figure</v>
      </c>
      <c r="Q228" t="s">
        <v>15</v>
      </c>
    </row>
    <row r="229" spans="1:17" x14ac:dyDescent="0.25">
      <c r="A229">
        <v>228</v>
      </c>
      <c r="B229">
        <v>170</v>
      </c>
      <c r="C229" t="s">
        <v>45</v>
      </c>
      <c r="D229" t="s">
        <v>35</v>
      </c>
      <c r="E229" t="s">
        <v>49</v>
      </c>
      <c r="F229" t="s">
        <v>19</v>
      </c>
      <c r="G229" t="s">
        <v>20</v>
      </c>
      <c r="H229" t="s">
        <v>21</v>
      </c>
      <c r="I229" t="s">
        <v>79</v>
      </c>
      <c r="J229" t="s">
        <v>148</v>
      </c>
      <c r="K229" t="s">
        <v>23</v>
      </c>
      <c r="L229">
        <v>1628</v>
      </c>
      <c r="M229">
        <v>10.6644507</v>
      </c>
      <c r="N229">
        <v>-5.9999343011142194</v>
      </c>
      <c r="O229">
        <v>-6.2469348274803395E-3</v>
      </c>
      <c r="P229" s="1" t="str">
        <f>HYPERLINK(".\sm_car_250824_2329\sm_car_250824_2329_228_Ca170TrN_MaCMF_DrSt_ode23t_1.png","figure")</f>
        <v>figure</v>
      </c>
      <c r="Q229" t="s">
        <v>15</v>
      </c>
    </row>
    <row r="230" spans="1:17" x14ac:dyDescent="0.25">
      <c r="A230">
        <v>229</v>
      </c>
      <c r="B230">
        <v>170</v>
      </c>
      <c r="C230" t="s">
        <v>45</v>
      </c>
      <c r="D230" t="s">
        <v>35</v>
      </c>
      <c r="E230" t="s">
        <v>49</v>
      </c>
      <c r="F230" t="s">
        <v>19</v>
      </c>
      <c r="G230" t="s">
        <v>20</v>
      </c>
      <c r="H230" t="s">
        <v>21</v>
      </c>
      <c r="I230" t="s">
        <v>80</v>
      </c>
      <c r="J230" t="s">
        <v>148</v>
      </c>
      <c r="K230" t="s">
        <v>23</v>
      </c>
      <c r="L230">
        <v>5404</v>
      </c>
      <c r="M230">
        <v>40.611222099999999</v>
      </c>
      <c r="N230">
        <v>-216.62050577852108</v>
      </c>
      <c r="O230">
        <v>5.7217346917508172</v>
      </c>
      <c r="P230" s="1" t="str">
        <f>HYPERLINK(".\sm_car_250824_2329\sm_car_250824_2329_229_Ca170TrN_MaMPO_DrSt_ode23t_1.png","figure")</f>
        <v>figure</v>
      </c>
      <c r="Q230" t="s">
        <v>15</v>
      </c>
    </row>
    <row r="231" spans="1:17" x14ac:dyDescent="0.25">
      <c r="A231">
        <v>230</v>
      </c>
      <c r="B231">
        <v>170</v>
      </c>
      <c r="C231" t="s">
        <v>45</v>
      </c>
      <c r="D231" t="s">
        <v>35</v>
      </c>
      <c r="E231" t="s">
        <v>49</v>
      </c>
      <c r="F231" t="s">
        <v>19</v>
      </c>
      <c r="G231" t="s">
        <v>20</v>
      </c>
      <c r="H231" t="s">
        <v>21</v>
      </c>
      <c r="I231" t="s">
        <v>81</v>
      </c>
      <c r="J231" t="s">
        <v>148</v>
      </c>
      <c r="K231" t="s">
        <v>23</v>
      </c>
      <c r="L231">
        <v>1206</v>
      </c>
      <c r="M231">
        <v>19.5916499</v>
      </c>
      <c r="N231">
        <v>-14.234633990631558</v>
      </c>
      <c r="O231">
        <v>-9.6216919627067909E-3</v>
      </c>
      <c r="P231" s="1" t="str">
        <f>HYPERLINK(".\sm_car_250824_2329\sm_car_250824_2329_230_Ca170TrN_MaMCI_DrSt_ode23t_1.png","figure")</f>
        <v>figure</v>
      </c>
      <c r="Q231" t="s">
        <v>15</v>
      </c>
    </row>
    <row r="232" spans="1:17" x14ac:dyDescent="0.25">
      <c r="A232">
        <v>231</v>
      </c>
      <c r="B232">
        <v>170</v>
      </c>
      <c r="C232" t="s">
        <v>45</v>
      </c>
      <c r="D232" t="s">
        <v>35</v>
      </c>
      <c r="E232" t="s">
        <v>49</v>
      </c>
      <c r="F232" t="s">
        <v>19</v>
      </c>
      <c r="G232" t="s">
        <v>20</v>
      </c>
      <c r="H232" t="s">
        <v>21</v>
      </c>
      <c r="I232" t="s">
        <v>110</v>
      </c>
      <c r="J232" t="s">
        <v>148</v>
      </c>
      <c r="K232" t="s">
        <v>23</v>
      </c>
      <c r="L232">
        <v>4059</v>
      </c>
      <c r="M232">
        <v>23.847067500000001</v>
      </c>
      <c r="N232">
        <v>-5.9996355269792403</v>
      </c>
      <c r="O232">
        <v>-4.6966958661946974E-3</v>
      </c>
      <c r="P232" s="1" t="str">
        <f>HYPERLINK(".\sm_car_250824_2329\sm_car_250824_2329_231_Ca170TrN_MaCHO_DrSt_ode23t_1.png","figure")</f>
        <v>figure</v>
      </c>
      <c r="Q232" t="s">
        <v>15</v>
      </c>
    </row>
    <row r="233" spans="1:17" x14ac:dyDescent="0.25">
      <c r="A233">
        <v>232</v>
      </c>
      <c r="B233">
        <v>170</v>
      </c>
      <c r="C233" t="s">
        <v>45</v>
      </c>
      <c r="D233" t="s">
        <v>35</v>
      </c>
      <c r="E233" t="s">
        <v>49</v>
      </c>
      <c r="F233" t="s">
        <v>19</v>
      </c>
      <c r="G233" t="s">
        <v>20</v>
      </c>
      <c r="H233" t="s">
        <v>21</v>
      </c>
      <c r="I233" t="s">
        <v>111</v>
      </c>
      <c r="J233" t="s">
        <v>148</v>
      </c>
      <c r="K233" t="s">
        <v>23</v>
      </c>
      <c r="L233">
        <v>2605</v>
      </c>
      <c r="M233">
        <v>22.449377900000002</v>
      </c>
      <c r="N233">
        <v>-5.9691487538113366</v>
      </c>
      <c r="O233">
        <v>-4.72090503139805E-3</v>
      </c>
      <c r="P233" s="1" t="str">
        <f>HYPERLINK(".\sm_car_250824_2329\sm_car_250824_2329_232_Ca170TrN_MaCHF_DrSt_ode23t_1.png","figure")</f>
        <v>figure</v>
      </c>
      <c r="Q233" t="s">
        <v>15</v>
      </c>
    </row>
    <row r="234" spans="1:17" x14ac:dyDescent="0.25">
      <c r="A234">
        <v>233</v>
      </c>
      <c r="B234">
        <v>170</v>
      </c>
      <c r="C234" t="s">
        <v>45</v>
      </c>
      <c r="D234" t="s">
        <v>35</v>
      </c>
      <c r="E234" t="s">
        <v>49</v>
      </c>
      <c r="F234" t="s">
        <v>19</v>
      </c>
      <c r="G234" t="s">
        <v>20</v>
      </c>
      <c r="H234" t="s">
        <v>21</v>
      </c>
      <c r="I234" t="s">
        <v>82</v>
      </c>
      <c r="J234" t="s">
        <v>148</v>
      </c>
      <c r="K234" t="s">
        <v>23</v>
      </c>
      <c r="L234">
        <v>9371</v>
      </c>
      <c r="M234">
        <v>38.414823599999998</v>
      </c>
      <c r="N234">
        <v>-768.71581369894466</v>
      </c>
      <c r="O234">
        <v>638.6430370985579</v>
      </c>
      <c r="P234" s="1" t="str">
        <f>HYPERLINK(".\sm_car_250824_2329\sm_car_250824_2329_233_Ca170TrN_MaCKY_DrSt_ode23t_1.png","figure")</f>
        <v>figure</v>
      </c>
      <c r="Q234" t="s">
        <v>15</v>
      </c>
    </row>
    <row r="235" spans="1:17" x14ac:dyDescent="0.25">
      <c r="A235">
        <v>234</v>
      </c>
      <c r="B235">
        <v>170</v>
      </c>
      <c r="C235" t="s">
        <v>45</v>
      </c>
      <c r="D235" t="s">
        <v>35</v>
      </c>
      <c r="E235" t="s">
        <v>49</v>
      </c>
      <c r="F235" t="s">
        <v>19</v>
      </c>
      <c r="G235" t="s">
        <v>20</v>
      </c>
      <c r="H235" t="s">
        <v>21</v>
      </c>
      <c r="I235" t="s">
        <v>83</v>
      </c>
      <c r="J235" t="s">
        <v>148</v>
      </c>
      <c r="K235" t="s">
        <v>23</v>
      </c>
      <c r="L235">
        <v>1695</v>
      </c>
      <c r="M235">
        <v>13.1196521</v>
      </c>
      <c r="N235">
        <v>-772.67744938981775</v>
      </c>
      <c r="O235">
        <v>640.74591920904072</v>
      </c>
      <c r="P235" s="1" t="str">
        <f>HYPERLINK(".\sm_car_250824_2329\sm_car_250824_2329_234_Ca170TrN_MaCKF_DrSt_ode23t_1.png","figure")</f>
        <v>figure</v>
      </c>
      <c r="Q235" t="s">
        <v>15</v>
      </c>
    </row>
    <row r="236" spans="1:17" x14ac:dyDescent="0.25">
      <c r="A236">
        <v>235</v>
      </c>
      <c r="B236">
        <v>170</v>
      </c>
      <c r="C236" t="s">
        <v>45</v>
      </c>
      <c r="D236" t="s">
        <v>35</v>
      </c>
      <c r="E236" t="s">
        <v>49</v>
      </c>
      <c r="F236" t="s">
        <v>19</v>
      </c>
      <c r="G236" t="s">
        <v>20</v>
      </c>
      <c r="H236" t="s">
        <v>21</v>
      </c>
      <c r="I236" t="s">
        <v>84</v>
      </c>
      <c r="J236" t="s">
        <v>148</v>
      </c>
      <c r="K236" t="s">
        <v>23</v>
      </c>
      <c r="L236">
        <v>2351</v>
      </c>
      <c r="M236">
        <v>28.5898732</v>
      </c>
      <c r="N236">
        <v>189.3135582238524</v>
      </c>
      <c r="O236">
        <v>308.88777911451064</v>
      </c>
      <c r="P236" s="1" t="str">
        <f>HYPERLINK(".\sm_car_250824_2329\sm_car_250824_2329_235_Ca170TrN_MaCNN_DrSt_ode23t_1.png","figure")</f>
        <v>figure</v>
      </c>
      <c r="Q236" t="s">
        <v>15</v>
      </c>
    </row>
    <row r="237" spans="1:17" x14ac:dyDescent="0.25">
      <c r="A237">
        <v>236</v>
      </c>
      <c r="B237">
        <v>170</v>
      </c>
      <c r="C237" t="s">
        <v>45</v>
      </c>
      <c r="D237" t="s">
        <v>35</v>
      </c>
      <c r="E237" t="s">
        <v>49</v>
      </c>
      <c r="F237" t="s">
        <v>19</v>
      </c>
      <c r="G237" t="s">
        <v>20</v>
      </c>
      <c r="H237" t="s">
        <v>21</v>
      </c>
      <c r="I237" t="s">
        <v>85</v>
      </c>
      <c r="J237" t="s">
        <v>148</v>
      </c>
      <c r="K237" t="s">
        <v>23</v>
      </c>
      <c r="L237">
        <v>3557</v>
      </c>
      <c r="M237">
        <v>139.29182639999999</v>
      </c>
      <c r="N237">
        <v>2981.6935817572562</v>
      </c>
      <c r="O237">
        <v>-3077.7754355581251</v>
      </c>
      <c r="P237" s="1" t="str">
        <f>HYPERLINK(".\sm_car_250824_2329\sm_car_250824_2329_236_Ca170TrN_MaCNF_DrSt_ode23t_1.png","figure")</f>
        <v>figure</v>
      </c>
      <c r="Q237" t="s">
        <v>15</v>
      </c>
    </row>
    <row r="238" spans="1:17" x14ac:dyDescent="0.25">
      <c r="A238">
        <v>237</v>
      </c>
      <c r="B238">
        <v>170</v>
      </c>
      <c r="C238" t="s">
        <v>45</v>
      </c>
      <c r="D238" t="s">
        <v>35</v>
      </c>
      <c r="E238" t="s">
        <v>49</v>
      </c>
      <c r="F238" t="s">
        <v>19</v>
      </c>
      <c r="G238" t="s">
        <v>20</v>
      </c>
      <c r="H238" t="s">
        <v>21</v>
      </c>
      <c r="I238" t="s">
        <v>86</v>
      </c>
      <c r="J238" t="s">
        <v>148</v>
      </c>
      <c r="K238" t="s">
        <v>23</v>
      </c>
      <c r="L238">
        <v>3008</v>
      </c>
      <c r="M238">
        <v>19.352062400000001</v>
      </c>
      <c r="N238">
        <v>497.8632436019351</v>
      </c>
      <c r="O238">
        <v>-175.70296327317655</v>
      </c>
      <c r="P238" s="1" t="str">
        <f>HYPERLINK(".\sm_car_250824_2329\sm_car_250824_2329_237_Ca170TrN_MaCSZ_DrSt_ode23t_1.png","figure")</f>
        <v>figure</v>
      </c>
      <c r="Q238" t="s">
        <v>15</v>
      </c>
    </row>
    <row r="239" spans="1:17" x14ac:dyDescent="0.25">
      <c r="A239">
        <v>238</v>
      </c>
      <c r="B239">
        <v>170</v>
      </c>
      <c r="C239" t="s">
        <v>45</v>
      </c>
      <c r="D239" t="s">
        <v>35</v>
      </c>
      <c r="E239" t="s">
        <v>49</v>
      </c>
      <c r="F239" t="s">
        <v>19</v>
      </c>
      <c r="G239" t="s">
        <v>20</v>
      </c>
      <c r="H239" t="s">
        <v>21</v>
      </c>
      <c r="I239" t="s">
        <v>87</v>
      </c>
      <c r="J239" t="s">
        <v>148</v>
      </c>
      <c r="K239" t="s">
        <v>23</v>
      </c>
      <c r="L239">
        <v>5143</v>
      </c>
      <c r="M239">
        <v>112.959093</v>
      </c>
      <c r="N239">
        <v>-8.9877318715008538</v>
      </c>
      <c r="O239">
        <v>8.1692161049674947E-3</v>
      </c>
      <c r="P239" s="1" t="str">
        <f>HYPERLINK(".\sm_car_250824_2329\sm_car_250824_2329_238_Ca170TrN_MaCSF_DrSt_ode23t_1.png","figure")</f>
        <v>figure</v>
      </c>
      <c r="Q239" t="s">
        <v>15</v>
      </c>
    </row>
    <row r="240" spans="1:17" x14ac:dyDescent="0.25">
      <c r="A240">
        <v>239</v>
      </c>
      <c r="B240">
        <v>170</v>
      </c>
      <c r="C240" t="s">
        <v>45</v>
      </c>
      <c r="D240" t="s">
        <v>35</v>
      </c>
      <c r="E240" t="s">
        <v>49</v>
      </c>
      <c r="F240" t="s">
        <v>19</v>
      </c>
      <c r="G240" t="s">
        <v>20</v>
      </c>
      <c r="H240" t="s">
        <v>21</v>
      </c>
      <c r="I240" t="s">
        <v>88</v>
      </c>
      <c r="J240" t="s">
        <v>148</v>
      </c>
      <c r="K240" t="s">
        <v>23</v>
      </c>
      <c r="L240">
        <v>1869</v>
      </c>
      <c r="M240">
        <v>35.464328299999998</v>
      </c>
      <c r="N240">
        <v>247.79612926682978</v>
      </c>
      <c r="O240">
        <v>391.3784998910682</v>
      </c>
      <c r="P240" s="1" t="str">
        <f>HYPERLINK(".\sm_car_250824_2329\sm_car_250824_2329_239_Ca170TrN_MaCPU_DrSt_ode23t_1.png","figure")</f>
        <v>figure</v>
      </c>
      <c r="Q240" t="s">
        <v>15</v>
      </c>
    </row>
    <row r="241" spans="1:17" x14ac:dyDescent="0.25">
      <c r="A241">
        <v>240</v>
      </c>
      <c r="B241">
        <v>170</v>
      </c>
      <c r="C241" t="s">
        <v>45</v>
      </c>
      <c r="D241" t="s">
        <v>35</v>
      </c>
      <c r="E241" t="s">
        <v>49</v>
      </c>
      <c r="F241" t="s">
        <v>19</v>
      </c>
      <c r="G241" t="s">
        <v>20</v>
      </c>
      <c r="H241" t="s">
        <v>21</v>
      </c>
      <c r="I241" t="s">
        <v>89</v>
      </c>
      <c r="J241" t="s">
        <v>148</v>
      </c>
      <c r="K241" t="s">
        <v>23</v>
      </c>
      <c r="L241">
        <v>2467</v>
      </c>
      <c r="M241">
        <v>26.644564899999999</v>
      </c>
      <c r="N241">
        <v>179.59002608893684</v>
      </c>
      <c r="O241">
        <v>-180.28297009584094</v>
      </c>
      <c r="P241" s="1" t="str">
        <f>HYPERLINK(".\sm_car_250824_2329\sm_car_250824_2329_240_Ca170TrN_MaCPD_DrSt_ode23t_1.png","figure")</f>
        <v>figure</v>
      </c>
      <c r="Q241" t="s">
        <v>15</v>
      </c>
    </row>
    <row r="242" spans="1:17" x14ac:dyDescent="0.25">
      <c r="A242">
        <v>241</v>
      </c>
      <c r="B242">
        <v>202</v>
      </c>
      <c r="C242" t="s">
        <v>45</v>
      </c>
      <c r="D242" t="s">
        <v>35</v>
      </c>
      <c r="E242" t="s">
        <v>107</v>
      </c>
      <c r="F242" t="s">
        <v>19</v>
      </c>
      <c r="G242" t="s">
        <v>20</v>
      </c>
      <c r="H242" t="s">
        <v>21</v>
      </c>
      <c r="I242" t="s">
        <v>79</v>
      </c>
      <c r="J242" t="s">
        <v>148</v>
      </c>
      <c r="K242" t="s">
        <v>23</v>
      </c>
      <c r="L242">
        <v>1622</v>
      </c>
      <c r="M242">
        <v>4.2819890999999997</v>
      </c>
      <c r="N242">
        <v>-5.9995531678314897</v>
      </c>
      <c r="O242">
        <v>-6.1920676439215254E-3</v>
      </c>
      <c r="P242" s="1" t="str">
        <f>HYPERLINK(".\sm_car_250824_2329\sm_car_250824_2329_241_Ca202TrN_MaCMF_DrSt_ode23t_1.png","figure")</f>
        <v>figure</v>
      </c>
      <c r="Q242" t="s">
        <v>15</v>
      </c>
    </row>
    <row r="243" spans="1:17" x14ac:dyDescent="0.25">
      <c r="A243">
        <v>242</v>
      </c>
      <c r="B243">
        <v>202</v>
      </c>
      <c r="C243" t="s">
        <v>45</v>
      </c>
      <c r="D243" t="s">
        <v>35</v>
      </c>
      <c r="E243" t="s">
        <v>107</v>
      </c>
      <c r="F243" t="s">
        <v>19</v>
      </c>
      <c r="G243" t="s">
        <v>20</v>
      </c>
      <c r="H243" t="s">
        <v>21</v>
      </c>
      <c r="I243" t="s">
        <v>80</v>
      </c>
      <c r="J243" t="s">
        <v>148</v>
      </c>
      <c r="K243" t="s">
        <v>23</v>
      </c>
      <c r="L243">
        <v>5364</v>
      </c>
      <c r="M243">
        <v>27.546300500000001</v>
      </c>
      <c r="N243">
        <v>-217.50123772121921</v>
      </c>
      <c r="O243">
        <v>5.860463348930586</v>
      </c>
      <c r="P243" s="1" t="str">
        <f>HYPERLINK(".\sm_car_250824_2329\sm_car_250824_2329_242_Ca202TrN_MaMPO_DrSt_ode23t_1.png","figure")</f>
        <v>figure</v>
      </c>
      <c r="Q243" t="s">
        <v>15</v>
      </c>
    </row>
    <row r="244" spans="1:17" x14ac:dyDescent="0.25">
      <c r="A244">
        <v>243</v>
      </c>
      <c r="B244">
        <v>202</v>
      </c>
      <c r="C244" t="s">
        <v>45</v>
      </c>
      <c r="D244" t="s">
        <v>35</v>
      </c>
      <c r="E244" t="s">
        <v>107</v>
      </c>
      <c r="F244" t="s">
        <v>19</v>
      </c>
      <c r="G244" t="s">
        <v>20</v>
      </c>
      <c r="H244" t="s">
        <v>21</v>
      </c>
      <c r="I244" t="s">
        <v>81</v>
      </c>
      <c r="J244" t="s">
        <v>148</v>
      </c>
      <c r="K244" t="s">
        <v>23</v>
      </c>
      <c r="L244">
        <v>1203</v>
      </c>
      <c r="M244">
        <v>10.7643801</v>
      </c>
      <c r="N244">
        <v>-14.231935716789089</v>
      </c>
      <c r="O244">
        <v>-7.6748040483209934E-3</v>
      </c>
      <c r="P244" s="1" t="str">
        <f>HYPERLINK(".\sm_car_250824_2329\sm_car_250824_2329_243_Ca202TrN_MaMCI_DrSt_ode23t_1.png","figure")</f>
        <v>figure</v>
      </c>
      <c r="Q244" t="s">
        <v>15</v>
      </c>
    </row>
    <row r="245" spans="1:17" x14ac:dyDescent="0.25">
      <c r="A245">
        <v>244</v>
      </c>
      <c r="B245">
        <v>202</v>
      </c>
      <c r="C245" t="s">
        <v>45</v>
      </c>
      <c r="D245" t="s">
        <v>35</v>
      </c>
      <c r="E245" t="s">
        <v>107</v>
      </c>
      <c r="F245" t="s">
        <v>19</v>
      </c>
      <c r="G245" t="s">
        <v>20</v>
      </c>
      <c r="H245" t="s">
        <v>21</v>
      </c>
      <c r="I245" t="s">
        <v>83</v>
      </c>
      <c r="J245" t="s">
        <v>148</v>
      </c>
      <c r="K245" t="s">
        <v>23</v>
      </c>
      <c r="L245">
        <v>2929</v>
      </c>
      <c r="M245">
        <v>10.4539676</v>
      </c>
      <c r="N245">
        <v>-5.994979412497635</v>
      </c>
      <c r="O245">
        <v>-2.6165206762155425E-2</v>
      </c>
      <c r="P245" s="1" t="str">
        <f>HYPERLINK(".\sm_car_250824_2329\sm_car_250824_2329_244_Ca202TrN_MaCKF_DrSt_ode23t_1.png","figure")</f>
        <v>figure</v>
      </c>
      <c r="Q245" t="s">
        <v>15</v>
      </c>
    </row>
    <row r="246" spans="1:17" x14ac:dyDescent="0.25">
      <c r="A246">
        <v>245</v>
      </c>
      <c r="B246">
        <v>202</v>
      </c>
      <c r="C246" t="s">
        <v>45</v>
      </c>
      <c r="D246" t="s">
        <v>35</v>
      </c>
      <c r="E246" t="s">
        <v>107</v>
      </c>
      <c r="F246" t="s">
        <v>19</v>
      </c>
      <c r="G246" t="s">
        <v>20</v>
      </c>
      <c r="H246" t="s">
        <v>21</v>
      </c>
      <c r="I246" t="s">
        <v>85</v>
      </c>
      <c r="J246" t="s">
        <v>148</v>
      </c>
      <c r="K246" t="s">
        <v>23</v>
      </c>
      <c r="L246">
        <v>8438</v>
      </c>
      <c r="M246">
        <v>221.60109499999999</v>
      </c>
      <c r="N246">
        <v>-8.9994764815845496</v>
      </c>
      <c r="O246">
        <v>2.4152697261988702E-2</v>
      </c>
      <c r="P246" s="1" t="str">
        <f>HYPERLINK(".\sm_car_250824_2329\sm_car_250824_2329_245_Ca202TrN_MaCNF_DrSt_ode23t_1.png","figure")</f>
        <v>figure</v>
      </c>
      <c r="Q246" t="s">
        <v>15</v>
      </c>
    </row>
    <row r="247" spans="1:17" x14ac:dyDescent="0.25">
      <c r="A247">
        <v>246</v>
      </c>
      <c r="B247">
        <v>202</v>
      </c>
      <c r="C247" t="s">
        <v>45</v>
      </c>
      <c r="D247" t="s">
        <v>35</v>
      </c>
      <c r="E247" t="s">
        <v>107</v>
      </c>
      <c r="F247" t="s">
        <v>19</v>
      </c>
      <c r="G247" t="s">
        <v>20</v>
      </c>
      <c r="H247" t="s">
        <v>21</v>
      </c>
      <c r="I247" t="s">
        <v>87</v>
      </c>
      <c r="J247" t="s">
        <v>148</v>
      </c>
      <c r="K247" t="s">
        <v>23</v>
      </c>
      <c r="L247">
        <v>5162</v>
      </c>
      <c r="M247">
        <v>62.864102199999998</v>
      </c>
      <c r="N247">
        <v>-8.9739243290149719</v>
      </c>
      <c r="O247">
        <v>8.0798088592120808E-3</v>
      </c>
      <c r="P247" s="1" t="str">
        <f>HYPERLINK(".\sm_car_250824_2329\sm_car_250824_2329_246_Ca202TrN_MaCSF_DrSt_ode23t_1.png","figure")</f>
        <v>figure</v>
      </c>
      <c r="Q247" t="s">
        <v>15</v>
      </c>
    </row>
    <row r="248" spans="1:17" x14ac:dyDescent="0.25">
      <c r="A248">
        <v>247</v>
      </c>
      <c r="B248">
        <v>202</v>
      </c>
      <c r="C248" t="s">
        <v>45</v>
      </c>
      <c r="D248" t="s">
        <v>35</v>
      </c>
      <c r="E248" t="s">
        <v>107</v>
      </c>
      <c r="F248" t="s">
        <v>19</v>
      </c>
      <c r="G248" t="s">
        <v>20</v>
      </c>
      <c r="H248" t="s">
        <v>21</v>
      </c>
      <c r="I248" t="s">
        <v>78</v>
      </c>
      <c r="J248" t="s">
        <v>148</v>
      </c>
      <c r="K248" t="s">
        <v>23</v>
      </c>
      <c r="L248">
        <v>7143</v>
      </c>
      <c r="M248">
        <v>23.977184600000001</v>
      </c>
      <c r="N248">
        <v>-5.9990528107106096</v>
      </c>
      <c r="O248">
        <v>-6.1897275048073287E-3</v>
      </c>
      <c r="P248" s="1" t="str">
        <f>HYPERLINK(".\sm_car_250824_2329\sm_car_250824_2329_247_Ca202TrN_MaCMP_DrSt_ode23t_1.png","figure")</f>
        <v>figure</v>
      </c>
      <c r="Q248" t="s">
        <v>15</v>
      </c>
    </row>
    <row r="249" spans="1:17" x14ac:dyDescent="0.25">
      <c r="A249">
        <v>248</v>
      </c>
      <c r="B249">
        <v>202</v>
      </c>
      <c r="C249" t="s">
        <v>45</v>
      </c>
      <c r="D249" t="s">
        <v>35</v>
      </c>
      <c r="E249" t="s">
        <v>107</v>
      </c>
      <c r="F249" t="s">
        <v>19</v>
      </c>
      <c r="G249" t="s">
        <v>20</v>
      </c>
      <c r="H249" t="s">
        <v>21</v>
      </c>
      <c r="I249" t="s">
        <v>82</v>
      </c>
      <c r="J249" t="s">
        <v>148</v>
      </c>
      <c r="K249" t="s">
        <v>23</v>
      </c>
      <c r="L249">
        <v>20230</v>
      </c>
      <c r="M249">
        <v>75.191614599999994</v>
      </c>
      <c r="N249">
        <v>-5.9990781621937055</v>
      </c>
      <c r="O249">
        <v>-2.7916069565450865E-2</v>
      </c>
      <c r="P249" s="1" t="str">
        <f>HYPERLINK(".\sm_car_250824_2329\sm_car_250824_2329_248_Ca202TrN_MaCKY_DrSt_ode23t_1.png","figure")</f>
        <v>figure</v>
      </c>
      <c r="Q249" t="s">
        <v>15</v>
      </c>
    </row>
    <row r="250" spans="1:17" x14ac:dyDescent="0.25">
      <c r="A250">
        <v>249</v>
      </c>
      <c r="B250">
        <v>202</v>
      </c>
      <c r="C250" t="s">
        <v>45</v>
      </c>
      <c r="D250" t="s">
        <v>35</v>
      </c>
      <c r="E250" t="s">
        <v>107</v>
      </c>
      <c r="F250" t="s">
        <v>19</v>
      </c>
      <c r="G250" t="s">
        <v>20</v>
      </c>
      <c r="H250" t="s">
        <v>21</v>
      </c>
      <c r="I250" t="s">
        <v>75</v>
      </c>
      <c r="J250" t="s">
        <v>148</v>
      </c>
      <c r="K250" t="s">
        <v>23</v>
      </c>
      <c r="L250">
        <v>455</v>
      </c>
      <c r="M250">
        <v>2.6315610999999999</v>
      </c>
      <c r="N250">
        <v>381.04323470632642</v>
      </c>
      <c r="O250">
        <v>0.3335145224833066</v>
      </c>
      <c r="P250" s="1" t="str">
        <f>HYPERLINK(".\sm_car_250824_2329\sm_car_250824_2329_249_Ca202TrN_MaCPL_DrSt_ode23t_1.png","figure")</f>
        <v>figure</v>
      </c>
      <c r="Q250" t="s">
        <v>15</v>
      </c>
    </row>
    <row r="251" spans="1:17" x14ac:dyDescent="0.25">
      <c r="A251">
        <v>250</v>
      </c>
      <c r="B251">
        <v>140</v>
      </c>
      <c r="C251" t="s">
        <v>45</v>
      </c>
      <c r="D251" t="s">
        <v>17</v>
      </c>
      <c r="E251" t="s">
        <v>49</v>
      </c>
      <c r="F251" t="s">
        <v>19</v>
      </c>
      <c r="G251" t="s">
        <v>26</v>
      </c>
      <c r="H251" t="s">
        <v>21</v>
      </c>
      <c r="I251" t="s">
        <v>112</v>
      </c>
      <c r="J251" t="s">
        <v>148</v>
      </c>
      <c r="K251" t="s">
        <v>23</v>
      </c>
      <c r="L251">
        <v>2684</v>
      </c>
      <c r="M251">
        <v>36.346305200000003</v>
      </c>
      <c r="N251">
        <v>189.1537787417152</v>
      </c>
      <c r="O251">
        <v>7.0678454743083213E-4</v>
      </c>
      <c r="P251" s="1" t="str">
        <f>HYPERLINK(".\sm_car_250824_2329\sm_car_250824_2329_250_Ca140TrN_MaCRR_DrSt_ode23t_1.png","figure")</f>
        <v>figure</v>
      </c>
      <c r="Q251" t="s">
        <v>15</v>
      </c>
    </row>
    <row r="252" spans="1:17" x14ac:dyDescent="0.25">
      <c r="A252">
        <v>251</v>
      </c>
      <c r="B252">
        <v>189</v>
      </c>
      <c r="C252" t="s">
        <v>45</v>
      </c>
      <c r="D252" t="s">
        <v>17</v>
      </c>
      <c r="E252" t="s">
        <v>107</v>
      </c>
      <c r="F252" t="s">
        <v>19</v>
      </c>
      <c r="G252" t="s">
        <v>26</v>
      </c>
      <c r="H252" t="s">
        <v>21</v>
      </c>
      <c r="I252" t="s">
        <v>112</v>
      </c>
      <c r="J252" t="s">
        <v>148</v>
      </c>
      <c r="K252" t="s">
        <v>23</v>
      </c>
      <c r="L252">
        <v>3318</v>
      </c>
      <c r="M252">
        <v>32.475194999999999</v>
      </c>
      <c r="N252">
        <v>189.17620206453878</v>
      </c>
      <c r="O252">
        <v>6.878862487648777E-4</v>
      </c>
      <c r="P252" s="1" t="str">
        <f>HYPERLINK(".\sm_car_250824_2329\sm_car_250824_2329_251_Ca189TrN_MaCRR_DrSt_ode23t_1.png","figure")</f>
        <v>figure</v>
      </c>
      <c r="Q252" t="s">
        <v>15</v>
      </c>
    </row>
    <row r="253" spans="1:17" x14ac:dyDescent="0.25">
      <c r="A253">
        <v>252</v>
      </c>
      <c r="B253">
        <v>173</v>
      </c>
      <c r="C253" t="s">
        <v>45</v>
      </c>
      <c r="D253" t="s">
        <v>35</v>
      </c>
      <c r="E253" t="s">
        <v>49</v>
      </c>
      <c r="F253" t="s">
        <v>19</v>
      </c>
      <c r="G253" t="s">
        <v>90</v>
      </c>
      <c r="H253" t="s">
        <v>21</v>
      </c>
      <c r="I253" t="s">
        <v>91</v>
      </c>
      <c r="J253" t="s">
        <v>148</v>
      </c>
      <c r="K253" t="s">
        <v>92</v>
      </c>
      <c r="L253">
        <v>1587</v>
      </c>
      <c r="M253">
        <v>56.819613799999999</v>
      </c>
      <c r="N253">
        <v>51.298829935781683</v>
      </c>
      <c r="O253">
        <v>9.1599591944244337E-3</v>
      </c>
      <c r="P253" s="1" t="str">
        <f>HYPERLINK(".\sm_car_250824_2329\sm_car_250824_2329_252_Ca173TrN_MaDCA_DrSt_daessc_1.png","figure")</f>
        <v>figure</v>
      </c>
      <c r="Q253" t="s">
        <v>15</v>
      </c>
    </row>
    <row r="254" spans="1:17" x14ac:dyDescent="0.25">
      <c r="A254">
        <v>253</v>
      </c>
      <c r="B254">
        <v>173</v>
      </c>
      <c r="C254" t="s">
        <v>45</v>
      </c>
      <c r="D254" t="s">
        <v>35</v>
      </c>
      <c r="E254" t="s">
        <v>49</v>
      </c>
      <c r="F254" t="s">
        <v>19</v>
      </c>
      <c r="G254" t="s">
        <v>90</v>
      </c>
      <c r="H254" t="s">
        <v>21</v>
      </c>
      <c r="I254" t="s">
        <v>93</v>
      </c>
      <c r="J254" t="s">
        <v>148</v>
      </c>
      <c r="K254" t="s">
        <v>92</v>
      </c>
      <c r="L254">
        <v>4131</v>
      </c>
      <c r="M254">
        <v>99.847566499999999</v>
      </c>
      <c r="N254">
        <v>980.46585859828781</v>
      </c>
      <c r="O254">
        <v>0.73499947378481834</v>
      </c>
      <c r="P254" s="1" t="str">
        <f>HYPERLINK(".\sm_car_250824_2329\sm_car_250824_2329_253_Ca173TrN_MaDC1_DrSt_daessc_1.png","figure")</f>
        <v>figure</v>
      </c>
      <c r="Q254" t="s">
        <v>15</v>
      </c>
    </row>
    <row r="255" spans="1:17" x14ac:dyDescent="0.25">
      <c r="A255">
        <v>254</v>
      </c>
      <c r="B255">
        <v>165</v>
      </c>
      <c r="C255" t="s">
        <v>45</v>
      </c>
      <c r="D255" t="s">
        <v>35</v>
      </c>
      <c r="E255" t="s">
        <v>49</v>
      </c>
      <c r="F255" t="s">
        <v>19</v>
      </c>
      <c r="G255" t="s">
        <v>26</v>
      </c>
      <c r="H255" t="s">
        <v>21</v>
      </c>
      <c r="I255" t="s">
        <v>91</v>
      </c>
      <c r="J255" t="s">
        <v>148</v>
      </c>
      <c r="K255" t="s">
        <v>23</v>
      </c>
      <c r="L255">
        <v>319</v>
      </c>
      <c r="M255">
        <v>3.4946183</v>
      </c>
      <c r="N255">
        <v>53.507825797210131</v>
      </c>
      <c r="O255">
        <v>1.0033383643930281E-2</v>
      </c>
      <c r="P255" s="1" t="str">
        <f>HYPERLINK(".\sm_car_250824_2329\sm_car_250824_2329_254_Ca165TrN_MaDCA_DrSt_ode23t_1.png","figure")</f>
        <v>figure</v>
      </c>
      <c r="Q255" t="s">
        <v>15</v>
      </c>
    </row>
    <row r="256" spans="1:17" x14ac:dyDescent="0.25">
      <c r="A256">
        <v>255</v>
      </c>
      <c r="B256">
        <v>165</v>
      </c>
      <c r="C256" t="s">
        <v>45</v>
      </c>
      <c r="D256" t="s">
        <v>35</v>
      </c>
      <c r="E256" t="s">
        <v>49</v>
      </c>
      <c r="F256" t="s">
        <v>19</v>
      </c>
      <c r="G256" t="s">
        <v>26</v>
      </c>
      <c r="H256" t="s">
        <v>21</v>
      </c>
      <c r="I256" t="s">
        <v>93</v>
      </c>
      <c r="J256" t="s">
        <v>148</v>
      </c>
      <c r="K256" t="s">
        <v>23</v>
      </c>
      <c r="L256">
        <v>1187</v>
      </c>
      <c r="M256">
        <v>7.7593302</v>
      </c>
      <c r="N256">
        <v>992.65475388417906</v>
      </c>
      <c r="O256">
        <v>0.76814777157377845</v>
      </c>
      <c r="P256" s="1" t="str">
        <f>HYPERLINK(".\sm_car_250824_2329\sm_car_250824_2329_255_Ca165TrN_MaDC1_DrSt_ode23t_1.png","figure")</f>
        <v>figure</v>
      </c>
      <c r="Q256" t="s">
        <v>15</v>
      </c>
    </row>
    <row r="257" spans="1:17" x14ac:dyDescent="0.25">
      <c r="A257">
        <v>256</v>
      </c>
      <c r="B257">
        <v>196</v>
      </c>
      <c r="C257" t="s">
        <v>45</v>
      </c>
      <c r="D257" t="s">
        <v>35</v>
      </c>
      <c r="E257" t="s">
        <v>107</v>
      </c>
      <c r="F257" t="s">
        <v>19</v>
      </c>
      <c r="G257" t="s">
        <v>90</v>
      </c>
      <c r="H257" t="s">
        <v>21</v>
      </c>
      <c r="I257" t="s">
        <v>93</v>
      </c>
      <c r="J257" t="s">
        <v>148</v>
      </c>
      <c r="K257" t="s">
        <v>92</v>
      </c>
      <c r="L257">
        <v>3933</v>
      </c>
      <c r="M257">
        <v>41.830487699999999</v>
      </c>
      <c r="N257">
        <v>980.46188644517508</v>
      </c>
      <c r="O257">
        <v>0.73499638419677382</v>
      </c>
      <c r="P257" s="1" t="str">
        <f>HYPERLINK(".\sm_car_250824_2329\sm_car_250824_2329_256_Ca196TrN_MaDC1_DrSt_daessc_1.png","figure")</f>
        <v>figure</v>
      </c>
      <c r="Q257" t="s">
        <v>15</v>
      </c>
    </row>
    <row r="258" spans="1:17" x14ac:dyDescent="0.25">
      <c r="A258">
        <v>257</v>
      </c>
      <c r="B258">
        <v>179</v>
      </c>
      <c r="C258" t="s">
        <v>45</v>
      </c>
      <c r="D258" t="s">
        <v>57</v>
      </c>
      <c r="E258" t="s">
        <v>18</v>
      </c>
      <c r="F258" t="s">
        <v>19</v>
      </c>
      <c r="G258" t="s">
        <v>26</v>
      </c>
      <c r="H258" t="s">
        <v>21</v>
      </c>
      <c r="I258" t="s">
        <v>22</v>
      </c>
      <c r="J258" t="s">
        <v>148</v>
      </c>
      <c r="K258" t="s">
        <v>23</v>
      </c>
      <c r="L258">
        <v>472</v>
      </c>
      <c r="M258">
        <v>4.9066516</v>
      </c>
      <c r="N258">
        <v>147.8279830863714</v>
      </c>
      <c r="O258">
        <v>9.6517179348681786E-2</v>
      </c>
      <c r="P258" s="1" t="str">
        <f>HYPERLINK(".\sm_car_250824_2329\sm_car_250824_2329_257_Ca179TrN_MaWOT_DrSt_ode23t_1.png","figure")</f>
        <v>figure</v>
      </c>
      <c r="Q258" t="s">
        <v>15</v>
      </c>
    </row>
    <row r="259" spans="1:17" x14ac:dyDescent="0.25">
      <c r="A259">
        <v>258</v>
      </c>
      <c r="B259">
        <v>180</v>
      </c>
      <c r="C259" t="s">
        <v>45</v>
      </c>
      <c r="D259" t="s">
        <v>57</v>
      </c>
      <c r="E259" t="s">
        <v>49</v>
      </c>
      <c r="F259" t="s">
        <v>19</v>
      </c>
      <c r="G259" t="s">
        <v>26</v>
      </c>
      <c r="H259" t="s">
        <v>21</v>
      </c>
      <c r="I259" t="s">
        <v>22</v>
      </c>
      <c r="J259" t="s">
        <v>148</v>
      </c>
      <c r="K259" t="s">
        <v>23</v>
      </c>
      <c r="L259">
        <v>510</v>
      </c>
      <c r="M259">
        <v>7.0398801999999998</v>
      </c>
      <c r="N259">
        <v>147.81432572458957</v>
      </c>
      <c r="O259">
        <v>9.5960434937970782E-2</v>
      </c>
      <c r="P259" s="1" t="str">
        <f>HYPERLINK(".\sm_car_250824_2329\sm_car_250824_2329_258_Ca180TrN_MaWOT_DrSt_ode23t_1.png","figure")</f>
        <v>figure</v>
      </c>
      <c r="Q259" t="s">
        <v>15</v>
      </c>
    </row>
    <row r="260" spans="1:17" x14ac:dyDescent="0.25">
      <c r="A260">
        <v>259</v>
      </c>
      <c r="B260">
        <v>197</v>
      </c>
      <c r="C260" t="s">
        <v>45</v>
      </c>
      <c r="D260" t="s">
        <v>57</v>
      </c>
      <c r="E260" t="s">
        <v>107</v>
      </c>
      <c r="F260" t="s">
        <v>19</v>
      </c>
      <c r="G260" t="s">
        <v>26</v>
      </c>
      <c r="H260" t="s">
        <v>21</v>
      </c>
      <c r="I260" t="s">
        <v>22</v>
      </c>
      <c r="J260" t="s">
        <v>148</v>
      </c>
      <c r="K260" t="s">
        <v>23</v>
      </c>
      <c r="L260">
        <v>441</v>
      </c>
      <c r="M260">
        <v>1.9635914000000001</v>
      </c>
      <c r="N260">
        <v>147.84413337996017</v>
      </c>
      <c r="O260">
        <v>9.6099479688510916E-2</v>
      </c>
      <c r="P260" s="1" t="str">
        <f>HYPERLINK(".\sm_car_250824_2329\sm_car_250824_2329_259_Ca197TrN_MaWOT_DrSt_ode23t_1.png","figure")</f>
        <v>figure</v>
      </c>
      <c r="Q260" t="s">
        <v>15</v>
      </c>
    </row>
    <row r="261" spans="1:17" x14ac:dyDescent="0.25">
      <c r="A261">
        <v>260</v>
      </c>
      <c r="B261">
        <v>182</v>
      </c>
      <c r="C261" t="s">
        <v>45</v>
      </c>
      <c r="D261" t="s">
        <v>17</v>
      </c>
      <c r="E261" t="s">
        <v>49</v>
      </c>
      <c r="F261" t="s">
        <v>19</v>
      </c>
      <c r="G261" t="s">
        <v>26</v>
      </c>
      <c r="H261" t="s">
        <v>21</v>
      </c>
      <c r="I261" t="s">
        <v>64</v>
      </c>
      <c r="J261" t="s">
        <v>148</v>
      </c>
      <c r="K261" t="s">
        <v>23</v>
      </c>
      <c r="L261">
        <v>432</v>
      </c>
      <c r="M261">
        <v>11.8988687</v>
      </c>
      <c r="N261">
        <v>61.834885539466271</v>
      </c>
      <c r="O261">
        <v>-24.150305155580263</v>
      </c>
      <c r="P261" s="1" t="str">
        <f>HYPERLINK(".\sm_car_250824_2329\sm_car_250824_2329_260_Ca182TrN_MaTUR_DrSt_ode23t_1.png","figure")</f>
        <v>figure</v>
      </c>
      <c r="Q261" t="s">
        <v>15</v>
      </c>
    </row>
    <row r="262" spans="1:17" x14ac:dyDescent="0.25">
      <c r="A262">
        <v>261</v>
      </c>
      <c r="B262">
        <v>203</v>
      </c>
      <c r="C262" t="s">
        <v>45</v>
      </c>
      <c r="D262" t="s">
        <v>17</v>
      </c>
      <c r="E262" t="s">
        <v>107</v>
      </c>
      <c r="F262" t="s">
        <v>19</v>
      </c>
      <c r="G262" t="s">
        <v>26</v>
      </c>
      <c r="H262" t="s">
        <v>21</v>
      </c>
      <c r="I262" t="s">
        <v>64</v>
      </c>
      <c r="J262" t="s">
        <v>148</v>
      </c>
      <c r="K262" t="s">
        <v>23</v>
      </c>
      <c r="L262">
        <v>369</v>
      </c>
      <c r="M262">
        <v>4.1694452000000002</v>
      </c>
      <c r="N262">
        <v>61.848255627251518</v>
      </c>
      <c r="O262">
        <v>-24.169725154647598</v>
      </c>
      <c r="P262" s="1" t="str">
        <f>HYPERLINK(".\sm_car_250824_2329\sm_car_250824_2329_261_Ca203TrN_MaTUR_DrSt_ode23t_1.png","figure")</f>
        <v>figure</v>
      </c>
      <c r="Q262" t="s">
        <v>15</v>
      </c>
    </row>
    <row r="263" spans="1:17" x14ac:dyDescent="0.25">
      <c r="A263">
        <v>262</v>
      </c>
      <c r="B263">
        <v>185</v>
      </c>
      <c r="C263" t="s">
        <v>45</v>
      </c>
      <c r="D263" t="s">
        <v>17</v>
      </c>
      <c r="E263" t="s">
        <v>18</v>
      </c>
      <c r="F263" t="s">
        <v>19</v>
      </c>
      <c r="G263" t="s">
        <v>26</v>
      </c>
      <c r="H263" t="s">
        <v>21</v>
      </c>
      <c r="I263" t="s">
        <v>64</v>
      </c>
      <c r="J263" t="s">
        <v>148</v>
      </c>
      <c r="K263" t="s">
        <v>23</v>
      </c>
      <c r="L263">
        <v>525</v>
      </c>
      <c r="M263">
        <v>19.327703199999998</v>
      </c>
      <c r="N263">
        <v>111.95281659102216</v>
      </c>
      <c r="O263">
        <v>-78.457169937270109</v>
      </c>
      <c r="P263" s="1" t="str">
        <f>HYPERLINK(".\sm_car_250824_2329\sm_car_250824_2329_262_Ca185TrN_MaTUR_DrSt_ode23t_1.png","figure")</f>
        <v>figure</v>
      </c>
      <c r="Q263" t="s">
        <v>15</v>
      </c>
    </row>
    <row r="264" spans="1:17" x14ac:dyDescent="0.25">
      <c r="A264">
        <v>263</v>
      </c>
      <c r="B264">
        <v>188</v>
      </c>
      <c r="C264" t="s">
        <v>45</v>
      </c>
      <c r="D264" t="s">
        <v>113</v>
      </c>
      <c r="E264" t="s">
        <v>49</v>
      </c>
      <c r="F264" t="s">
        <v>19</v>
      </c>
      <c r="G264" t="s">
        <v>26</v>
      </c>
      <c r="H264" t="s">
        <v>21</v>
      </c>
      <c r="I264" t="s">
        <v>64</v>
      </c>
      <c r="J264" t="s">
        <v>148</v>
      </c>
      <c r="K264" t="s">
        <v>23</v>
      </c>
      <c r="L264">
        <v>528</v>
      </c>
      <c r="M264">
        <v>6.7131369000000003</v>
      </c>
      <c r="N264">
        <v>140.58325648899847</v>
      </c>
      <c r="O264">
        <v>-71.725293523771469</v>
      </c>
      <c r="P264" s="1" t="str">
        <f>HYPERLINK(".\sm_car_250824_2329\sm_car_250824_2329_263_Ca188TrN_MaTUR_DrSt_ode23t_1.png","figure")</f>
        <v>figure</v>
      </c>
      <c r="Q264" t="s">
        <v>15</v>
      </c>
    </row>
    <row r="265" spans="1:17" x14ac:dyDescent="0.25">
      <c r="A265">
        <v>264</v>
      </c>
      <c r="B265" t="s">
        <v>94</v>
      </c>
      <c r="C265" t="s">
        <v>95</v>
      </c>
      <c r="D265" t="s">
        <v>35</v>
      </c>
      <c r="E265" t="s">
        <v>18</v>
      </c>
      <c r="F265" t="s">
        <v>19</v>
      </c>
      <c r="G265" t="s">
        <v>96</v>
      </c>
      <c r="H265" t="s">
        <v>21</v>
      </c>
      <c r="I265" t="s">
        <v>22</v>
      </c>
      <c r="J265" t="s">
        <v>148</v>
      </c>
      <c r="K265" t="s">
        <v>23</v>
      </c>
      <c r="L265">
        <v>441</v>
      </c>
      <c r="M265">
        <v>14.2631388</v>
      </c>
      <c r="N265">
        <v>79.220922629445354</v>
      </c>
      <c r="O265">
        <v>-0.33365900389598846</v>
      </c>
      <c r="P265" s="1" t="str">
        <f>HYPERLINK(".\sm_car_250824_2329\sm_car_Axle3_250824_2329_264_CaAxle3_000TrN_MaWOT_DrSt_ode23t_1.png","figure")</f>
        <v>figure</v>
      </c>
      <c r="Q265" t="s">
        <v>15</v>
      </c>
    </row>
    <row r="266" spans="1:17" x14ac:dyDescent="0.25">
      <c r="A266">
        <v>265</v>
      </c>
      <c r="B266" t="s">
        <v>99</v>
      </c>
      <c r="C266" t="s">
        <v>100</v>
      </c>
      <c r="D266" t="s">
        <v>35</v>
      </c>
      <c r="E266" t="s">
        <v>18</v>
      </c>
      <c r="F266" t="s">
        <v>19</v>
      </c>
      <c r="G266" t="s">
        <v>96</v>
      </c>
      <c r="H266" t="s">
        <v>21</v>
      </c>
      <c r="I266" t="s">
        <v>22</v>
      </c>
      <c r="J266" t="s">
        <v>148</v>
      </c>
      <c r="K266" t="s">
        <v>23</v>
      </c>
      <c r="L266">
        <v>548</v>
      </c>
      <c r="M266">
        <v>16.3476839</v>
      </c>
      <c r="N266">
        <v>61.776462913405382</v>
      </c>
      <c r="O266">
        <v>-7.8931686155575068E-2</v>
      </c>
      <c r="P266" s="1" t="str">
        <f>HYPERLINK(".\sm_car_250824_2329\sm_car_Axle3_250824_2329_265_CaAxle3_008TrN_MaWOT_DrSt_ode23t_1.png","figure")</f>
        <v>figure</v>
      </c>
      <c r="Q266" t="s">
        <v>15</v>
      </c>
    </row>
    <row r="267" spans="1:17" x14ac:dyDescent="0.25">
      <c r="A267">
        <v>266</v>
      </c>
      <c r="B267" t="s">
        <v>97</v>
      </c>
      <c r="C267" t="s">
        <v>95</v>
      </c>
      <c r="D267" t="s">
        <v>35</v>
      </c>
      <c r="E267" t="s">
        <v>49</v>
      </c>
      <c r="F267" t="s">
        <v>19</v>
      </c>
      <c r="G267" t="s">
        <v>98</v>
      </c>
      <c r="H267" t="s">
        <v>21</v>
      </c>
      <c r="I267" t="s">
        <v>22</v>
      </c>
      <c r="J267" t="s">
        <v>148</v>
      </c>
      <c r="K267" t="s">
        <v>23</v>
      </c>
      <c r="L267">
        <v>425</v>
      </c>
      <c r="M267">
        <v>12.771672799999999</v>
      </c>
      <c r="N267">
        <v>79.267785357633912</v>
      </c>
      <c r="O267">
        <v>-0.31325812773398548</v>
      </c>
      <c r="P267" s="1" t="str">
        <f>HYPERLINK(".\sm_car_250824_2329\sm_car_Axle3_250824_2329_266_CaAxle3_003TrN_MaWOT_DrSt_ode23t_1.png","figure")</f>
        <v>figure</v>
      </c>
      <c r="Q267" t="s">
        <v>15</v>
      </c>
    </row>
    <row r="268" spans="1:17" x14ac:dyDescent="0.25">
      <c r="A268">
        <v>267</v>
      </c>
      <c r="B268" t="s">
        <v>114</v>
      </c>
      <c r="C268" t="s">
        <v>95</v>
      </c>
      <c r="D268" t="s">
        <v>35</v>
      </c>
      <c r="E268" t="s">
        <v>107</v>
      </c>
      <c r="F268" t="s">
        <v>19</v>
      </c>
      <c r="G268" t="s">
        <v>98</v>
      </c>
      <c r="H268" t="s">
        <v>21</v>
      </c>
      <c r="I268" t="s">
        <v>22</v>
      </c>
      <c r="J268" t="s">
        <v>148</v>
      </c>
      <c r="K268" t="s">
        <v>23</v>
      </c>
      <c r="L268">
        <v>427</v>
      </c>
      <c r="M268">
        <v>1.9409444</v>
      </c>
      <c r="N268">
        <v>80.145520056216895</v>
      </c>
      <c r="O268">
        <v>-0.31945069771391377</v>
      </c>
      <c r="P268" s="1" t="str">
        <f>HYPERLINK(".\sm_car_250824_2329\sm_car_Axle3_250824_2329_267_CaAxle3_017TrN_MaWOT_DrSt_ode23t_1.png","figure")</f>
        <v>figure</v>
      </c>
      <c r="Q268" t="s">
        <v>15</v>
      </c>
    </row>
    <row r="269" spans="1:17" x14ac:dyDescent="0.25">
      <c r="A269">
        <v>268</v>
      </c>
      <c r="B269" t="s">
        <v>101</v>
      </c>
      <c r="C269" t="s">
        <v>100</v>
      </c>
      <c r="D269" t="s">
        <v>35</v>
      </c>
      <c r="E269" t="s">
        <v>49</v>
      </c>
      <c r="F269" t="s">
        <v>19</v>
      </c>
      <c r="G269" t="s">
        <v>96</v>
      </c>
      <c r="H269" t="s">
        <v>102</v>
      </c>
      <c r="I269" t="s">
        <v>22</v>
      </c>
      <c r="J269" t="s">
        <v>148</v>
      </c>
      <c r="K269" t="s">
        <v>23</v>
      </c>
      <c r="L269">
        <v>393</v>
      </c>
      <c r="M269">
        <v>32.768898299999996</v>
      </c>
      <c r="N269">
        <v>44.215687696567301</v>
      </c>
      <c r="O269">
        <v>2.2703786629762572E-2</v>
      </c>
      <c r="P269" s="1" t="str">
        <f>HYPERLINK(".\sm_car_250824_2329\sm_car_Axle3_250824_2329_268_CaAxle3_010TrK_MaWOT_DrSt_ode23t_1.png","figure")</f>
        <v>figure</v>
      </c>
      <c r="Q269" t="s">
        <v>15</v>
      </c>
    </row>
    <row r="270" spans="1:17" x14ac:dyDescent="0.25">
      <c r="A270">
        <v>269</v>
      </c>
      <c r="B270" t="s">
        <v>101</v>
      </c>
      <c r="C270" t="s">
        <v>100</v>
      </c>
      <c r="D270" t="s">
        <v>35</v>
      </c>
      <c r="E270" t="s">
        <v>49</v>
      </c>
      <c r="F270" t="s">
        <v>19</v>
      </c>
      <c r="G270" t="s">
        <v>96</v>
      </c>
      <c r="H270" t="s">
        <v>102</v>
      </c>
      <c r="I270" t="s">
        <v>22</v>
      </c>
      <c r="J270" t="s">
        <v>148</v>
      </c>
      <c r="K270" t="s">
        <v>23</v>
      </c>
      <c r="L270">
        <v>406</v>
      </c>
      <c r="M270">
        <v>33.107704400000003</v>
      </c>
      <c r="N270">
        <v>44.315323063646517</v>
      </c>
      <c r="O270">
        <v>2.2834604036157842E-2</v>
      </c>
      <c r="P270" s="1" t="str">
        <f>HYPERLINK(".\sm_car_250824_2329\sm_car_Axle3_250824_2329_269_CaAxle3_010TrK_MaWOT_DrSt_ode23t_1.png","figure")</f>
        <v>figure</v>
      </c>
      <c r="Q270" t="s">
        <v>15</v>
      </c>
    </row>
    <row r="271" spans="1:17" x14ac:dyDescent="0.25">
      <c r="A271">
        <v>270</v>
      </c>
      <c r="B271" t="s">
        <v>115</v>
      </c>
      <c r="C271" t="s">
        <v>100</v>
      </c>
      <c r="D271" t="s">
        <v>35</v>
      </c>
      <c r="E271" t="s">
        <v>107</v>
      </c>
      <c r="F271" t="s">
        <v>19</v>
      </c>
      <c r="G271" t="s">
        <v>96</v>
      </c>
      <c r="H271" t="s">
        <v>102</v>
      </c>
      <c r="I271" t="s">
        <v>22</v>
      </c>
      <c r="J271" t="s">
        <v>148</v>
      </c>
      <c r="K271" t="s">
        <v>23</v>
      </c>
      <c r="L271">
        <v>398</v>
      </c>
      <c r="M271">
        <v>2.8448373999999998</v>
      </c>
      <c r="N271">
        <v>48.1835066105021</v>
      </c>
      <c r="O271">
        <v>2.6474473560836397E-2</v>
      </c>
      <c r="P271" s="1" t="str">
        <f>HYPERLINK(".\sm_car_250824_2329\sm_car_Axle3_250824_2329_270_CaAxle3_019TrK_MaWOT_DrSt_ode23t_1.png","figure")</f>
        <v>figure</v>
      </c>
      <c r="Q271" t="s">
        <v>15</v>
      </c>
    </row>
    <row r="272" spans="1:17" x14ac:dyDescent="0.25">
      <c r="A272">
        <v>271</v>
      </c>
      <c r="B272" t="s">
        <v>115</v>
      </c>
      <c r="C272" t="s">
        <v>100</v>
      </c>
      <c r="D272" t="s">
        <v>35</v>
      </c>
      <c r="E272" t="s">
        <v>107</v>
      </c>
      <c r="F272" t="s">
        <v>19</v>
      </c>
      <c r="G272" t="s">
        <v>96</v>
      </c>
      <c r="H272" t="s">
        <v>102</v>
      </c>
      <c r="I272" t="s">
        <v>22</v>
      </c>
      <c r="J272" t="s">
        <v>148</v>
      </c>
      <c r="K272" t="s">
        <v>23</v>
      </c>
      <c r="L272">
        <v>401</v>
      </c>
      <c r="M272">
        <v>2.8881581000000001</v>
      </c>
      <c r="N272">
        <v>48.113113515806859</v>
      </c>
      <c r="O272">
        <v>2.6374438288324573E-2</v>
      </c>
      <c r="P272" s="1" t="str">
        <f>HYPERLINK(".\sm_car_250824_2329\sm_car_Axle3_250824_2329_271_CaAxle3_019TrK_MaWOT_DrSt_ode23t_1.png","figure")</f>
        <v>figure</v>
      </c>
      <c r="Q272" t="s">
        <v>15</v>
      </c>
    </row>
    <row r="273" spans="1:17" x14ac:dyDescent="0.25">
      <c r="A273">
        <v>272</v>
      </c>
      <c r="B273" t="s">
        <v>115</v>
      </c>
      <c r="C273" t="s">
        <v>100</v>
      </c>
      <c r="D273" t="s">
        <v>35</v>
      </c>
      <c r="E273" t="s">
        <v>107</v>
      </c>
      <c r="F273" t="s">
        <v>19</v>
      </c>
      <c r="G273" t="s">
        <v>96</v>
      </c>
      <c r="H273" t="s">
        <v>102</v>
      </c>
      <c r="I273" t="s">
        <v>53</v>
      </c>
      <c r="J273" t="s">
        <v>148</v>
      </c>
      <c r="K273" t="s">
        <v>23</v>
      </c>
      <c r="L273">
        <v>647</v>
      </c>
      <c r="M273">
        <v>4.5883668999999996</v>
      </c>
      <c r="N273">
        <v>255.50312130123177</v>
      </c>
      <c r="O273">
        <v>-0.11695190678444467</v>
      </c>
      <c r="P273" s="1" t="str">
        <f>HYPERLINK(".\sm_car_250824_2329\sm_car_Axle3_250824_2329_272_CaAxle3_019TrK_MaDLC_DrSt_ode23t_1.png","figure")</f>
        <v>figure</v>
      </c>
      <c r="Q273" t="s">
        <v>15</v>
      </c>
    </row>
    <row r="274" spans="1:17" x14ac:dyDescent="0.25">
      <c r="A274">
        <v>273</v>
      </c>
      <c r="B274" t="s">
        <v>115</v>
      </c>
      <c r="C274" t="s">
        <v>100</v>
      </c>
      <c r="D274" t="s">
        <v>35</v>
      </c>
      <c r="E274" t="s">
        <v>107</v>
      </c>
      <c r="F274" t="s">
        <v>19</v>
      </c>
      <c r="G274" t="s">
        <v>96</v>
      </c>
      <c r="H274" t="s">
        <v>102</v>
      </c>
      <c r="I274" t="s">
        <v>53</v>
      </c>
      <c r="J274" t="s">
        <v>148</v>
      </c>
      <c r="K274" t="s">
        <v>23</v>
      </c>
      <c r="L274">
        <v>784</v>
      </c>
      <c r="M274">
        <v>4.7977349</v>
      </c>
      <c r="N274">
        <v>253.78403519231512</v>
      </c>
      <c r="O274">
        <v>-0.11407956957954157</v>
      </c>
      <c r="P274" s="1" t="str">
        <f>HYPERLINK(".\sm_car_250824_2329\sm_car_Axle3_250824_2329_273_CaAxle3_019TrK_MaDLC_DrSt_ode23t_1.png","figure")</f>
        <v>figure</v>
      </c>
      <c r="Q274" t="s">
        <v>15</v>
      </c>
    </row>
    <row r="275" spans="1:17" x14ac:dyDescent="0.25">
      <c r="A275">
        <v>274</v>
      </c>
      <c r="B275" t="s">
        <v>115</v>
      </c>
      <c r="C275" t="s">
        <v>100</v>
      </c>
      <c r="D275" t="s">
        <v>35</v>
      </c>
      <c r="E275" t="s">
        <v>107</v>
      </c>
      <c r="F275" t="s">
        <v>19</v>
      </c>
      <c r="G275" t="s">
        <v>96</v>
      </c>
      <c r="H275" t="s">
        <v>102</v>
      </c>
      <c r="I275" t="s">
        <v>53</v>
      </c>
      <c r="J275" t="s">
        <v>148</v>
      </c>
      <c r="K275" t="s">
        <v>23</v>
      </c>
      <c r="L275">
        <v>624</v>
      </c>
      <c r="M275">
        <v>4.4449155999999999</v>
      </c>
      <c r="N275">
        <v>254.42328984021867</v>
      </c>
      <c r="O275">
        <v>-0.11301096424080948</v>
      </c>
      <c r="P275" s="1" t="str">
        <f>HYPERLINK(".\sm_car_250824_2329\sm_car_Axle3_250824_2329_274_CaAxle3_019TrK_MaDLC_DrSt_ode23t_1.png","figure")</f>
        <v>figure</v>
      </c>
      <c r="Q275" t="s">
        <v>15</v>
      </c>
    </row>
    <row r="276" spans="1:17" x14ac:dyDescent="0.25">
      <c r="A276">
        <v>275</v>
      </c>
      <c r="B276" t="s">
        <v>115</v>
      </c>
      <c r="C276" t="s">
        <v>100</v>
      </c>
      <c r="D276" t="s">
        <v>35</v>
      </c>
      <c r="E276" t="s">
        <v>107</v>
      </c>
      <c r="F276" t="s">
        <v>19</v>
      </c>
      <c r="G276" t="s">
        <v>96</v>
      </c>
      <c r="H276" t="s">
        <v>102</v>
      </c>
      <c r="I276" t="s">
        <v>53</v>
      </c>
      <c r="J276" t="s">
        <v>148</v>
      </c>
      <c r="K276" t="s">
        <v>23</v>
      </c>
      <c r="L276">
        <v>835</v>
      </c>
      <c r="M276">
        <v>4.8315520000000003</v>
      </c>
      <c r="N276">
        <v>253.6046301444145</v>
      </c>
      <c r="O276">
        <v>-0.1061316496084177</v>
      </c>
      <c r="P276" s="1" t="str">
        <f>HYPERLINK(".\sm_car_250824_2329\sm_car_Axle3_250824_2329_275_CaAxle3_019TrK_MaDLC_DrSt_ode23t_1.png","figure")</f>
        <v>figure</v>
      </c>
      <c r="Q276" t="s">
        <v>15</v>
      </c>
    </row>
    <row r="277" spans="1:17" x14ac:dyDescent="0.25">
      <c r="A277">
        <v>276</v>
      </c>
      <c r="B277" t="s">
        <v>138</v>
      </c>
      <c r="C277" t="s">
        <v>139</v>
      </c>
      <c r="D277" t="s">
        <v>35</v>
      </c>
      <c r="E277" t="s">
        <v>49</v>
      </c>
      <c r="F277" t="s">
        <v>19</v>
      </c>
      <c r="G277" t="s">
        <v>96</v>
      </c>
      <c r="H277" t="s">
        <v>102</v>
      </c>
      <c r="I277" t="s">
        <v>22</v>
      </c>
      <c r="J277" t="s">
        <v>148</v>
      </c>
      <c r="K277" t="s">
        <v>23</v>
      </c>
      <c r="L277">
        <v>377</v>
      </c>
      <c r="M277">
        <v>2.8900733999999999</v>
      </c>
      <c r="N277">
        <v>136.8289054792757</v>
      </c>
      <c r="O277">
        <v>0.19636114141395983</v>
      </c>
      <c r="P277" s="1" t="str">
        <f>HYPERLINK(".\sm_car_250824_2329\sm_car_Axle3_250824_2329_276_CaAxle3_023TrK_MaWOT_DrSt_ode23t_1.png","figure")</f>
        <v>figure</v>
      </c>
      <c r="Q277" t="s">
        <v>15</v>
      </c>
    </row>
  </sheetData>
  <autoFilter ref="A1:Q277" xr:uid="{B212E3F1-A664-4F31-8237-7DF24ACFF24F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E181-2C38-4D5F-9276-5D6C83FEED32}">
  <dimension ref="A1:X277"/>
  <sheetViews>
    <sheetView workbookViewId="0"/>
  </sheetViews>
  <sheetFormatPr defaultRowHeight="15" x14ac:dyDescent="0.25"/>
  <cols>
    <col min="1" max="1" width="4.42578125" bestFit="1" customWidth="1"/>
    <col min="2" max="2" width="10" bestFit="1" customWidth="1"/>
    <col min="3" max="3" width="14" bestFit="1" customWidth="1"/>
    <col min="4" max="4" width="12.7109375" bestFit="1" customWidth="1"/>
    <col min="5" max="5" width="11.85546875" bestFit="1" customWidth="1"/>
    <col min="6" max="6" width="11.42578125" bestFit="1" customWidth="1"/>
    <col min="7" max="7" width="16.85546875" bestFit="1" customWidth="1"/>
    <col min="8" max="8" width="8.5703125" bestFit="1" customWidth="1"/>
    <col min="9" max="9" width="27.140625" bestFit="1" customWidth="1"/>
    <col min="10" max="10" width="12.42578125" bestFit="1" customWidth="1"/>
    <col min="11" max="11" width="7.140625" bestFit="1" customWidth="1"/>
    <col min="12" max="12" width="7.28515625" bestFit="1" customWidth="1"/>
    <col min="13" max="13" width="7.5703125" bestFit="1" customWidth="1"/>
    <col min="14" max="14" width="8.5703125" bestFit="1" customWidth="1"/>
    <col min="15" max="15" width="9.28515625" bestFit="1" customWidth="1"/>
    <col min="16" max="16" width="6.5703125" bestFit="1" customWidth="1"/>
    <col min="17" max="17" width="4.85546875" bestFit="1" customWidth="1"/>
    <col min="19" max="19" width="30.5703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S1" s="2" t="s">
        <v>175</v>
      </c>
    </row>
    <row r="2" spans="1:24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148</v>
      </c>
      <c r="K2" t="s">
        <v>23</v>
      </c>
      <c r="L2">
        <v>1068</v>
      </c>
      <c r="M2" s="4">
        <v>8.7356928000000007</v>
      </c>
      <c r="N2" s="4">
        <v>230.12803451701154</v>
      </c>
      <c r="O2" s="4">
        <v>-8.3746802147180704E-3</v>
      </c>
      <c r="P2" s="1" t="str">
        <f>HYPERLINK(".\sm_car_250825_2318\sm_car_250825_2318_001_Ca000TrN_MaWOT_DrSt_ode23t.png","figure")</f>
        <v>figure</v>
      </c>
      <c r="Q2" t="s">
        <v>15</v>
      </c>
      <c r="S2" s="2" t="s">
        <v>116</v>
      </c>
      <c r="U2">
        <f>L2-'2022a_250824_2329'!L2</f>
        <v>652</v>
      </c>
      <c r="V2" s="12">
        <f>U2/'2022a_250824_2329'!L2</f>
        <v>1.5673076923076923</v>
      </c>
      <c r="W2">
        <f>M2-'2022a_250824_2329'!M2</f>
        <v>2.4055253000000008</v>
      </c>
      <c r="X2" s="12">
        <f>W2/'2022a_250824_2329'!M2</f>
        <v>0.38000973907878438</v>
      </c>
    </row>
    <row r="3" spans="1:24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24</v>
      </c>
      <c r="J3" t="s">
        <v>148</v>
      </c>
      <c r="K3" t="s">
        <v>23</v>
      </c>
      <c r="L3">
        <v>1197</v>
      </c>
      <c r="M3" s="4">
        <v>9.1408676</v>
      </c>
      <c r="N3" s="4">
        <v>70.87350639937722</v>
      </c>
      <c r="O3" s="4">
        <v>-0.53366754975793929</v>
      </c>
      <c r="P3" s="1" t="str">
        <f>HYPERLINK(".\sm_car_250825_2318\sm_car_250825_2318_002_Ca000TrN_MaLSS_DrSt_ode23t.png","figure")</f>
        <v>figure</v>
      </c>
      <c r="Q3" t="s">
        <v>15</v>
      </c>
      <c r="S3" s="2" t="s">
        <v>117</v>
      </c>
      <c r="U3">
        <f>L3-'2022a_250824_2329'!L3</f>
        <v>661</v>
      </c>
      <c r="V3" s="12">
        <f>U3/'2022a_250824_2329'!L3</f>
        <v>1.2332089552238805</v>
      </c>
      <c r="W3">
        <f>M3-'2022a_250824_2329'!M3</f>
        <v>1.9100337999999999</v>
      </c>
      <c r="X3" s="12">
        <f>W3/'2022a_250824_2329'!M3</f>
        <v>0.26415125182382149</v>
      </c>
    </row>
    <row r="4" spans="1:24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21</v>
      </c>
      <c r="I4" t="s">
        <v>22</v>
      </c>
      <c r="J4" t="s">
        <v>148</v>
      </c>
      <c r="K4" t="s">
        <v>23</v>
      </c>
      <c r="L4">
        <v>1069</v>
      </c>
      <c r="M4" s="4">
        <v>9.4928957</v>
      </c>
      <c r="N4" s="4">
        <v>229.13245627727861</v>
      </c>
      <c r="O4" s="4">
        <v>-1.6734483459826872E-2</v>
      </c>
      <c r="P4" s="1" t="str">
        <f>HYPERLINK(".\sm_car_250825_2318\sm_car_250825_2318_003_Ca001TrN_MaWOT_DrSt_ode23t.png","figure")</f>
        <v>figure</v>
      </c>
      <c r="Q4" t="s">
        <v>15</v>
      </c>
      <c r="S4" s="2" t="s">
        <v>164</v>
      </c>
      <c r="U4">
        <f>L4-'2022a_250824_2329'!L4</f>
        <v>666</v>
      </c>
      <c r="V4" s="12">
        <f>U4/'2022a_250824_2329'!L4</f>
        <v>1.652605459057072</v>
      </c>
      <c r="W4">
        <f>M4-'2022a_250824_2329'!M4</f>
        <v>2.4346040000000002</v>
      </c>
      <c r="X4" s="12">
        <f>W4/'2022a_250824_2329'!M4</f>
        <v>0.34492822108783067</v>
      </c>
    </row>
    <row r="5" spans="1:24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25</v>
      </c>
      <c r="H5" t="s">
        <v>21</v>
      </c>
      <c r="I5" t="s">
        <v>24</v>
      </c>
      <c r="J5" t="s">
        <v>148</v>
      </c>
      <c r="K5" t="s">
        <v>23</v>
      </c>
      <c r="L5">
        <v>1190</v>
      </c>
      <c r="M5" s="4">
        <v>9.8677504999999996</v>
      </c>
      <c r="N5" s="4">
        <v>70.585876368888947</v>
      </c>
      <c r="O5" s="4">
        <v>-0.52808005321113805</v>
      </c>
      <c r="P5" s="1" t="str">
        <f>HYPERLINK(".\sm_car_250825_2318\sm_car_250825_2318_004_Ca001TrN_MaLSS_DrSt_ode23t.png","figure")</f>
        <v>figure</v>
      </c>
      <c r="Q5" t="s">
        <v>15</v>
      </c>
      <c r="S5" t="s">
        <v>176</v>
      </c>
      <c r="U5">
        <f>L5-'2022a_250824_2329'!L5</f>
        <v>685</v>
      </c>
      <c r="V5" s="12">
        <f>U5/'2022a_250824_2329'!L5</f>
        <v>1.3564356435643565</v>
      </c>
      <c r="W5">
        <f>M5-'2022a_250824_2329'!M5</f>
        <v>1.7490348999999998</v>
      </c>
      <c r="X5" s="12">
        <f>W5/'2022a_250824_2329'!M5</f>
        <v>0.21543246323347007</v>
      </c>
    </row>
    <row r="6" spans="1:24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26</v>
      </c>
      <c r="H6" t="s">
        <v>21</v>
      </c>
      <c r="I6" t="s">
        <v>22</v>
      </c>
      <c r="J6" t="s">
        <v>148</v>
      </c>
      <c r="K6" t="s">
        <v>23</v>
      </c>
      <c r="L6">
        <v>1101</v>
      </c>
      <c r="M6" s="4">
        <v>12.632154</v>
      </c>
      <c r="N6" s="4">
        <v>229.14707874807135</v>
      </c>
      <c r="O6" s="4">
        <v>4.9298395156757484E-2</v>
      </c>
      <c r="P6" s="1" t="str">
        <f>HYPERLINK(".\sm_car_250825_2318\sm_car_250825_2318_005_Ca002TrN_MaWOT_DrSt_ode23t.png","figure")</f>
        <v>figure</v>
      </c>
      <c r="Q6" t="s">
        <v>15</v>
      </c>
      <c r="U6">
        <f>L6-'2022a_250824_2329'!L6</f>
        <v>660</v>
      </c>
      <c r="V6" s="12">
        <f>U6/'2022a_250824_2329'!L6</f>
        <v>1.4965986394557824</v>
      </c>
      <c r="W6">
        <f>M6-'2022a_250824_2329'!M6</f>
        <v>1.7104578000000004</v>
      </c>
      <c r="X6" s="12">
        <f>W6/'2022a_250824_2329'!M6</f>
        <v>0.1566110033348117</v>
      </c>
    </row>
    <row r="7" spans="1:24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26</v>
      </c>
      <c r="H7" t="s">
        <v>21</v>
      </c>
      <c r="I7" t="s">
        <v>24</v>
      </c>
      <c r="J7" t="s">
        <v>148</v>
      </c>
      <c r="K7" t="s">
        <v>23</v>
      </c>
      <c r="L7">
        <v>1175</v>
      </c>
      <c r="M7" s="4">
        <v>13.5828518</v>
      </c>
      <c r="N7" s="4">
        <v>70.589186785656764</v>
      </c>
      <c r="O7" s="4">
        <v>-0.52455130890109691</v>
      </c>
      <c r="P7" s="1" t="str">
        <f>HYPERLINK(".\sm_car_250825_2318\sm_car_250825_2318_006_Ca002TrN_MaLSS_DrSt_ode23t.png","figure")</f>
        <v>figure</v>
      </c>
      <c r="Q7" t="s">
        <v>15</v>
      </c>
      <c r="U7">
        <f>L7-'2022a_250824_2329'!L7</f>
        <v>642</v>
      </c>
      <c r="V7" s="12">
        <f>U7/'2022a_250824_2329'!L7</f>
        <v>1.2045028142589118</v>
      </c>
      <c r="W7">
        <f>M7-'2022a_250824_2329'!M7</f>
        <v>2.7144028000000002</v>
      </c>
      <c r="X7" s="12">
        <f>W7/'2022a_250824_2329'!M7</f>
        <v>0.2497507049993978</v>
      </c>
    </row>
    <row r="8" spans="1:24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27</v>
      </c>
      <c r="H8" t="s">
        <v>21</v>
      </c>
      <c r="I8" t="s">
        <v>22</v>
      </c>
      <c r="J8" t="s">
        <v>148</v>
      </c>
      <c r="K8" t="s">
        <v>23</v>
      </c>
      <c r="L8">
        <v>1149</v>
      </c>
      <c r="M8" s="4">
        <v>13.886078700000001</v>
      </c>
      <c r="N8" s="4">
        <v>228.69522197016184</v>
      </c>
      <c r="O8" s="4">
        <v>4.7948283568746718E-2</v>
      </c>
      <c r="P8" s="1" t="str">
        <f>HYPERLINK(".\sm_car_250825_2318\sm_car_250825_2318_007_Ca003TrN_MaWOT_DrSt_ode23t.png","figure")</f>
        <v>figure</v>
      </c>
      <c r="Q8" t="s">
        <v>15</v>
      </c>
      <c r="U8">
        <f>L8-'2022a_250824_2329'!L8</f>
        <v>669</v>
      </c>
      <c r="V8" s="12">
        <f>U8/'2022a_250824_2329'!L8</f>
        <v>1.39375</v>
      </c>
      <c r="W8">
        <f>M8-'2022a_250824_2329'!M8</f>
        <v>2.0120848000000002</v>
      </c>
      <c r="X8" s="12">
        <f>W8/'2022a_250824_2329'!M8</f>
        <v>0.1694530767781513</v>
      </c>
    </row>
    <row r="9" spans="1:24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27</v>
      </c>
      <c r="H9" t="s">
        <v>21</v>
      </c>
      <c r="I9" t="s">
        <v>24</v>
      </c>
      <c r="J9" t="s">
        <v>148</v>
      </c>
      <c r="K9" t="s">
        <v>23</v>
      </c>
      <c r="L9">
        <v>1204</v>
      </c>
      <c r="M9" s="4">
        <v>14.2945698</v>
      </c>
      <c r="N9" s="4">
        <v>70.455833421135154</v>
      </c>
      <c r="O9" s="4">
        <v>-0.52122789808884307</v>
      </c>
      <c r="P9" s="1" t="str">
        <f>HYPERLINK(".\sm_car_250825_2318\sm_car_250825_2318_008_Ca003TrN_MaLSS_DrSt_ode23t.png","figure")</f>
        <v>figure</v>
      </c>
      <c r="Q9" t="s">
        <v>15</v>
      </c>
      <c r="U9">
        <f>L9-'2022a_250824_2329'!L9</f>
        <v>663</v>
      </c>
      <c r="V9" s="12">
        <f>U9/'2022a_250824_2329'!L9</f>
        <v>1.2255083179297597</v>
      </c>
      <c r="W9">
        <f>M9-'2022a_250824_2329'!M9</f>
        <v>2.8067074999999999</v>
      </c>
      <c r="X9" s="12">
        <f>W9/'2022a_250824_2329'!M9</f>
        <v>0.24431938916955856</v>
      </c>
    </row>
    <row r="10" spans="1:24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20</v>
      </c>
      <c r="H10" t="s">
        <v>21</v>
      </c>
      <c r="I10" t="s">
        <v>22</v>
      </c>
      <c r="J10" t="s">
        <v>148</v>
      </c>
      <c r="K10" t="s">
        <v>23</v>
      </c>
      <c r="L10">
        <v>1976</v>
      </c>
      <c r="M10" s="4">
        <v>13.2203003</v>
      </c>
      <c r="N10" s="4">
        <v>230.12077525008775</v>
      </c>
      <c r="O10" s="4">
        <v>-8.4817609249519255E-3</v>
      </c>
      <c r="P10" s="1" t="str">
        <f>HYPERLINK(".\sm_car_250825_2318\sm_car_250825_2318_009_Ca004TrN_MaWOT_DrSt_ode23t.png","figure")</f>
        <v>figure</v>
      </c>
      <c r="Q10" t="s">
        <v>15</v>
      </c>
      <c r="U10">
        <f>L10-'2022a_250824_2329'!L10</f>
        <v>874</v>
      </c>
      <c r="V10" s="12">
        <f>U10/'2022a_250824_2329'!L10</f>
        <v>0.7931034482758621</v>
      </c>
      <c r="W10">
        <f>M10-'2022a_250824_2329'!M10</f>
        <v>2.8433805999999997</v>
      </c>
      <c r="X10" s="12">
        <f>W10/'2022a_250824_2329'!M10</f>
        <v>0.27401008027459245</v>
      </c>
    </row>
    <row r="11" spans="1:24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20</v>
      </c>
      <c r="H11" t="s">
        <v>21</v>
      </c>
      <c r="I11" t="s">
        <v>24</v>
      </c>
      <c r="J11" t="s">
        <v>148</v>
      </c>
      <c r="K11" t="s">
        <v>23</v>
      </c>
      <c r="L11">
        <v>2194</v>
      </c>
      <c r="M11" s="4">
        <v>14.1569278</v>
      </c>
      <c r="N11" s="4">
        <v>70.877713186626664</v>
      </c>
      <c r="O11" s="4">
        <v>-0.53661616318514527</v>
      </c>
      <c r="P11" s="1" t="str">
        <f>HYPERLINK(".\sm_car_250825_2318\sm_car_250825_2318_010_Ca004TrN_MaLSS_DrSt_ode23t.png","figure")</f>
        <v>figure</v>
      </c>
      <c r="Q11" t="s">
        <v>15</v>
      </c>
      <c r="U11">
        <f>L11-'2022a_250824_2329'!L11</f>
        <v>963</v>
      </c>
      <c r="V11" s="12">
        <f>U11/'2022a_250824_2329'!L11</f>
        <v>0.78229082047116161</v>
      </c>
      <c r="W11">
        <f>M11-'2022a_250824_2329'!M11</f>
        <v>2.1156252999999996</v>
      </c>
      <c r="X11" s="12">
        <f>W11/'2022a_250824_2329'!M11</f>
        <v>0.17569737991384235</v>
      </c>
    </row>
    <row r="12" spans="1:24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25</v>
      </c>
      <c r="H12" t="s">
        <v>21</v>
      </c>
      <c r="I12" t="s">
        <v>22</v>
      </c>
      <c r="J12" t="s">
        <v>148</v>
      </c>
      <c r="K12" t="s">
        <v>23</v>
      </c>
      <c r="L12">
        <v>1998</v>
      </c>
      <c r="M12" s="4">
        <v>14.6543949</v>
      </c>
      <c r="N12" s="4">
        <v>229.21062005630367</v>
      </c>
      <c r="O12" s="4">
        <v>-1.6824417518999341E-2</v>
      </c>
      <c r="P12" s="1" t="str">
        <f>HYPERLINK(".\sm_car_250825_2318\sm_car_250825_2318_011_Ca005TrN_MaWOT_DrSt_ode23t.png","figure")</f>
        <v>figure</v>
      </c>
      <c r="Q12" t="s">
        <v>15</v>
      </c>
      <c r="U12">
        <f>L12-'2022a_250824_2329'!L12</f>
        <v>910</v>
      </c>
      <c r="V12" s="12">
        <f>U12/'2022a_250824_2329'!L12</f>
        <v>0.83639705882352944</v>
      </c>
      <c r="W12">
        <f>M12-'2022a_250824_2329'!M12</f>
        <v>2.9752660999999989</v>
      </c>
      <c r="X12" s="12">
        <f>W12/'2022a_250824_2329'!M12</f>
        <v>0.25475068825339087</v>
      </c>
    </row>
    <row r="13" spans="1:24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25</v>
      </c>
      <c r="H13" t="s">
        <v>21</v>
      </c>
      <c r="I13" t="s">
        <v>24</v>
      </c>
      <c r="J13" t="s">
        <v>148</v>
      </c>
      <c r="K13" t="s">
        <v>23</v>
      </c>
      <c r="L13">
        <v>2223</v>
      </c>
      <c r="M13" s="4">
        <v>16.129961900000001</v>
      </c>
      <c r="N13" s="4">
        <v>70.604445254146853</v>
      </c>
      <c r="O13" s="4">
        <v>-0.53140347273104216</v>
      </c>
      <c r="P13" s="1" t="str">
        <f>HYPERLINK(".\sm_car_250825_2318\sm_car_250825_2318_012_Ca005TrN_MaLSS_DrSt_ode23t.png","figure")</f>
        <v>figure</v>
      </c>
      <c r="Q13" t="s">
        <v>15</v>
      </c>
      <c r="U13">
        <f>L13-'2022a_250824_2329'!L13</f>
        <v>1009</v>
      </c>
      <c r="V13" s="12">
        <f>U13/'2022a_250824_2329'!L13</f>
        <v>0.83113673805601318</v>
      </c>
      <c r="W13">
        <f>M13-'2022a_250824_2329'!M13</f>
        <v>2.6011738000000015</v>
      </c>
      <c r="X13" s="12">
        <f>W13/'2022a_250824_2329'!M13</f>
        <v>0.19226953521431839</v>
      </c>
    </row>
    <row r="14" spans="1:24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26</v>
      </c>
      <c r="H14" t="s">
        <v>21</v>
      </c>
      <c r="I14" t="s">
        <v>22</v>
      </c>
      <c r="J14" t="s">
        <v>148</v>
      </c>
      <c r="K14" t="s">
        <v>23</v>
      </c>
      <c r="L14">
        <v>2116</v>
      </c>
      <c r="M14" s="4">
        <v>15.380326699999999</v>
      </c>
      <c r="N14" s="4">
        <v>229.17806192411965</v>
      </c>
      <c r="O14" s="4">
        <v>5.0155015905955121E-2</v>
      </c>
      <c r="P14" s="1" t="str">
        <f>HYPERLINK(".\sm_car_250825_2318\sm_car_250825_2318_013_Ca006TrN_MaWOT_DrSt_ode23t.png","figure")</f>
        <v>figure</v>
      </c>
      <c r="Q14" t="s">
        <v>15</v>
      </c>
      <c r="U14">
        <f>L14-'2022a_250824_2329'!L14</f>
        <v>901</v>
      </c>
      <c r="V14" s="12">
        <f>U14/'2022a_250824_2329'!L14</f>
        <v>0.74156378600823047</v>
      </c>
      <c r="W14">
        <f>M14-'2022a_250824_2329'!M14</f>
        <v>-6.6187600000001012E-2</v>
      </c>
      <c r="X14" s="12">
        <f>W14/'2022a_250824_2329'!M14</f>
        <v>-4.2849537905131786E-3</v>
      </c>
    </row>
    <row r="15" spans="1:24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26</v>
      </c>
      <c r="H15" t="s">
        <v>21</v>
      </c>
      <c r="I15" t="s">
        <v>24</v>
      </c>
      <c r="J15" t="s">
        <v>148</v>
      </c>
      <c r="K15" t="s">
        <v>23</v>
      </c>
      <c r="L15">
        <v>2302</v>
      </c>
      <c r="M15" s="4">
        <v>17.281358699999998</v>
      </c>
      <c r="N15" s="4">
        <v>70.594426521741184</v>
      </c>
      <c r="O15" s="4">
        <v>-0.52738083853121409</v>
      </c>
      <c r="P15" s="1" t="str">
        <f>HYPERLINK(".\sm_car_250825_2318\sm_car_250825_2318_014_Ca006TrN_MaLSS_DrSt_ode23t.png","figure")</f>
        <v>figure</v>
      </c>
      <c r="Q15" t="s">
        <v>15</v>
      </c>
      <c r="U15">
        <f>L15-'2022a_250824_2329'!L15</f>
        <v>1016</v>
      </c>
      <c r="V15" s="12">
        <f>U15/'2022a_250824_2329'!L15</f>
        <v>0.79004665629860027</v>
      </c>
      <c r="W15">
        <f>M15-'2022a_250824_2329'!M15</f>
        <v>3.248036299999999</v>
      </c>
      <c r="X15" s="12">
        <f>W15/'2022a_250824_2329'!M15</f>
        <v>0.23145169813814007</v>
      </c>
    </row>
    <row r="16" spans="1:24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27</v>
      </c>
      <c r="H16" t="s">
        <v>21</v>
      </c>
      <c r="I16" t="s">
        <v>22</v>
      </c>
      <c r="J16" t="s">
        <v>148</v>
      </c>
      <c r="K16" t="s">
        <v>23</v>
      </c>
      <c r="L16">
        <v>2074</v>
      </c>
      <c r="M16" s="4">
        <v>17.792446600000002</v>
      </c>
      <c r="N16" s="4">
        <v>228.72573599196355</v>
      </c>
      <c r="O16" s="4">
        <v>4.8212932502183815E-2</v>
      </c>
      <c r="P16" s="1" t="str">
        <f>HYPERLINK(".\sm_car_250825_2318\sm_car_250825_2318_015_Ca007TrN_MaWOT_DrSt_ode23t.png","figure")</f>
        <v>figure</v>
      </c>
      <c r="Q16" t="s">
        <v>15</v>
      </c>
      <c r="U16">
        <f>L16-'2022a_250824_2329'!L16</f>
        <v>908</v>
      </c>
      <c r="V16" s="12">
        <f>U16/'2022a_250824_2329'!L16</f>
        <v>0.77873070325900517</v>
      </c>
      <c r="W16">
        <f>M16-'2022a_250824_2329'!M16</f>
        <v>4.3011810000000015</v>
      </c>
      <c r="X16" s="12">
        <f>W16/'2022a_250824_2329'!M16</f>
        <v>0.31881226917658501</v>
      </c>
    </row>
    <row r="17" spans="1:24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27</v>
      </c>
      <c r="H17" t="s">
        <v>21</v>
      </c>
      <c r="I17" t="s">
        <v>24</v>
      </c>
      <c r="J17" t="s">
        <v>148</v>
      </c>
      <c r="K17" t="s">
        <v>23</v>
      </c>
      <c r="L17">
        <v>2215</v>
      </c>
      <c r="M17" s="4">
        <v>18.953606099999998</v>
      </c>
      <c r="N17" s="4">
        <v>70.465553006087461</v>
      </c>
      <c r="O17" s="4">
        <v>-0.52423482585085834</v>
      </c>
      <c r="P17" s="1" t="str">
        <f>HYPERLINK(".\sm_car_250825_2318\sm_car_250825_2318_016_Ca007TrN_MaLSS_DrSt_ode23t.png","figure")</f>
        <v>figure</v>
      </c>
      <c r="Q17" t="s">
        <v>15</v>
      </c>
      <c r="U17">
        <f>L17-'2022a_250824_2329'!L17</f>
        <v>945</v>
      </c>
      <c r="V17" s="12">
        <f>U17/'2022a_250824_2329'!L17</f>
        <v>0.74409448818897639</v>
      </c>
      <c r="W17">
        <f>M17-'2022a_250824_2329'!M17</f>
        <v>3.1021024999999991</v>
      </c>
      <c r="X17" s="12">
        <f>W17/'2022a_250824_2329'!M17</f>
        <v>0.19569768132279888</v>
      </c>
    </row>
    <row r="18" spans="1:24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148</v>
      </c>
      <c r="K18" t="s">
        <v>23</v>
      </c>
      <c r="L18">
        <v>1070</v>
      </c>
      <c r="M18" s="4">
        <v>7.3327005999999999</v>
      </c>
      <c r="N18" s="4">
        <v>230.90729598817146</v>
      </c>
      <c r="O18" s="4">
        <v>-7.3110379232594211E-2</v>
      </c>
      <c r="P18" s="1" t="str">
        <f>HYPERLINK(".\sm_car_250825_2318\sm_car_250825_2318_017_Ca016TrN_MaWOT_DrSt_ode23t.png","figure")</f>
        <v>figure</v>
      </c>
      <c r="Q18" t="s">
        <v>15</v>
      </c>
      <c r="U18">
        <f>L18-'2022a_250824_2329'!L18</f>
        <v>663</v>
      </c>
      <c r="V18" s="12">
        <f>U18/'2022a_250824_2329'!L18</f>
        <v>1.6289926289926291</v>
      </c>
      <c r="W18">
        <f>M18-'2022a_250824_2329'!M18</f>
        <v>1.4909924999999999</v>
      </c>
      <c r="X18" s="12">
        <f>W18/'2022a_250824_2329'!M18</f>
        <v>0.25523228385889396</v>
      </c>
    </row>
    <row r="19" spans="1:24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20</v>
      </c>
      <c r="H19" t="s">
        <v>21</v>
      </c>
      <c r="I19" t="s">
        <v>24</v>
      </c>
      <c r="J19" t="s">
        <v>148</v>
      </c>
      <c r="K19" t="s">
        <v>23</v>
      </c>
      <c r="L19">
        <v>916</v>
      </c>
      <c r="M19" s="4">
        <v>6.5483199000000001</v>
      </c>
      <c r="N19" s="4">
        <v>71.173203175228124</v>
      </c>
      <c r="O19" s="4">
        <v>-2.1657008555373031E-2</v>
      </c>
      <c r="P19" s="1" t="str">
        <f>HYPERLINK(".\sm_car_250825_2318\sm_car_250825_2318_018_Ca016TrN_MaLSS_DrSt_ode23t.png","figure")</f>
        <v>figure</v>
      </c>
      <c r="Q19" t="s">
        <v>15</v>
      </c>
      <c r="U19">
        <f>L19-'2022a_250824_2329'!L19</f>
        <v>419</v>
      </c>
      <c r="V19" s="12">
        <f>U19/'2022a_250824_2329'!L19</f>
        <v>0.84305835010060359</v>
      </c>
      <c r="W19">
        <f>M19-'2022a_250824_2329'!M19</f>
        <v>0.6911624999999999</v>
      </c>
      <c r="X19" s="12">
        <f>W19/'2022a_250824_2329'!M19</f>
        <v>0.1180030606655713</v>
      </c>
    </row>
    <row r="20" spans="1:24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148</v>
      </c>
      <c r="K20" t="s">
        <v>23</v>
      </c>
      <c r="L20">
        <v>1067</v>
      </c>
      <c r="M20" s="4">
        <v>10.2633758</v>
      </c>
      <c r="N20" s="4">
        <v>230.09814114074169</v>
      </c>
      <c r="O20" s="4">
        <v>4.9137800987826318E-3</v>
      </c>
      <c r="P20" s="1" t="str">
        <f>HYPERLINK(".\sm_car_250825_2318\sm_car_250825_2318_019_Ca032TrN_MaWOT_DrSt_ode23t.png","figure")</f>
        <v>figure</v>
      </c>
      <c r="Q20" t="s">
        <v>15</v>
      </c>
      <c r="U20">
        <f>L20-'2022a_250824_2329'!L20</f>
        <v>661</v>
      </c>
      <c r="V20" s="12">
        <f>U20/'2022a_250824_2329'!L20</f>
        <v>1.6280788177339902</v>
      </c>
      <c r="W20">
        <f>M20-'2022a_250824_2329'!M20</f>
        <v>2.8290016000000007</v>
      </c>
      <c r="X20" s="12">
        <f>W20/'2022a_250824_2329'!M20</f>
        <v>0.38052989046475505</v>
      </c>
    </row>
    <row r="21" spans="1:24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20</v>
      </c>
      <c r="H21" t="s">
        <v>21</v>
      </c>
      <c r="I21" t="s">
        <v>24</v>
      </c>
      <c r="J21" t="s">
        <v>148</v>
      </c>
      <c r="K21" t="s">
        <v>23</v>
      </c>
      <c r="L21">
        <v>1183</v>
      </c>
      <c r="M21" s="4">
        <v>11.252824800000001</v>
      </c>
      <c r="N21" s="4">
        <v>70.870831865491553</v>
      </c>
      <c r="O21" s="4">
        <v>-0.51580929216777693</v>
      </c>
      <c r="P21" s="1" t="str">
        <f>HYPERLINK(".\sm_car_250825_2318\sm_car_250825_2318_020_Ca032TrN_MaLSS_DrSt_ode23t.png","figure")</f>
        <v>figure</v>
      </c>
      <c r="Q21" t="s">
        <v>15</v>
      </c>
      <c r="U21">
        <f>L21-'2022a_250824_2329'!L21</f>
        <v>655</v>
      </c>
      <c r="V21" s="12">
        <f>U21/'2022a_250824_2329'!L21</f>
        <v>1.240530303030303</v>
      </c>
      <c r="W21">
        <f>M21-'2022a_250824_2329'!M21</f>
        <v>3.1424380000000003</v>
      </c>
      <c r="X21" s="12">
        <f>W21/'2022a_250824_2329'!M21</f>
        <v>0.38745846252363697</v>
      </c>
    </row>
    <row r="22" spans="1:24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148</v>
      </c>
      <c r="K22" t="s">
        <v>23</v>
      </c>
      <c r="L22">
        <v>1074</v>
      </c>
      <c r="M22" s="4">
        <v>9.7182694000000005</v>
      </c>
      <c r="N22" s="4">
        <v>230.11778640958607</v>
      </c>
      <c r="O22" s="4">
        <v>-2.2181804240333343E-2</v>
      </c>
      <c r="P22" s="1" t="str">
        <f>HYPERLINK(".\sm_car_250825_2318\sm_car_250825_2318_021_Ca048TrN_MaWOT_DrSt_ode23t.png","figure")</f>
        <v>figure</v>
      </c>
      <c r="Q22" t="s">
        <v>15</v>
      </c>
      <c r="U22">
        <f>L22-'2022a_250824_2329'!L22</f>
        <v>661</v>
      </c>
      <c r="V22" s="12">
        <f>U22/'2022a_250824_2329'!L22</f>
        <v>1.6004842615012107</v>
      </c>
      <c r="W22">
        <f>M22-'2022a_250824_2329'!M22</f>
        <v>2.2451689000000004</v>
      </c>
      <c r="X22" s="12">
        <f>W22/'2022a_250824_2329'!M22</f>
        <v>0.30043338772173617</v>
      </c>
    </row>
    <row r="23" spans="1:24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20</v>
      </c>
      <c r="H23" t="s">
        <v>21</v>
      </c>
      <c r="I23" t="s">
        <v>24</v>
      </c>
      <c r="J23" t="s">
        <v>148</v>
      </c>
      <c r="K23" t="s">
        <v>23</v>
      </c>
      <c r="L23">
        <v>1179</v>
      </c>
      <c r="M23" s="4">
        <v>10.8238194</v>
      </c>
      <c r="N23" s="4">
        <v>70.8719951374907</v>
      </c>
      <c r="O23" s="4">
        <v>-0.52249898671868023</v>
      </c>
      <c r="P23" s="1" t="str">
        <f>HYPERLINK(".\sm_car_250825_2318\sm_car_250825_2318_022_Ca048TrN_MaLSS_DrSt_ode23t.png","figure")</f>
        <v>figure</v>
      </c>
      <c r="Q23" t="s">
        <v>15</v>
      </c>
      <c r="U23">
        <f>L23-'2022a_250824_2329'!L23</f>
        <v>656</v>
      </c>
      <c r="V23" s="12">
        <f>U23/'2022a_250824_2329'!L23</f>
        <v>1.254302103250478</v>
      </c>
      <c r="W23">
        <f>M23-'2022a_250824_2329'!M23</f>
        <v>2.8763604999999997</v>
      </c>
      <c r="X23" s="12">
        <f>W23/'2022a_250824_2329'!M23</f>
        <v>0.36192203523065714</v>
      </c>
    </row>
    <row r="24" spans="1:24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 t="s">
        <v>148</v>
      </c>
      <c r="K24" t="s">
        <v>23</v>
      </c>
      <c r="L24">
        <v>1083</v>
      </c>
      <c r="M24" s="4">
        <v>11.320836</v>
      </c>
      <c r="N24" s="4">
        <v>230.13686783914903</v>
      </c>
      <c r="O24" s="4">
        <v>5.8211801389548984E-3</v>
      </c>
      <c r="P24" s="1" t="str">
        <f>HYPERLINK(".\sm_car_250825_2318\sm_car_250825_2318_023_Ca064TrN_MaWOT_DrSt_ode23t.png","figure")</f>
        <v>figure</v>
      </c>
      <c r="Q24" t="s">
        <v>15</v>
      </c>
      <c r="U24">
        <f>L24-'2022a_250824_2329'!L24</f>
        <v>671</v>
      </c>
      <c r="V24" s="12">
        <f>U24/'2022a_250824_2329'!L24</f>
        <v>1.6286407766990292</v>
      </c>
      <c r="W24">
        <f>M24-'2022a_250824_2329'!M24</f>
        <v>3.3428354000000002</v>
      </c>
      <c r="X24" s="12">
        <f>W24/'2022a_250824_2329'!M24</f>
        <v>0.41900666189471086</v>
      </c>
    </row>
    <row r="25" spans="1:24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20</v>
      </c>
      <c r="H25" t="s">
        <v>21</v>
      </c>
      <c r="I25" t="s">
        <v>24</v>
      </c>
      <c r="J25" t="s">
        <v>148</v>
      </c>
      <c r="K25" t="s">
        <v>23</v>
      </c>
      <c r="L25">
        <v>1161</v>
      </c>
      <c r="M25" s="4">
        <v>11.491487899999999</v>
      </c>
      <c r="N25" s="4">
        <v>70.882887475225715</v>
      </c>
      <c r="O25" s="4">
        <v>-0.51102755434577707</v>
      </c>
      <c r="P25" s="1" t="str">
        <f>HYPERLINK(".\sm_car_250825_2318\sm_car_250825_2318_024_Ca064TrN_MaLSS_DrSt_ode23t.png","figure")</f>
        <v>figure</v>
      </c>
      <c r="Q25" t="s">
        <v>15</v>
      </c>
      <c r="U25">
        <f>L25-'2022a_250824_2329'!L25</f>
        <v>658</v>
      </c>
      <c r="V25" s="12">
        <f>U25/'2022a_250824_2329'!L25</f>
        <v>1.3081510934393639</v>
      </c>
      <c r="W25">
        <f>M25-'2022a_250824_2329'!M25</f>
        <v>3.3721083999999983</v>
      </c>
      <c r="X25" s="12">
        <f>W25/'2022a_250824_2329'!M25</f>
        <v>0.41531602260985562</v>
      </c>
    </row>
    <row r="26" spans="1:24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148</v>
      </c>
      <c r="K26" t="s">
        <v>23</v>
      </c>
      <c r="L26">
        <v>1062</v>
      </c>
      <c r="M26" s="4">
        <v>10.9213404</v>
      </c>
      <c r="N26" s="4">
        <v>230.15387119624845</v>
      </c>
      <c r="O26" s="4">
        <v>-2.3821308454229112E-2</v>
      </c>
      <c r="P26" s="1" t="str">
        <f>HYPERLINK(".\sm_car_250825_2318\sm_car_250825_2318_025_Ca080TrN_MaWOT_DrSt_ode23t.png","figure")</f>
        <v>figure</v>
      </c>
      <c r="Q26" t="s">
        <v>15</v>
      </c>
      <c r="U26">
        <f>L26-'2022a_250824_2329'!L26</f>
        <v>653</v>
      </c>
      <c r="V26" s="12">
        <f>U26/'2022a_250824_2329'!L26</f>
        <v>1.5965770171149145</v>
      </c>
      <c r="W26">
        <f>M26-'2022a_250824_2329'!M26</f>
        <v>1.6222632000000008</v>
      </c>
      <c r="X26" s="12">
        <f>W26/'2022a_250824_2329'!M26</f>
        <v>0.17445421358583849</v>
      </c>
    </row>
    <row r="27" spans="1:24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20</v>
      </c>
      <c r="H27" t="s">
        <v>21</v>
      </c>
      <c r="I27" t="s">
        <v>24</v>
      </c>
      <c r="J27" t="s">
        <v>148</v>
      </c>
      <c r="K27" t="s">
        <v>23</v>
      </c>
      <c r="L27">
        <v>1176</v>
      </c>
      <c r="M27" s="4">
        <v>12.004867600000001</v>
      </c>
      <c r="N27" s="4">
        <v>70.877739076492119</v>
      </c>
      <c r="O27" s="4">
        <v>-0.51932676075674999</v>
      </c>
      <c r="P27" s="1" t="str">
        <f>HYPERLINK(".\sm_car_250825_2318\sm_car_250825_2318_026_Ca080TrN_MaLSS_DrSt_ode23t.png","figure")</f>
        <v>figure</v>
      </c>
      <c r="Q27" t="s">
        <v>15</v>
      </c>
      <c r="U27">
        <f>L27-'2022a_250824_2329'!L27</f>
        <v>643</v>
      </c>
      <c r="V27" s="12">
        <f>U27/'2022a_250824_2329'!L27</f>
        <v>1.2063789868667918</v>
      </c>
      <c r="W27">
        <f>M27-'2022a_250824_2329'!M27</f>
        <v>3.3353978000000009</v>
      </c>
      <c r="X27" s="12">
        <f>W27/'2022a_250824_2329'!M27</f>
        <v>0.38472915610133401</v>
      </c>
    </row>
    <row r="28" spans="1:24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148</v>
      </c>
      <c r="K28" t="s">
        <v>23</v>
      </c>
      <c r="L28">
        <v>1064</v>
      </c>
      <c r="M28" s="4">
        <v>8.3973375000000008</v>
      </c>
      <c r="N28" s="4">
        <v>231.81413196490132</v>
      </c>
      <c r="O28" s="4">
        <v>1.674951530159614E-2</v>
      </c>
      <c r="P28" s="1" t="str">
        <f>HYPERLINK(".\sm_car_250825_2318\sm_car_250825_2318_027_Ca096TrN_MaWOT_DrSt_ode23t.png","figure")</f>
        <v>figure</v>
      </c>
      <c r="Q28" t="s">
        <v>15</v>
      </c>
      <c r="U28">
        <f>L28-'2022a_250824_2329'!L28</f>
        <v>665</v>
      </c>
      <c r="V28" s="12">
        <f>U28/'2022a_250824_2329'!L28</f>
        <v>1.6666666666666667</v>
      </c>
      <c r="W28">
        <f>M28-'2022a_250824_2329'!M28</f>
        <v>2.3070522000000011</v>
      </c>
      <c r="X28" s="12">
        <f>W28/'2022a_250824_2329'!M28</f>
        <v>0.3788085592640465</v>
      </c>
    </row>
    <row r="29" spans="1:24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20</v>
      </c>
      <c r="H29" t="s">
        <v>21</v>
      </c>
      <c r="I29" t="s">
        <v>24</v>
      </c>
      <c r="J29" t="s">
        <v>148</v>
      </c>
      <c r="K29" t="s">
        <v>23</v>
      </c>
      <c r="L29">
        <v>1166</v>
      </c>
      <c r="M29" s="4">
        <v>8.7222358999999994</v>
      </c>
      <c r="N29" s="4">
        <v>71.380764445402178</v>
      </c>
      <c r="O29" s="4">
        <v>-0.52137420788879529</v>
      </c>
      <c r="P29" s="1" t="str">
        <f>HYPERLINK(".\sm_car_250825_2318\sm_car_250825_2318_028_Ca096TrN_MaLSS_DrSt_ode23t.png","figure")</f>
        <v>figure</v>
      </c>
      <c r="Q29" t="s">
        <v>15</v>
      </c>
      <c r="U29">
        <f>L29-'2022a_250824_2329'!L29</f>
        <v>648</v>
      </c>
      <c r="V29" s="12">
        <f>U29/'2022a_250824_2329'!L29</f>
        <v>1.2509652509652509</v>
      </c>
      <c r="W29">
        <f>M29-'2022a_250824_2329'!M29</f>
        <v>1.9500463999999997</v>
      </c>
      <c r="X29" s="12">
        <f>W29/'2022a_250824_2329'!M29</f>
        <v>0.28794917803171333</v>
      </c>
    </row>
    <row r="30" spans="1:24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 t="s">
        <v>148</v>
      </c>
      <c r="K30" t="s">
        <v>23</v>
      </c>
      <c r="L30">
        <v>465</v>
      </c>
      <c r="M30" s="4">
        <v>2.7939786</v>
      </c>
      <c r="N30" s="4">
        <v>242.51675222570356</v>
      </c>
      <c r="O30" s="4">
        <v>0.23663637913273444</v>
      </c>
      <c r="P30" s="1" t="str">
        <f>HYPERLINK(".\sm_car_250825_2318\sm_car_250825_2318_029_Ca112TrN_MaWOT_DrSt_ode23t.png","figure")</f>
        <v>figure</v>
      </c>
      <c r="Q30" t="s">
        <v>15</v>
      </c>
      <c r="U30">
        <f>L30-'2022a_250824_2329'!L30</f>
        <v>94</v>
      </c>
      <c r="V30" s="12">
        <f>U30/'2022a_250824_2329'!L30</f>
        <v>0.25336927223719674</v>
      </c>
      <c r="W30">
        <f>M30-'2022a_250824_2329'!M30</f>
        <v>0.1543483000000001</v>
      </c>
      <c r="X30" s="12">
        <f>W30/'2022a_250824_2329'!M30</f>
        <v>5.847345364992973E-2</v>
      </c>
    </row>
    <row r="31" spans="1:24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20</v>
      </c>
      <c r="H31" t="s">
        <v>21</v>
      </c>
      <c r="I31" t="s">
        <v>24</v>
      </c>
      <c r="J31" t="s">
        <v>148</v>
      </c>
      <c r="K31" t="s">
        <v>23</v>
      </c>
      <c r="L31">
        <v>576</v>
      </c>
      <c r="M31" s="4">
        <v>2.8960393</v>
      </c>
      <c r="N31" s="4">
        <v>74.657017132190532</v>
      </c>
      <c r="O31" s="4">
        <v>-0.33850276668828583</v>
      </c>
      <c r="P31" s="1" t="str">
        <f>HYPERLINK(".\sm_car_250825_2318\sm_car_250825_2318_030_Ca112TrN_MaLSS_DrSt_ode23t.png","figure")</f>
        <v>figure</v>
      </c>
      <c r="Q31" t="s">
        <v>15</v>
      </c>
      <c r="U31">
        <f>L31-'2022a_250824_2329'!L31</f>
        <v>92</v>
      </c>
      <c r="V31" s="12">
        <f>U31/'2022a_250824_2329'!L31</f>
        <v>0.19008264462809918</v>
      </c>
      <c r="W31">
        <f>M31-'2022a_250824_2329'!M31</f>
        <v>-5.5235900000000004E-2</v>
      </c>
      <c r="X31" s="12">
        <f>W31/'2022a_250824_2329'!M31</f>
        <v>-1.8715943535187775E-2</v>
      </c>
    </row>
    <row r="32" spans="1:24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25</v>
      </c>
      <c r="H32" t="s">
        <v>21</v>
      </c>
      <c r="I32" t="s">
        <v>22</v>
      </c>
      <c r="J32" t="s">
        <v>148</v>
      </c>
      <c r="K32" t="s">
        <v>23</v>
      </c>
      <c r="L32">
        <v>484</v>
      </c>
      <c r="M32" s="4">
        <v>2.9834383999999998</v>
      </c>
      <c r="N32" s="4">
        <v>241.63031805624254</v>
      </c>
      <c r="O32" s="4">
        <v>0.23154662977018192</v>
      </c>
      <c r="P32" s="1" t="str">
        <f>HYPERLINK(".\sm_car_250825_2318\sm_car_250825_2318_031_Ca113TrN_MaWOT_DrSt_ode23t.png","figure")</f>
        <v>figure</v>
      </c>
      <c r="Q32" t="s">
        <v>15</v>
      </c>
      <c r="U32">
        <f>L32-'2022a_250824_2329'!L32</f>
        <v>108</v>
      </c>
      <c r="V32" s="12">
        <f>U32/'2022a_250824_2329'!L32</f>
        <v>0.28723404255319152</v>
      </c>
      <c r="W32">
        <f>M32-'2022a_250824_2329'!M32</f>
        <v>-2.7905300000000022E-2</v>
      </c>
      <c r="X32" s="12">
        <f>W32/'2022a_250824_2329'!M32</f>
        <v>-9.2667270096070484E-3</v>
      </c>
    </row>
    <row r="33" spans="1:24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25</v>
      </c>
      <c r="H33" t="s">
        <v>21</v>
      </c>
      <c r="I33" t="s">
        <v>24</v>
      </c>
      <c r="J33" t="s">
        <v>148</v>
      </c>
      <c r="K33" t="s">
        <v>23</v>
      </c>
      <c r="L33">
        <v>582</v>
      </c>
      <c r="M33" s="4">
        <v>3.4154564999999999</v>
      </c>
      <c r="N33" s="4">
        <v>74.357604242481145</v>
      </c>
      <c r="O33" s="4">
        <v>-0.33468137596644221</v>
      </c>
      <c r="P33" s="1" t="str">
        <f>HYPERLINK(".\sm_car_250825_2318\sm_car_250825_2318_032_Ca113TrN_MaLSS_DrSt_ode23t.png","figure")</f>
        <v>figure</v>
      </c>
      <c r="Q33" t="s">
        <v>15</v>
      </c>
      <c r="U33">
        <f>L33-'2022a_250824_2329'!L33</f>
        <v>98</v>
      </c>
      <c r="V33" s="12">
        <f>U33/'2022a_250824_2329'!L33</f>
        <v>0.2024793388429752</v>
      </c>
      <c r="W33">
        <f>M33-'2022a_250824_2329'!M33</f>
        <v>0.27891690000000002</v>
      </c>
      <c r="X33" s="12">
        <f>W33/'2022a_250824_2329'!M33</f>
        <v>8.8925037005749913E-2</v>
      </c>
    </row>
    <row r="34" spans="1:24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26</v>
      </c>
      <c r="H34" t="s">
        <v>21</v>
      </c>
      <c r="I34" t="s">
        <v>22</v>
      </c>
      <c r="J34" t="s">
        <v>148</v>
      </c>
      <c r="K34" t="s">
        <v>23</v>
      </c>
      <c r="L34">
        <v>488</v>
      </c>
      <c r="M34" s="4">
        <v>3.5685544</v>
      </c>
      <c r="N34" s="4">
        <v>241.57862772112847</v>
      </c>
      <c r="O34" s="4">
        <v>0.23211537472983024</v>
      </c>
      <c r="P34" s="1" t="str">
        <f>HYPERLINK(".\sm_car_250825_2318\sm_car_250825_2318_033_Ca114TrN_MaWOT_DrSt_ode23t.png","figure")</f>
        <v>figure</v>
      </c>
      <c r="Q34" t="s">
        <v>15</v>
      </c>
      <c r="U34">
        <f>L34-'2022a_250824_2329'!L34</f>
        <v>123</v>
      </c>
      <c r="V34" s="12">
        <f>U34/'2022a_250824_2329'!L34</f>
        <v>0.33698630136986302</v>
      </c>
      <c r="W34">
        <f>M34-'2022a_250824_2329'!M34</f>
        <v>0.51063249999999982</v>
      </c>
      <c r="X34" s="12">
        <f>W34/'2022a_250824_2329'!M34</f>
        <v>0.16698676967518358</v>
      </c>
    </row>
    <row r="35" spans="1:24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26</v>
      </c>
      <c r="H35" t="s">
        <v>21</v>
      </c>
      <c r="I35" t="s">
        <v>24</v>
      </c>
      <c r="J35" t="s">
        <v>148</v>
      </c>
      <c r="K35" t="s">
        <v>23</v>
      </c>
      <c r="L35">
        <v>606</v>
      </c>
      <c r="M35" s="4">
        <v>3.8487765</v>
      </c>
      <c r="N35" s="4">
        <v>74.346927443640581</v>
      </c>
      <c r="O35" s="4">
        <v>-0.33408054638449064</v>
      </c>
      <c r="P35" s="1" t="str">
        <f>HYPERLINK(".\sm_car_250825_2318\sm_car_250825_2318_034_Ca114TrN_MaLSS_DrSt_ode23t.png","figure")</f>
        <v>figure</v>
      </c>
      <c r="Q35" t="s">
        <v>15</v>
      </c>
      <c r="U35">
        <f>L35-'2022a_250824_2329'!L35</f>
        <v>132</v>
      </c>
      <c r="V35" s="12">
        <f>U35/'2022a_250824_2329'!L35</f>
        <v>0.27848101265822783</v>
      </c>
      <c r="W35">
        <f>M35-'2022a_250824_2329'!M35</f>
        <v>0.3993525</v>
      </c>
      <c r="X35" s="12">
        <f>W35/'2022a_250824_2329'!M35</f>
        <v>0.11577367699650724</v>
      </c>
    </row>
    <row r="36" spans="1:24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27</v>
      </c>
      <c r="H36" t="s">
        <v>21</v>
      </c>
      <c r="I36" t="s">
        <v>22</v>
      </c>
      <c r="J36" t="s">
        <v>148</v>
      </c>
      <c r="K36" t="s">
        <v>23</v>
      </c>
      <c r="L36">
        <v>523</v>
      </c>
      <c r="M36" s="4">
        <v>3.7905753</v>
      </c>
      <c r="N36" s="4">
        <v>241.14671607350272</v>
      </c>
      <c r="O36" s="4">
        <v>0.25201227454647679</v>
      </c>
      <c r="P36" s="1" t="str">
        <f>HYPERLINK(".\sm_car_250825_2318\sm_car_250825_2318_035_Ca115TrN_MaWOT_DrSt_ode23t.png","figure")</f>
        <v>figure</v>
      </c>
      <c r="Q36" t="s">
        <v>15</v>
      </c>
      <c r="U36">
        <f>L36-'2022a_250824_2329'!L36</f>
        <v>121</v>
      </c>
      <c r="V36" s="12">
        <f>U36/'2022a_250824_2329'!L36</f>
        <v>0.30099502487562191</v>
      </c>
      <c r="W36">
        <f>M36-'2022a_250824_2329'!M36</f>
        <v>4.2268599999999878E-2</v>
      </c>
      <c r="X36" s="12">
        <f>W36/'2022a_250824_2329'!M36</f>
        <v>1.127671863137557E-2</v>
      </c>
    </row>
    <row r="37" spans="1:24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27</v>
      </c>
      <c r="H37" t="s">
        <v>21</v>
      </c>
      <c r="I37" t="s">
        <v>24</v>
      </c>
      <c r="J37" t="s">
        <v>148</v>
      </c>
      <c r="K37" t="s">
        <v>23</v>
      </c>
      <c r="L37">
        <v>615</v>
      </c>
      <c r="M37" s="4">
        <v>3.7839434000000001</v>
      </c>
      <c r="N37" s="4">
        <v>74.211576664259198</v>
      </c>
      <c r="O37" s="4">
        <v>-0.3324043931747096</v>
      </c>
      <c r="P37" s="1" t="str">
        <f>HYPERLINK(".\sm_car_250825_2318\sm_car_250825_2318_036_Ca115TrN_MaLSS_DrSt_ode23t.png","figure")</f>
        <v>figure</v>
      </c>
      <c r="Q37" t="s">
        <v>15</v>
      </c>
      <c r="U37">
        <f>L37-'2022a_250824_2329'!L37</f>
        <v>110</v>
      </c>
      <c r="V37" s="12">
        <f>U37/'2022a_250824_2329'!L37</f>
        <v>0.21782178217821782</v>
      </c>
      <c r="W37">
        <f>M37-'2022a_250824_2329'!M37</f>
        <v>0.44992940000000026</v>
      </c>
      <c r="X37" s="12">
        <f>W37/'2022a_250824_2329'!M37</f>
        <v>0.13495126295210527</v>
      </c>
    </row>
    <row r="38" spans="1:24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20</v>
      </c>
      <c r="H38" t="s">
        <v>21</v>
      </c>
      <c r="I38" t="s">
        <v>22</v>
      </c>
      <c r="J38" t="s">
        <v>148</v>
      </c>
      <c r="K38" t="s">
        <v>23</v>
      </c>
      <c r="L38">
        <v>1016</v>
      </c>
      <c r="M38" s="4">
        <v>4.8644014999999996</v>
      </c>
      <c r="N38" s="4">
        <v>242.45532450599512</v>
      </c>
      <c r="O38" s="4">
        <v>0.23627020271792137</v>
      </c>
      <c r="P38" s="1" t="str">
        <f>HYPERLINK(".\sm_car_250825_2318\sm_car_250825_2318_037_Ca116TrN_MaWOT_DrSt_ode23t.png","figure")</f>
        <v>figure</v>
      </c>
      <c r="Q38" t="s">
        <v>15</v>
      </c>
      <c r="U38">
        <f>L38-'2022a_250824_2329'!L38</f>
        <v>99</v>
      </c>
      <c r="V38" s="12">
        <f>U38/'2022a_250824_2329'!L38</f>
        <v>0.10796074154852781</v>
      </c>
      <c r="W38">
        <f>M38-'2022a_250824_2329'!M38</f>
        <v>0.33829859999999989</v>
      </c>
      <c r="X38" s="12">
        <f>W38/'2022a_250824_2329'!M38</f>
        <v>7.4743903856008209E-2</v>
      </c>
    </row>
    <row r="39" spans="1:24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20</v>
      </c>
      <c r="H39" t="s">
        <v>21</v>
      </c>
      <c r="I39" t="s">
        <v>24</v>
      </c>
      <c r="J39" t="s">
        <v>148</v>
      </c>
      <c r="K39" t="s">
        <v>23</v>
      </c>
      <c r="L39">
        <v>1125</v>
      </c>
      <c r="M39" s="4">
        <v>5.1855777999999999</v>
      </c>
      <c r="N39" s="4">
        <v>74.663043390197785</v>
      </c>
      <c r="O39" s="4">
        <v>-0.34089435398834428</v>
      </c>
      <c r="P39" s="1" t="str">
        <f>HYPERLINK(".\sm_car_250825_2318\sm_car_250825_2318_038_Ca116TrN_MaLSS_DrSt_ode23t.png","figure")</f>
        <v>figure</v>
      </c>
      <c r="Q39" t="s">
        <v>15</v>
      </c>
      <c r="U39">
        <f>L39-'2022a_250824_2329'!L39</f>
        <v>68</v>
      </c>
      <c r="V39" s="12">
        <f>U39/'2022a_250824_2329'!L39</f>
        <v>6.4333017975402085E-2</v>
      </c>
      <c r="W39">
        <f>M39-'2022a_250824_2329'!M39</f>
        <v>4.8163299999999687E-2</v>
      </c>
      <c r="X39" s="12">
        <f>W39/'2022a_250824_2329'!M39</f>
        <v>9.3750076035328048E-3</v>
      </c>
    </row>
    <row r="40" spans="1:24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25</v>
      </c>
      <c r="H40" t="s">
        <v>21</v>
      </c>
      <c r="I40" t="s">
        <v>22</v>
      </c>
      <c r="J40" t="s">
        <v>148</v>
      </c>
      <c r="K40" t="s">
        <v>23</v>
      </c>
      <c r="L40">
        <v>1089</v>
      </c>
      <c r="M40" s="4">
        <v>6.1637506999999996</v>
      </c>
      <c r="N40" s="4">
        <v>241.54826339350126</v>
      </c>
      <c r="O40" s="4">
        <v>0.2347492193871881</v>
      </c>
      <c r="P40" s="1" t="str">
        <f>HYPERLINK(".\sm_car_250825_2318\sm_car_250825_2318_039_Ca117TrN_MaWOT_DrSt_ode23t.png","figure")</f>
        <v>figure</v>
      </c>
      <c r="Q40" t="s">
        <v>15</v>
      </c>
      <c r="U40">
        <f>L40-'2022a_250824_2329'!L40</f>
        <v>126</v>
      </c>
      <c r="V40" s="12">
        <f>U40/'2022a_250824_2329'!L40</f>
        <v>0.13084112149532709</v>
      </c>
      <c r="W40">
        <f>M40-'2022a_250824_2329'!M40</f>
        <v>1.2525059999999995</v>
      </c>
      <c r="X40" s="12">
        <f>W40/'2022a_250824_2329'!M40</f>
        <v>0.25502822125723024</v>
      </c>
    </row>
    <row r="41" spans="1:24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25</v>
      </c>
      <c r="H41" t="s">
        <v>21</v>
      </c>
      <c r="I41" t="s">
        <v>24</v>
      </c>
      <c r="J41" t="s">
        <v>148</v>
      </c>
      <c r="K41" t="s">
        <v>23</v>
      </c>
      <c r="L41">
        <v>1150</v>
      </c>
      <c r="M41" s="4">
        <v>5.6922981999999998</v>
      </c>
      <c r="N41" s="4">
        <v>74.340572578655639</v>
      </c>
      <c r="O41" s="4">
        <v>-0.33510636274457328</v>
      </c>
      <c r="P41" s="1" t="str">
        <f>HYPERLINK(".\sm_car_250825_2318\sm_car_250825_2318_040_Ca117TrN_MaLSS_DrSt_ode23t.png","figure")</f>
        <v>figure</v>
      </c>
      <c r="Q41" t="s">
        <v>15</v>
      </c>
      <c r="U41">
        <f>L41-'2022a_250824_2329'!L41</f>
        <v>87</v>
      </c>
      <c r="V41" s="12">
        <f>U41/'2022a_250824_2329'!L41</f>
        <v>8.1843838193791152E-2</v>
      </c>
      <c r="W41">
        <f>M41-'2022a_250824_2329'!M41</f>
        <v>3.9168399999999437E-2</v>
      </c>
      <c r="X41" s="12">
        <f>W41/'2022a_250824_2329'!M41</f>
        <v>6.9286220882456007E-3</v>
      </c>
    </row>
    <row r="42" spans="1:24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26</v>
      </c>
      <c r="H42" t="s">
        <v>21</v>
      </c>
      <c r="I42" t="s">
        <v>22</v>
      </c>
      <c r="J42" t="s">
        <v>148</v>
      </c>
      <c r="K42" t="s">
        <v>23</v>
      </c>
      <c r="L42">
        <v>1051</v>
      </c>
      <c r="M42" s="4">
        <v>5.8785290999999997</v>
      </c>
      <c r="N42" s="4">
        <v>241.60031591142558</v>
      </c>
      <c r="O42" s="4">
        <v>0.2326503571736224</v>
      </c>
      <c r="P42" s="1" t="str">
        <f>HYPERLINK(".\sm_car_250825_2318\sm_car_250825_2318_041_Ca118TrN_MaWOT_DrSt_ode23t.png","figure")</f>
        <v>figure</v>
      </c>
      <c r="Q42" t="s">
        <v>15</v>
      </c>
      <c r="U42">
        <f>L42-'2022a_250824_2329'!L42</f>
        <v>104</v>
      </c>
      <c r="V42" s="12">
        <f>U42/'2022a_250824_2329'!L42</f>
        <v>0.10982048574445617</v>
      </c>
      <c r="W42">
        <f>M42-'2022a_250824_2329'!M42</f>
        <v>0.55657079999999937</v>
      </c>
      <c r="X42" s="12">
        <f>W42/'2022a_250824_2329'!M42</f>
        <v>0.10458007534557333</v>
      </c>
    </row>
    <row r="43" spans="1:24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26</v>
      </c>
      <c r="H43" t="s">
        <v>21</v>
      </c>
      <c r="I43" t="s">
        <v>24</v>
      </c>
      <c r="J43" t="s">
        <v>148</v>
      </c>
      <c r="K43" t="s">
        <v>23</v>
      </c>
      <c r="L43">
        <v>1176</v>
      </c>
      <c r="M43" s="4">
        <v>6.1224160000000003</v>
      </c>
      <c r="N43" s="4">
        <v>74.342083704160913</v>
      </c>
      <c r="O43" s="4">
        <v>-0.33614184993878926</v>
      </c>
      <c r="P43" s="1" t="str">
        <f>HYPERLINK(".\sm_car_250825_2318\sm_car_250825_2318_042_Ca118TrN_MaLSS_DrSt_ode23t.png","figure")</f>
        <v>figure</v>
      </c>
      <c r="Q43" t="s">
        <v>15</v>
      </c>
      <c r="U43">
        <f>L43-'2022a_250824_2329'!L43</f>
        <v>93</v>
      </c>
      <c r="V43" s="12">
        <f>U43/'2022a_250824_2329'!L43</f>
        <v>8.5872576177285317E-2</v>
      </c>
      <c r="W43">
        <f>M43-'2022a_250824_2329'!M43</f>
        <v>-2.477679999999971E-2</v>
      </c>
      <c r="X43" s="12">
        <f>W43/'2022a_250824_2329'!M43</f>
        <v>-4.0305877505582236E-3</v>
      </c>
    </row>
    <row r="44" spans="1:24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27</v>
      </c>
      <c r="H44" t="s">
        <v>21</v>
      </c>
      <c r="I44" t="s">
        <v>22</v>
      </c>
      <c r="J44" t="s">
        <v>148</v>
      </c>
      <c r="K44" t="s">
        <v>23</v>
      </c>
      <c r="L44">
        <v>1070</v>
      </c>
      <c r="M44" s="4">
        <v>5.5515593000000001</v>
      </c>
      <c r="N44" s="4">
        <v>241.05916648206284</v>
      </c>
      <c r="O44" s="4">
        <v>0.23390759933611899</v>
      </c>
      <c r="P44" s="1" t="str">
        <f>HYPERLINK(".\sm_car_250825_2318\sm_car_250825_2318_043_Ca119TrN_MaWOT_DrSt_ode23t.png","figure")</f>
        <v>figure</v>
      </c>
      <c r="Q44" t="s">
        <v>15</v>
      </c>
      <c r="U44">
        <f>L44-'2022a_250824_2329'!L44</f>
        <v>74</v>
      </c>
      <c r="V44" s="12">
        <f>U44/'2022a_250824_2329'!L44</f>
        <v>7.4297188755020074E-2</v>
      </c>
      <c r="W44">
        <f>M44-'2022a_250824_2329'!M44</f>
        <v>-6.8924199999999658E-2</v>
      </c>
      <c r="X44" s="12">
        <f>W44/'2022a_250824_2329'!M44</f>
        <v>-1.2263037512697913E-2</v>
      </c>
    </row>
    <row r="45" spans="1:24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27</v>
      </c>
      <c r="H45" t="s">
        <v>21</v>
      </c>
      <c r="I45" t="s">
        <v>24</v>
      </c>
      <c r="J45" t="s">
        <v>148</v>
      </c>
      <c r="K45" t="s">
        <v>23</v>
      </c>
      <c r="L45">
        <v>1159</v>
      </c>
      <c r="M45" s="4">
        <v>5.6388116999999998</v>
      </c>
      <c r="N45" s="4">
        <v>74.201020013872764</v>
      </c>
      <c r="O45" s="4">
        <v>-0.3335506903704179</v>
      </c>
      <c r="P45" s="1" t="str">
        <f>HYPERLINK(".\sm_car_250825_2318\sm_car_250825_2318_044_Ca119TrN_MaLSS_DrSt_ode23t.png","figure")</f>
        <v>figure</v>
      </c>
      <c r="Q45" t="s">
        <v>15</v>
      </c>
      <c r="U45">
        <f>L45-'2022a_250824_2329'!L45</f>
        <v>59</v>
      </c>
      <c r="V45" s="12">
        <f>U45/'2022a_250824_2329'!L45</f>
        <v>5.3636363636363635E-2</v>
      </c>
      <c r="W45">
        <f>M45-'2022a_250824_2329'!M45</f>
        <v>-0.38202960000000008</v>
      </c>
      <c r="X45" s="12">
        <f>W45/'2022a_250824_2329'!M45</f>
        <v>-6.345119908740994E-2</v>
      </c>
    </row>
    <row r="46" spans="1:24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148</v>
      </c>
      <c r="K46" t="s">
        <v>23</v>
      </c>
      <c r="L46">
        <v>803</v>
      </c>
      <c r="M46" s="4">
        <v>7.8617461999999998</v>
      </c>
      <c r="N46" s="4">
        <v>98.941841749277614</v>
      </c>
      <c r="O46" s="4">
        <v>-1.8532440630247209E-2</v>
      </c>
      <c r="P46" s="1" t="str">
        <f>HYPERLINK(".\sm_car_250825_2318\sm_car_250825_2318_045_Ca128TrN_MaWOT_DrSt_ode23t.png","figure")</f>
        <v>figure</v>
      </c>
      <c r="Q46" t="s">
        <v>15</v>
      </c>
      <c r="U46">
        <f>L46-'2022a_250824_2329'!L46</f>
        <v>477</v>
      </c>
      <c r="V46" s="12">
        <f>U46/'2022a_250824_2329'!L46</f>
        <v>1.4631901840490797</v>
      </c>
      <c r="W46">
        <f>M46-'2022a_250824_2329'!M46</f>
        <v>2.4111962</v>
      </c>
      <c r="X46" s="12">
        <f>W46/'2022a_250824_2329'!M46</f>
        <v>0.44237667758299626</v>
      </c>
    </row>
    <row r="47" spans="1:24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148</v>
      </c>
      <c r="K47" t="s">
        <v>23</v>
      </c>
      <c r="L47">
        <v>1219</v>
      </c>
      <c r="M47" s="4">
        <v>10.4058083</v>
      </c>
      <c r="N47" s="4">
        <v>36.703299835229714</v>
      </c>
      <c r="O47" s="4">
        <v>-0.12831081609226</v>
      </c>
      <c r="P47" s="1" t="str">
        <f>HYPERLINK(".\sm_car_250825_2318\sm_car_250825_2318_046_Ca128TrN_MaLSS_DrSt_ode23t.png","figure")</f>
        <v>figure</v>
      </c>
      <c r="Q47" t="s">
        <v>15</v>
      </c>
      <c r="U47">
        <f>L47-'2022a_250824_2329'!L47</f>
        <v>763</v>
      </c>
      <c r="V47" s="12">
        <f>U47/'2022a_250824_2329'!L47</f>
        <v>1.6732456140350878</v>
      </c>
      <c r="W47">
        <f>M47-'2022a_250824_2329'!M47</f>
        <v>3.4973696000000007</v>
      </c>
      <c r="X47" s="12">
        <f>W47/'2022a_250824_2329'!M47</f>
        <v>0.50624602053717305</v>
      </c>
    </row>
    <row r="48" spans="1:24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148</v>
      </c>
      <c r="K48" t="s">
        <v>23</v>
      </c>
      <c r="L48">
        <v>891</v>
      </c>
      <c r="M48" s="4">
        <v>8.2958689999999997</v>
      </c>
      <c r="N48" s="4">
        <v>228.89155171623179</v>
      </c>
      <c r="O48" s="4">
        <v>5.3778534413666507E-2</v>
      </c>
      <c r="P48" s="1" t="str">
        <f>HYPERLINK(".\sm_car_250825_2318\sm_car_250825_2318_047_Ca129TrN_MaWOT_DrSt_ode23t.png","figure")</f>
        <v>figure</v>
      </c>
      <c r="Q48" t="s">
        <v>15</v>
      </c>
      <c r="U48">
        <f>L48-'2022a_250824_2329'!L48</f>
        <v>548</v>
      </c>
      <c r="V48" s="12">
        <f>U48/'2022a_250824_2329'!L48</f>
        <v>1.597667638483965</v>
      </c>
      <c r="W48">
        <f>M48-'2022a_250824_2329'!M48</f>
        <v>1.7000222999999997</v>
      </c>
      <c r="X48" s="12">
        <f>W48/'2022a_250824_2329'!M48</f>
        <v>0.25774132985837883</v>
      </c>
    </row>
    <row r="49" spans="1:24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148</v>
      </c>
      <c r="K49" t="s">
        <v>23</v>
      </c>
      <c r="L49">
        <v>1182</v>
      </c>
      <c r="M49" s="4">
        <v>10.1804495</v>
      </c>
      <c r="N49" s="4">
        <v>70.336828374812768</v>
      </c>
      <c r="O49" s="4">
        <v>-0.52219675432512169</v>
      </c>
      <c r="P49" s="1" t="str">
        <f>HYPERLINK(".\sm_car_250825_2318\sm_car_250825_2318_048_Ca129TrN_MaLSS_DrSt_ode23t.png","figure")</f>
        <v>figure</v>
      </c>
      <c r="Q49" t="s">
        <v>15</v>
      </c>
      <c r="U49">
        <f>L49-'2022a_250824_2329'!L49</f>
        <v>698</v>
      </c>
      <c r="V49" s="12">
        <f>U49/'2022a_250824_2329'!L49</f>
        <v>1.4421487603305785</v>
      </c>
      <c r="W49">
        <f>M49-'2022a_250824_2329'!M49</f>
        <v>2.3795529999999996</v>
      </c>
      <c r="X49" s="12">
        <f>W49/'2022a_250824_2329'!M49</f>
        <v>0.30503583786812188</v>
      </c>
    </row>
    <row r="50" spans="1:24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148</v>
      </c>
      <c r="K50" t="s">
        <v>23</v>
      </c>
      <c r="L50">
        <v>1663</v>
      </c>
      <c r="M50" s="4">
        <v>29.489864300000001</v>
      </c>
      <c r="N50" s="4">
        <v>215.63437174072641</v>
      </c>
      <c r="O50" s="4">
        <v>-1.5846404868383432</v>
      </c>
      <c r="P50" s="1" t="str">
        <f>HYPERLINK(".\sm_car_250825_2318\sm_car_250825_2318_049_Ca130TrN_MaWOT_DrSt_ode23t.png","figure")</f>
        <v>figure</v>
      </c>
      <c r="Q50" t="s">
        <v>15</v>
      </c>
      <c r="U50">
        <f>L50-'2022a_250824_2329'!L50</f>
        <v>859</v>
      </c>
      <c r="V50" s="12">
        <f>U50/'2022a_250824_2329'!L50</f>
        <v>1.0684079601990051</v>
      </c>
      <c r="W50">
        <f>M50-'2022a_250824_2329'!M50</f>
        <v>7.2183051999999996</v>
      </c>
      <c r="X50" s="12">
        <f>W50/'2022a_250824_2329'!M50</f>
        <v>0.3241041710456633</v>
      </c>
    </row>
    <row r="51" spans="1:24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148</v>
      </c>
      <c r="K51" t="s">
        <v>23</v>
      </c>
      <c r="L51">
        <v>1494</v>
      </c>
      <c r="M51" s="4">
        <v>24.6184087</v>
      </c>
      <c r="N51" s="4">
        <v>68.378586105713012</v>
      </c>
      <c r="O51" s="4">
        <v>-0.54276477445760896</v>
      </c>
      <c r="P51" s="1" t="str">
        <f>HYPERLINK(".\sm_car_250825_2318\sm_car_250825_2318_050_Ca130TrN_MaLSS_DrSt_ode23t.png","figure")</f>
        <v>figure</v>
      </c>
      <c r="Q51" t="s">
        <v>15</v>
      </c>
      <c r="U51">
        <f>L51-'2022a_250824_2329'!L51</f>
        <v>716</v>
      </c>
      <c r="V51" s="12">
        <f>U51/'2022a_250824_2329'!L51</f>
        <v>0.92030848329048842</v>
      </c>
      <c r="W51">
        <f>M51-'2022a_250824_2329'!M51</f>
        <v>5.4298685999999989</v>
      </c>
      <c r="X51" s="12">
        <f>W51/'2022a_250824_2329'!M51</f>
        <v>0.28297455521381737</v>
      </c>
    </row>
    <row r="52" spans="1:24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148</v>
      </c>
      <c r="K52" t="s">
        <v>23</v>
      </c>
      <c r="L52">
        <v>976</v>
      </c>
      <c r="M52" s="4">
        <v>6.4749426999999997</v>
      </c>
      <c r="N52" s="4">
        <v>229.20474735108948</v>
      </c>
      <c r="O52" s="4">
        <v>-4.6543065979611616E-2</v>
      </c>
      <c r="P52" s="1" t="str">
        <f>HYPERLINK(".\sm_car_250825_2318\sm_car_250825_2318_051_Ca131TrN_MaWOT_DrSt_ode23t.png","figure")</f>
        <v>figure</v>
      </c>
      <c r="Q52" t="s">
        <v>15</v>
      </c>
      <c r="U52">
        <f>L52-'2022a_250824_2329'!L52</f>
        <v>633</v>
      </c>
      <c r="V52" s="12">
        <f>U52/'2022a_250824_2329'!L52</f>
        <v>1.8454810495626821</v>
      </c>
      <c r="W52">
        <f>M52-'2022a_250824_2329'!M52</f>
        <v>2.0273368999999999</v>
      </c>
      <c r="X52" s="12">
        <f>W52/'2022a_250824_2329'!M52</f>
        <v>0.45582657078107058</v>
      </c>
    </row>
    <row r="53" spans="1:24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148</v>
      </c>
      <c r="K53" t="s">
        <v>23</v>
      </c>
      <c r="L53">
        <v>1210</v>
      </c>
      <c r="M53" s="4">
        <v>7.4550710000000002</v>
      </c>
      <c r="N53" s="4">
        <v>70.60459050787847</v>
      </c>
      <c r="O53" s="4">
        <v>-0.53492177543595409</v>
      </c>
      <c r="P53" s="1" t="str">
        <f>HYPERLINK(".\sm_car_250825_2318\sm_car_250825_2318_052_Ca131TrN_MaLSS_DrSt_ode23t.png","figure")</f>
        <v>figure</v>
      </c>
      <c r="Q53" t="s">
        <v>15</v>
      </c>
      <c r="U53">
        <f>L53-'2022a_250824_2329'!L53</f>
        <v>719</v>
      </c>
      <c r="V53" s="12">
        <f>U53/'2022a_250824_2329'!L53</f>
        <v>1.4643584521384929</v>
      </c>
      <c r="W53">
        <f>M53-'2022a_250824_2329'!M53</f>
        <v>2.2969436000000005</v>
      </c>
      <c r="X53" s="12">
        <f>W53/'2022a_250824_2329'!M53</f>
        <v>0.44530571307719169</v>
      </c>
    </row>
    <row r="54" spans="1:24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148</v>
      </c>
      <c r="K54" t="s">
        <v>23</v>
      </c>
      <c r="L54">
        <v>957</v>
      </c>
      <c r="M54" s="4">
        <v>6.3991318000000001</v>
      </c>
      <c r="N54" s="4">
        <v>229.13806953731705</v>
      </c>
      <c r="O54" s="4">
        <v>-1.3549504515543282E-2</v>
      </c>
      <c r="P54" s="1" t="str">
        <f>HYPERLINK(".\sm_car_250825_2318\sm_car_250825_2318_053_Ca132TrN_MaWOT_DrSt_ode23t.png","figure")</f>
        <v>figure</v>
      </c>
      <c r="Q54" t="s">
        <v>15</v>
      </c>
      <c r="U54">
        <f>L54-'2022a_250824_2329'!L54</f>
        <v>610</v>
      </c>
      <c r="V54" s="12">
        <f>U54/'2022a_250824_2329'!L54</f>
        <v>1.7579250720461095</v>
      </c>
      <c r="W54">
        <f>M54-'2022a_250824_2329'!M54</f>
        <v>2.2445089000000005</v>
      </c>
      <c r="X54" s="12">
        <f>W54/'2022a_250824_2329'!M54</f>
        <v>0.54024371261228077</v>
      </c>
    </row>
    <row r="55" spans="1:24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148</v>
      </c>
      <c r="K55" t="s">
        <v>23</v>
      </c>
      <c r="L55">
        <v>1214</v>
      </c>
      <c r="M55" s="4">
        <v>7.5111968999999998</v>
      </c>
      <c r="N55" s="4">
        <v>70.591383966589063</v>
      </c>
      <c r="O55" s="4">
        <v>-0.53037538116202287</v>
      </c>
      <c r="P55" s="1" t="str">
        <f>HYPERLINK(".\sm_car_250825_2318\sm_car_250825_2318_054_Ca132TrN_MaLSS_DrSt_ode23t.png","figure")</f>
        <v>figure</v>
      </c>
      <c r="Q55" t="s">
        <v>15</v>
      </c>
      <c r="U55">
        <f>L55-'2022a_250824_2329'!L55</f>
        <v>721</v>
      </c>
      <c r="V55" s="12">
        <f>U55/'2022a_250824_2329'!L55</f>
        <v>1.462474645030426</v>
      </c>
      <c r="W55">
        <f>M55-'2022a_250824_2329'!M55</f>
        <v>2.4526142999999996</v>
      </c>
      <c r="X55" s="12">
        <f>W55/'2022a_250824_2329'!M55</f>
        <v>0.48484219670545647</v>
      </c>
    </row>
    <row r="56" spans="1:24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148</v>
      </c>
      <c r="K56" t="s">
        <v>23</v>
      </c>
      <c r="L56">
        <v>978</v>
      </c>
      <c r="M56" s="4">
        <v>6.6809019000000003</v>
      </c>
      <c r="N56" s="4">
        <v>229.15725516946034</v>
      </c>
      <c r="O56" s="4">
        <v>-1.6445218017395295E-2</v>
      </c>
      <c r="P56" s="1" t="str">
        <f>HYPERLINK(".\sm_car_250825_2318\sm_car_250825_2318_055_Ca133TrN_MaWOT_DrSt_ode23t.png","figure")</f>
        <v>figure</v>
      </c>
      <c r="Q56" t="s">
        <v>15</v>
      </c>
      <c r="U56">
        <f>L56-'2022a_250824_2329'!L56</f>
        <v>626</v>
      </c>
      <c r="V56" s="12">
        <f>U56/'2022a_250824_2329'!L56</f>
        <v>1.7784090909090908</v>
      </c>
      <c r="W56">
        <f>M56-'2022a_250824_2329'!M56</f>
        <v>2.4743225000000004</v>
      </c>
      <c r="X56" s="12">
        <f>W56/'2022a_250824_2329'!M56</f>
        <v>0.58820297080330886</v>
      </c>
    </row>
    <row r="57" spans="1:24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148</v>
      </c>
      <c r="K57" t="s">
        <v>23</v>
      </c>
      <c r="L57">
        <v>1224</v>
      </c>
      <c r="M57" s="4">
        <v>7.8800983999999996</v>
      </c>
      <c r="N57" s="4">
        <v>70.608212828927861</v>
      </c>
      <c r="O57" s="4">
        <v>-0.52888318430007164</v>
      </c>
      <c r="P57" s="1" t="str">
        <f>HYPERLINK(".\sm_car_250825_2318\sm_car_250825_2318_056_Ca133TrN_MaLSS_DrSt_ode23t.png","figure")</f>
        <v>figure</v>
      </c>
      <c r="Q57" t="s">
        <v>15</v>
      </c>
      <c r="U57">
        <f>L57-'2022a_250824_2329'!L57</f>
        <v>734</v>
      </c>
      <c r="V57" s="12">
        <f>U57/'2022a_250824_2329'!L57</f>
        <v>1.4979591836734694</v>
      </c>
      <c r="W57">
        <f>M57-'2022a_250824_2329'!M57</f>
        <v>2.6116824999999997</v>
      </c>
      <c r="X57" s="12">
        <f>W57/'2022a_250824_2329'!M57</f>
        <v>0.49572443587834431</v>
      </c>
    </row>
    <row r="58" spans="1:24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148</v>
      </c>
      <c r="K58" t="s">
        <v>23</v>
      </c>
      <c r="L58">
        <v>957</v>
      </c>
      <c r="M58" s="4">
        <v>6.3157464000000001</v>
      </c>
      <c r="N58" s="4">
        <v>229.16371780071191</v>
      </c>
      <c r="O58" s="4">
        <v>-1.6151558043629763E-2</v>
      </c>
      <c r="P58" s="1" t="str">
        <f>HYPERLINK(".\sm_car_250825_2318\sm_car_250825_2318_057_Ca134TrN_MaWOT_DrSt_ode23t.png","figure")</f>
        <v>figure</v>
      </c>
      <c r="Q58" t="s">
        <v>15</v>
      </c>
      <c r="U58">
        <f>L58-'2022a_250824_2329'!L58</f>
        <v>607</v>
      </c>
      <c r="V58" s="12">
        <f>U58/'2022a_250824_2329'!L58</f>
        <v>1.7342857142857142</v>
      </c>
      <c r="W58">
        <f>M58-'2022a_250824_2329'!M58</f>
        <v>2.2259574999999998</v>
      </c>
      <c r="X58" s="12">
        <f>W58/'2022a_250824_2329'!M58</f>
        <v>0.54427197941683481</v>
      </c>
    </row>
    <row r="59" spans="1:24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148</v>
      </c>
      <c r="K59" t="s">
        <v>23</v>
      </c>
      <c r="L59">
        <v>1279</v>
      </c>
      <c r="M59" s="4">
        <v>7.7170363000000002</v>
      </c>
      <c r="N59" s="4">
        <v>70.607337700360873</v>
      </c>
      <c r="O59" s="4">
        <v>-0.52881080390809199</v>
      </c>
      <c r="P59" s="1" t="str">
        <f>HYPERLINK(".\sm_car_250825_2318\sm_car_250825_2318_058_Ca134TrN_MaLSS_DrSt_ode23t.png","figure")</f>
        <v>figure</v>
      </c>
      <c r="Q59" t="s">
        <v>15</v>
      </c>
      <c r="U59">
        <f>L59-'2022a_250824_2329'!L59</f>
        <v>783</v>
      </c>
      <c r="V59" s="12">
        <f>U59/'2022a_250824_2329'!L59</f>
        <v>1.5786290322580645</v>
      </c>
      <c r="W59">
        <f>M59-'2022a_250824_2329'!M59</f>
        <v>2.6380458000000004</v>
      </c>
      <c r="X59" s="12">
        <f>W59/'2022a_250824_2329'!M59</f>
        <v>0.51940357045361685</v>
      </c>
    </row>
    <row r="60" spans="1:24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148</v>
      </c>
      <c r="K60" t="s">
        <v>23</v>
      </c>
      <c r="L60">
        <v>850</v>
      </c>
      <c r="M60" s="4">
        <v>5.8647768999999998</v>
      </c>
      <c r="N60" s="4">
        <v>229.16131235423009</v>
      </c>
      <c r="O60" s="4">
        <v>-1.6424029432829154E-2</v>
      </c>
      <c r="P60" s="1" t="str">
        <f>HYPERLINK(".\sm_car_250825_2318\sm_car_250825_2318_059_Ca135TrN_MaWOT_DrSt_ode23t.png","figure")</f>
        <v>figure</v>
      </c>
      <c r="Q60" t="s">
        <v>15</v>
      </c>
      <c r="U60">
        <f>L60-'2022a_250824_2329'!L60</f>
        <v>501</v>
      </c>
      <c r="V60" s="12">
        <f>U60/'2022a_250824_2329'!L60</f>
        <v>1.4355300859598854</v>
      </c>
      <c r="W60">
        <f>M60-'2022a_250824_2329'!M60</f>
        <v>1.6753549999999997</v>
      </c>
      <c r="X60" s="12">
        <f>W60/'2022a_250824_2329'!M60</f>
        <v>0.39990123697018903</v>
      </c>
    </row>
    <row r="61" spans="1:24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148</v>
      </c>
      <c r="K61" t="s">
        <v>23</v>
      </c>
      <c r="L61">
        <v>1222</v>
      </c>
      <c r="M61" s="4">
        <v>7.5215158000000004</v>
      </c>
      <c r="N61" s="4">
        <v>70.605865209223197</v>
      </c>
      <c r="O61" s="4">
        <v>-0.52879674679653221</v>
      </c>
      <c r="P61" s="1" t="str">
        <f>HYPERLINK(".\sm_car_250825_2318\sm_car_250825_2318_060_Ca135TrN_MaLSS_DrSt_ode23t.png","figure")</f>
        <v>figure</v>
      </c>
      <c r="Q61" t="s">
        <v>15</v>
      </c>
      <c r="U61">
        <f>L61-'2022a_250824_2329'!L61</f>
        <v>732</v>
      </c>
      <c r="V61" s="12">
        <f>U61/'2022a_250824_2329'!L61</f>
        <v>1.4938775510204081</v>
      </c>
      <c r="W61">
        <f>M61-'2022a_250824_2329'!M61</f>
        <v>2.3254068000000006</v>
      </c>
      <c r="X61" s="12">
        <f>W61/'2022a_250824_2329'!M61</f>
        <v>0.44752848718146609</v>
      </c>
    </row>
    <row r="62" spans="1:24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148</v>
      </c>
      <c r="K62" t="s">
        <v>23</v>
      </c>
      <c r="L62">
        <v>991</v>
      </c>
      <c r="M62" s="4">
        <v>7.3967508000000004</v>
      </c>
      <c r="N62" s="4">
        <v>229.18768893571306</v>
      </c>
      <c r="O62" s="4">
        <v>4.9627969999036466E-2</v>
      </c>
      <c r="P62" s="1" t="str">
        <f>HYPERLINK(".\sm_car_250825_2318\sm_car_250825_2318_061_Ca136TrN_MaWOT_DrSt_ode23t.png","figure")</f>
        <v>figure</v>
      </c>
      <c r="Q62" t="s">
        <v>15</v>
      </c>
      <c r="U62">
        <f>L62-'2022a_250824_2329'!L62</f>
        <v>611</v>
      </c>
      <c r="V62" s="12">
        <f>U62/'2022a_250824_2329'!L62</f>
        <v>1.6078947368421053</v>
      </c>
      <c r="W62">
        <f>M62-'2022a_250824_2329'!M62</f>
        <v>1.4600441000000002</v>
      </c>
      <c r="X62" s="12">
        <f>W62/'2022a_250824_2329'!M62</f>
        <v>0.24593502320065772</v>
      </c>
    </row>
    <row r="63" spans="1:24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148</v>
      </c>
      <c r="K63" t="s">
        <v>23</v>
      </c>
      <c r="L63">
        <v>1213</v>
      </c>
      <c r="M63" s="4">
        <v>8.7947202999999998</v>
      </c>
      <c r="N63" s="4">
        <v>70.610235014972645</v>
      </c>
      <c r="O63" s="4">
        <v>-0.52439229439082391</v>
      </c>
      <c r="P63" s="1" t="str">
        <f>HYPERLINK(".\sm_car_250825_2318\sm_car_250825_2318_062_Ca136TrN_MaLSS_DrSt_ode23t.png","figure")</f>
        <v>figure</v>
      </c>
      <c r="Q63" t="s">
        <v>15</v>
      </c>
      <c r="U63">
        <f>L63-'2022a_250824_2329'!L63</f>
        <v>710</v>
      </c>
      <c r="V63" s="12">
        <f>U63/'2022a_250824_2329'!L63</f>
        <v>1.411530815109344</v>
      </c>
      <c r="W63">
        <f>M63-'2022a_250824_2329'!M63</f>
        <v>2.3471203999999997</v>
      </c>
      <c r="X63" s="12">
        <f>W63/'2022a_250824_2329'!M63</f>
        <v>0.36403009436115902</v>
      </c>
    </row>
    <row r="64" spans="1:24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148</v>
      </c>
      <c r="K64" t="s">
        <v>23</v>
      </c>
      <c r="L64">
        <v>795</v>
      </c>
      <c r="M64" s="4">
        <v>4.8918121000000001</v>
      </c>
      <c r="N64" s="4">
        <v>230.19598737351745</v>
      </c>
      <c r="O64" s="4">
        <v>0.13771282388874045</v>
      </c>
      <c r="P64" s="1" t="str">
        <f>HYPERLINK(".\sm_car_250825_2318\sm_car_250825_2318_063_Ca137TrN_MaWOT_DrSt_ode23t.png","figure")</f>
        <v>figure</v>
      </c>
      <c r="Q64" t="s">
        <v>15</v>
      </c>
      <c r="U64">
        <f>L64-'2022a_250824_2329'!L64</f>
        <v>465</v>
      </c>
      <c r="V64" s="12">
        <f>U64/'2022a_250824_2329'!L64</f>
        <v>1.4090909090909092</v>
      </c>
      <c r="W64">
        <f>M64-'2022a_250824_2329'!M64</f>
        <v>1.1586425</v>
      </c>
      <c r="X64" s="12">
        <f>W64/'2022a_250824_2329'!M64</f>
        <v>0.31036428133348132</v>
      </c>
    </row>
    <row r="65" spans="1:24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148</v>
      </c>
      <c r="K65" t="s">
        <v>23</v>
      </c>
      <c r="L65">
        <v>1205</v>
      </c>
      <c r="M65" s="4">
        <v>6.5946227000000004</v>
      </c>
      <c r="N65" s="4">
        <v>70.897071189532099</v>
      </c>
      <c r="O65" s="4">
        <v>-0.50707637012763951</v>
      </c>
      <c r="P65" s="1" t="str">
        <f>HYPERLINK(".\sm_car_250825_2318\sm_car_250825_2318_064_Ca137TrN_MaLSS_DrSt_ode23t.png","figure")</f>
        <v>figure</v>
      </c>
      <c r="Q65" t="s">
        <v>15</v>
      </c>
      <c r="U65">
        <f>L65-'2022a_250824_2329'!L65</f>
        <v>729</v>
      </c>
      <c r="V65" s="12">
        <f>U65/'2022a_250824_2329'!L65</f>
        <v>1.5315126050420169</v>
      </c>
      <c r="W65">
        <f>M65-'2022a_250824_2329'!M65</f>
        <v>2.2367669000000001</v>
      </c>
      <c r="X65" s="12">
        <f>W65/'2022a_250824_2329'!M65</f>
        <v>0.51327235288510464</v>
      </c>
    </row>
    <row r="66" spans="1:24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148</v>
      </c>
      <c r="K66" t="s">
        <v>23</v>
      </c>
      <c r="L66">
        <v>800</v>
      </c>
      <c r="M66" s="4">
        <v>6.6770797000000002</v>
      </c>
      <c r="N66" s="4">
        <v>230.05671220492303</v>
      </c>
      <c r="O66" s="4">
        <v>0.14680701599288362</v>
      </c>
      <c r="P66" s="1" t="str">
        <f>HYPERLINK(".\sm_car_250825_2318\sm_car_250825_2318_065_Ca138TrN_MaWOT_DrSt_ode23t.png","figure")</f>
        <v>figure</v>
      </c>
      <c r="Q66" t="s">
        <v>15</v>
      </c>
      <c r="U66">
        <f>L66-'2022a_250824_2329'!L66</f>
        <v>468</v>
      </c>
      <c r="V66" s="12">
        <f>U66/'2022a_250824_2329'!L66</f>
        <v>1.4096385542168675</v>
      </c>
      <c r="W66">
        <f>M66-'2022a_250824_2329'!M66</f>
        <v>1.0990535000000001</v>
      </c>
      <c r="X66" s="12">
        <f>W66/'2022a_250824_2329'!M66</f>
        <v>0.19703268873136526</v>
      </c>
    </row>
    <row r="67" spans="1:24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148</v>
      </c>
      <c r="K67" t="s">
        <v>23</v>
      </c>
      <c r="L67">
        <v>1238</v>
      </c>
      <c r="M67" s="4">
        <v>8.9172352000000004</v>
      </c>
      <c r="N67" s="4">
        <v>70.770055083767843</v>
      </c>
      <c r="O67" s="4">
        <v>-0.81791672089000889</v>
      </c>
      <c r="P67" s="1" t="str">
        <f>HYPERLINK(".\sm_car_250825_2318\sm_car_250825_2318_066_Ca138TrN_MaLSS_DrSt_ode23t.png","figure")</f>
        <v>figure</v>
      </c>
      <c r="Q67" t="s">
        <v>15</v>
      </c>
      <c r="U67">
        <f>L67-'2022a_250824_2329'!L67</f>
        <v>750</v>
      </c>
      <c r="V67" s="12">
        <f>U67/'2022a_250824_2329'!L67</f>
        <v>1.5368852459016393</v>
      </c>
      <c r="W67">
        <f>M67-'2022a_250824_2329'!M67</f>
        <v>2.9575775000000002</v>
      </c>
      <c r="X67" s="12">
        <f>W67/'2022a_250824_2329'!M67</f>
        <v>0.49626633757841498</v>
      </c>
    </row>
    <row r="68" spans="1:24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148</v>
      </c>
      <c r="K68" t="s">
        <v>23</v>
      </c>
      <c r="L68">
        <v>1007</v>
      </c>
      <c r="M68" s="4">
        <v>23.491891299999999</v>
      </c>
      <c r="N68" s="4">
        <v>402.18661463003696</v>
      </c>
      <c r="O68" s="4">
        <v>1.6707631601761008</v>
      </c>
      <c r="P68" s="1" t="str">
        <f>HYPERLINK(".\sm_car_250825_2318\sm_car_250825_2318_067_Ca139TrN_MaWOT_DrSt_ode23t.png","figure")</f>
        <v>figure</v>
      </c>
      <c r="Q68" t="s">
        <v>15</v>
      </c>
      <c r="U68">
        <f>L68-'2022a_250824_2329'!L68</f>
        <v>337</v>
      </c>
      <c r="V68" s="12">
        <f>U68/'2022a_250824_2329'!L68</f>
        <v>0.5029850746268657</v>
      </c>
      <c r="W68">
        <f>M68-'2022a_250824_2329'!M68</f>
        <v>-0.13195020000000213</v>
      </c>
      <c r="X68" s="12">
        <f>W68/'2022a_250824_2329'!M68</f>
        <v>-5.585467545572642E-3</v>
      </c>
    </row>
    <row r="69" spans="1:24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148</v>
      </c>
      <c r="K69" t="s">
        <v>23</v>
      </c>
      <c r="L69">
        <v>1067</v>
      </c>
      <c r="M69" s="4">
        <v>14.493582099999999</v>
      </c>
      <c r="N69" s="4">
        <v>153.02154057025837</v>
      </c>
      <c r="O69" s="4">
        <v>-0.57590229777563062</v>
      </c>
      <c r="P69" s="1" t="str">
        <f>HYPERLINK(".\sm_car_250825_2318\sm_car_250825_2318_068_Ca139TrN_MaLSS_DrSt_ode23t.png","figure")</f>
        <v>figure</v>
      </c>
      <c r="Q69" t="s">
        <v>15</v>
      </c>
      <c r="U69">
        <f>L69-'2022a_250824_2329'!L69</f>
        <v>433</v>
      </c>
      <c r="V69" s="12">
        <f>U69/'2022a_250824_2329'!L69</f>
        <v>0.68296529968454256</v>
      </c>
      <c r="W69">
        <f>M69-'2022a_250824_2329'!M69</f>
        <v>-1.0633628000000002</v>
      </c>
      <c r="X69" s="12">
        <f>W69/'2022a_250824_2329'!M69</f>
        <v>-6.8352932200717642E-2</v>
      </c>
    </row>
    <row r="70" spans="1:24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148</v>
      </c>
      <c r="K70" t="s">
        <v>23</v>
      </c>
      <c r="L70">
        <v>2707</v>
      </c>
      <c r="M70" s="4">
        <v>37.065888899999997</v>
      </c>
      <c r="N70" s="4">
        <v>402.33218988106711</v>
      </c>
      <c r="O70" s="4">
        <v>1.6718423230670081</v>
      </c>
      <c r="P70" s="1" t="str">
        <f>HYPERLINK(".\sm_car_250825_2318\sm_car_250825_2318_069_Ca141TrN_MaWOT_DrSt_ode23t.png","figure")</f>
        <v>figure</v>
      </c>
      <c r="Q70" t="s">
        <v>15</v>
      </c>
      <c r="U70">
        <f>L70-'2022a_250824_2329'!L70</f>
        <v>772</v>
      </c>
      <c r="V70" s="12">
        <f>U70/'2022a_250824_2329'!L70</f>
        <v>0.39896640826873386</v>
      </c>
      <c r="W70">
        <f>M70-'2022a_250824_2329'!M70</f>
        <v>2.8444408999999951</v>
      </c>
      <c r="X70" s="12">
        <f>W70/'2022a_250824_2329'!M70</f>
        <v>8.3118659970203332E-2</v>
      </c>
    </row>
    <row r="71" spans="1:24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148</v>
      </c>
      <c r="K71" t="s">
        <v>23</v>
      </c>
      <c r="L71">
        <v>2712</v>
      </c>
      <c r="M71" s="4">
        <v>22.8173812</v>
      </c>
      <c r="N71" s="4">
        <v>153.10456362890847</v>
      </c>
      <c r="O71" s="4">
        <v>-0.575748286873772</v>
      </c>
      <c r="P71" s="1" t="str">
        <f>HYPERLINK(".\sm_car_250825_2318\sm_car_250825_2318_070_Ca141TrN_MaLSS_DrSt_ode23t.png","figure")</f>
        <v>figure</v>
      </c>
      <c r="Q71" t="s">
        <v>15</v>
      </c>
      <c r="U71">
        <f>L71-'2022a_250824_2329'!L71</f>
        <v>876</v>
      </c>
      <c r="V71" s="12">
        <f>U71/'2022a_250824_2329'!L71</f>
        <v>0.47712418300653597</v>
      </c>
      <c r="W71">
        <f>M71-'2022a_250824_2329'!M71</f>
        <v>-7.4001500000001386E-2</v>
      </c>
      <c r="X71" s="12">
        <f>W71/'2022a_250824_2329'!M71</f>
        <v>-3.232723028128894E-3</v>
      </c>
    </row>
    <row r="72" spans="1:24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148</v>
      </c>
      <c r="K72" t="s">
        <v>23</v>
      </c>
      <c r="L72">
        <v>641</v>
      </c>
      <c r="M72" s="4">
        <v>15.064521299999999</v>
      </c>
      <c r="N72" s="4">
        <v>62.418443059786298</v>
      </c>
      <c r="O72" s="4">
        <v>1.9803939686048447E-2</v>
      </c>
      <c r="P72" s="1" t="str">
        <f>HYPERLINK(".\sm_car_250825_2318\sm_car_250825_2318_071_Ca143TrN_MaWOT_DrSt_ode23t.png","figure")</f>
        <v>figure</v>
      </c>
      <c r="Q72" t="s">
        <v>15</v>
      </c>
      <c r="U72">
        <f>L72-'2022a_250824_2329'!L72</f>
        <v>307</v>
      </c>
      <c r="V72" s="12">
        <f>U72/'2022a_250824_2329'!L72</f>
        <v>0.91916167664670656</v>
      </c>
      <c r="W72">
        <f>M72-'2022a_250824_2329'!M72</f>
        <v>-2.0083723000000013</v>
      </c>
      <c r="X72" s="12">
        <f>W72/'2022a_250824_2329'!M72</f>
        <v>-0.11763514416794592</v>
      </c>
    </row>
    <row r="73" spans="1:24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148</v>
      </c>
      <c r="K73" t="s">
        <v>23</v>
      </c>
      <c r="L73">
        <v>1042</v>
      </c>
      <c r="M73" s="4">
        <v>20.737122400000001</v>
      </c>
      <c r="N73" s="4">
        <v>24.929960800052438</v>
      </c>
      <c r="O73" s="4">
        <v>-5.249900173620109E-2</v>
      </c>
      <c r="P73" s="1" t="str">
        <f>HYPERLINK(".\sm_car_250825_2318\sm_car_250825_2318_072_Ca143TrN_MaLSS_DrSt_ode23t.png","figure")</f>
        <v>figure</v>
      </c>
      <c r="Q73" t="s">
        <v>15</v>
      </c>
      <c r="U73">
        <f>L73-'2022a_250824_2329'!L73</f>
        <v>591</v>
      </c>
      <c r="V73" s="12">
        <f>U73/'2022a_250824_2329'!L73</f>
        <v>1.310421286031042</v>
      </c>
      <c r="W73">
        <f>M73-'2022a_250824_2329'!M73</f>
        <v>-0.50003279999999961</v>
      </c>
      <c r="X73" s="12">
        <f>W73/'2022a_250824_2329'!M73</f>
        <v>-2.3545187445821351E-2</v>
      </c>
    </row>
    <row r="74" spans="1:24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148</v>
      </c>
      <c r="K74" t="s">
        <v>23</v>
      </c>
      <c r="L74">
        <v>649</v>
      </c>
      <c r="M74" s="4">
        <v>12.990481000000001</v>
      </c>
      <c r="N74" s="4">
        <v>77.01905916210022</v>
      </c>
      <c r="O74" s="4">
        <v>0.24425874593763575</v>
      </c>
      <c r="P74" s="1" t="str">
        <f>HYPERLINK(".\sm_car_250825_2318\sm_car_250825_2318_073_Ca144TrN_MaWOT_DrSt_ode23t.png","figure")</f>
        <v>figure</v>
      </c>
      <c r="Q74" t="s">
        <v>15</v>
      </c>
      <c r="U74">
        <f>L74-'2022a_250824_2329'!L74</f>
        <v>312</v>
      </c>
      <c r="V74" s="12">
        <f>U74/'2022a_250824_2329'!L74</f>
        <v>0.9258160237388724</v>
      </c>
      <c r="W74">
        <f>M74-'2022a_250824_2329'!M74</f>
        <v>1.131578600000001</v>
      </c>
      <c r="X74" s="12">
        <f>W74/'2022a_250824_2329'!M74</f>
        <v>9.5420179864200677E-2</v>
      </c>
    </row>
    <row r="75" spans="1:24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148</v>
      </c>
      <c r="K75" t="s">
        <v>23</v>
      </c>
      <c r="L75">
        <v>1116</v>
      </c>
      <c r="M75" s="4">
        <v>14.693053799999999</v>
      </c>
      <c r="N75" s="4">
        <v>35.483130746909424</v>
      </c>
      <c r="O75" s="4">
        <v>-3.1962529040532636E-2</v>
      </c>
      <c r="P75" s="1" t="str">
        <f>HYPERLINK(".\sm_car_250825_2318\sm_car_250825_2318_074_Ca144TrN_MaLSS_DrSt_ode23t.png","figure")</f>
        <v>figure</v>
      </c>
      <c r="Q75" t="s">
        <v>15</v>
      </c>
      <c r="U75">
        <f>L75-'2022a_250824_2329'!L75</f>
        <v>660</v>
      </c>
      <c r="V75" s="12">
        <f>U75/'2022a_250824_2329'!L75</f>
        <v>1.4473684210526316</v>
      </c>
      <c r="W75">
        <f>M75-'2022a_250824_2329'!M75</f>
        <v>0.13120930000000008</v>
      </c>
      <c r="X75" s="12">
        <f>W75/'2022a_250824_2329'!M75</f>
        <v>9.0104862745924857E-3</v>
      </c>
    </row>
    <row r="76" spans="1:24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148</v>
      </c>
      <c r="K76" t="s">
        <v>23</v>
      </c>
      <c r="L76">
        <v>3405</v>
      </c>
      <c r="M76" s="4">
        <v>32.221078599999998</v>
      </c>
      <c r="N76" s="4">
        <v>396.6067793057818</v>
      </c>
      <c r="O76" s="4">
        <v>-13.933028722382344</v>
      </c>
      <c r="P76" s="1" t="str">
        <f>HYPERLINK(".\sm_car_250825_2318\sm_car_250825_2318_075_Ca147TrN_MaWOT_DrSt_ode23t.png","figure")</f>
        <v>figure</v>
      </c>
      <c r="Q76" t="s">
        <v>15</v>
      </c>
      <c r="U76">
        <f>L76-'2022a_250824_2329'!L76</f>
        <v>981</v>
      </c>
      <c r="V76" s="12">
        <f>U76/'2022a_250824_2329'!L76</f>
        <v>0.40470297029702973</v>
      </c>
      <c r="W76">
        <f>M76-'2022a_250824_2329'!M76</f>
        <v>7.1423633999999971</v>
      </c>
      <c r="X76" s="12">
        <f>W76/'2022a_250824_2329'!M76</f>
        <v>0.28479781930774495</v>
      </c>
    </row>
    <row r="77" spans="1:24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148</v>
      </c>
      <c r="K77" t="s">
        <v>23</v>
      </c>
      <c r="L77">
        <v>2181</v>
      </c>
      <c r="M77" s="4">
        <v>20.771893899999998</v>
      </c>
      <c r="N77" s="4">
        <v>150.40847067131602</v>
      </c>
      <c r="O77" s="4">
        <v>-2.1673713683064291</v>
      </c>
      <c r="P77" s="1" t="str">
        <f>HYPERLINK(".\sm_car_250825_2318\sm_car_250825_2318_076_Ca147TrN_MaLSS_DrSt_ode23t.png","figure")</f>
        <v>figure</v>
      </c>
      <c r="Q77" t="s">
        <v>15</v>
      </c>
      <c r="U77">
        <f>L77-'2022a_250824_2329'!L77</f>
        <v>878</v>
      </c>
      <c r="V77" s="12">
        <f>U77/'2022a_250824_2329'!L77</f>
        <v>0.67382962394474288</v>
      </c>
      <c r="W77">
        <f>M77-'2022a_250824_2329'!M77</f>
        <v>4.9816446999999986</v>
      </c>
      <c r="X77" s="12">
        <f>W77/'2022a_250824_2329'!M77</f>
        <v>0.31548866879187687</v>
      </c>
    </row>
    <row r="78" spans="1:24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148</v>
      </c>
      <c r="K78" t="s">
        <v>23</v>
      </c>
      <c r="L78">
        <v>526</v>
      </c>
      <c r="M78" s="4">
        <v>8.5744713000000008</v>
      </c>
      <c r="N78" s="4">
        <v>229.68164645738483</v>
      </c>
      <c r="O78" s="4">
        <v>5.6822386303377239E-3</v>
      </c>
      <c r="P78" s="1" t="str">
        <f>HYPERLINK(".\sm_car_250825_2318\sm_car_250825_2318_077_Ca215TrN_MaWOT_DrSt_ode23t.png","figure")</f>
        <v>figure</v>
      </c>
      <c r="Q78" t="s">
        <v>15</v>
      </c>
      <c r="U78">
        <f>L78-'2022a_250824_2329'!L78</f>
        <v>220</v>
      </c>
      <c r="V78" s="12">
        <f>U78/'2022a_250824_2329'!L78</f>
        <v>0.71895424836601307</v>
      </c>
      <c r="W78">
        <f>M78-'2022a_250824_2329'!M78</f>
        <v>0.95034130000000072</v>
      </c>
      <c r="X78" s="12">
        <f>W78/'2022a_250824_2329'!M78</f>
        <v>0.12464914685347715</v>
      </c>
    </row>
    <row r="79" spans="1:24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148</v>
      </c>
      <c r="K79" t="s">
        <v>23</v>
      </c>
      <c r="L79">
        <v>1148</v>
      </c>
      <c r="M79" s="4">
        <v>11.906401300000001</v>
      </c>
      <c r="N79" s="4">
        <v>81.279050535775028</v>
      </c>
      <c r="O79" s="4">
        <v>-0.22199641238042456</v>
      </c>
      <c r="P79" s="1" t="str">
        <f>HYPERLINK(".\sm_car_250825_2318\sm_car_250825_2318_078_Ca215TrN_MaLSS_DrSt_ode23t.png","figure")</f>
        <v>figure</v>
      </c>
      <c r="Q79" t="s">
        <v>15</v>
      </c>
      <c r="U79">
        <f>L79-'2022a_250824_2329'!L79</f>
        <v>654</v>
      </c>
      <c r="V79" s="12">
        <f>U79/'2022a_250824_2329'!L79</f>
        <v>1.3238866396761133</v>
      </c>
      <c r="W79">
        <f>M79-'2022a_250824_2329'!M79</f>
        <v>4.0374549000000011</v>
      </c>
      <c r="X79" s="12">
        <f>W79/'2022a_250824_2329'!M79</f>
        <v>0.51308710147015379</v>
      </c>
    </row>
    <row r="80" spans="1:24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26</v>
      </c>
      <c r="H80" t="s">
        <v>21</v>
      </c>
      <c r="I80" t="s">
        <v>22</v>
      </c>
      <c r="J80" t="s">
        <v>148</v>
      </c>
      <c r="K80" t="s">
        <v>23</v>
      </c>
      <c r="L80">
        <v>991</v>
      </c>
      <c r="M80" s="4">
        <v>6.4200480000000004</v>
      </c>
      <c r="N80" s="4">
        <v>229.91338932814355</v>
      </c>
      <c r="O80" s="4">
        <v>0.16993745896560858</v>
      </c>
      <c r="P80" s="1" t="str">
        <f>HYPERLINK(".\sm_car_250825_2318\sm_car_250825_2318_079_Ca218TrN_MaWOT_DrSt_ode23t.png","figure")</f>
        <v>figure</v>
      </c>
      <c r="Q80" t="s">
        <v>15</v>
      </c>
      <c r="U80">
        <f>L80-'2022a_250824_2329'!L80</f>
        <v>638</v>
      </c>
      <c r="V80" s="12">
        <f>U80/'2022a_250824_2329'!L80</f>
        <v>1.8073654390934843</v>
      </c>
      <c r="W80">
        <f>M80-'2022a_250824_2329'!M80</f>
        <v>2.0236588000000006</v>
      </c>
      <c r="X80" s="12">
        <f>W80/'2022a_250824_2329'!M80</f>
        <v>0.46030019362253022</v>
      </c>
    </row>
    <row r="81" spans="1:24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26</v>
      </c>
      <c r="H81" t="s">
        <v>21</v>
      </c>
      <c r="I81" t="s">
        <v>24</v>
      </c>
      <c r="J81" t="s">
        <v>148</v>
      </c>
      <c r="K81" t="s">
        <v>23</v>
      </c>
      <c r="L81">
        <v>1263</v>
      </c>
      <c r="M81" s="4">
        <v>7.9874017000000004</v>
      </c>
      <c r="N81" s="4">
        <v>70.802082625267474</v>
      </c>
      <c r="O81" s="4">
        <v>-0.53290907912413654</v>
      </c>
      <c r="P81" s="1" t="str">
        <f>HYPERLINK(".\sm_car_250825_2318\sm_car_250825_2318_080_Ca218TrN_MaLSS_DrSt_ode23t.png","figure")</f>
        <v>figure</v>
      </c>
      <c r="Q81" t="s">
        <v>15</v>
      </c>
      <c r="U81">
        <f>L81-'2022a_250824_2329'!L81</f>
        <v>771</v>
      </c>
      <c r="V81" s="12">
        <f>U81/'2022a_250824_2329'!L81</f>
        <v>1.5670731707317074</v>
      </c>
      <c r="W81">
        <f>M81-'2022a_250824_2329'!M81</f>
        <v>2.5866713000000008</v>
      </c>
      <c r="X81" s="12">
        <f>W81/'2022a_250824_2329'!M81</f>
        <v>0.47894842149498906</v>
      </c>
    </row>
    <row r="82" spans="1:24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26</v>
      </c>
      <c r="H82" t="s">
        <v>21</v>
      </c>
      <c r="I82" t="s">
        <v>22</v>
      </c>
      <c r="J82" t="s">
        <v>148</v>
      </c>
      <c r="K82" t="s">
        <v>23</v>
      </c>
      <c r="L82">
        <v>1033</v>
      </c>
      <c r="M82" s="4">
        <v>8.6071039000000003</v>
      </c>
      <c r="N82" s="4">
        <v>229.16782625157816</v>
      </c>
      <c r="O82" s="4">
        <v>0.17109485506770492</v>
      </c>
      <c r="P82" s="1" t="str">
        <f>HYPERLINK(".\sm_car_250825_2318\sm_car_250825_2318_081_Ca219TrN_MaWOT_DrSt_ode23t.png","figure")</f>
        <v>figure</v>
      </c>
      <c r="Q82" t="s">
        <v>15</v>
      </c>
      <c r="U82">
        <f>L82-'2022a_250824_2329'!L82</f>
        <v>654</v>
      </c>
      <c r="V82" s="12">
        <f>U82/'2022a_250824_2329'!L82</f>
        <v>1.725593667546174</v>
      </c>
      <c r="W82">
        <f>M82-'2022a_250824_2329'!M82</f>
        <v>1.9182537000000002</v>
      </c>
      <c r="X82" s="12">
        <f>W82/'2022a_250824_2329'!M82</f>
        <v>0.28678377339052985</v>
      </c>
    </row>
    <row r="83" spans="1:24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26</v>
      </c>
      <c r="H83" t="s">
        <v>21</v>
      </c>
      <c r="I83" t="s">
        <v>24</v>
      </c>
      <c r="J83" t="s">
        <v>148</v>
      </c>
      <c r="K83" t="s">
        <v>23</v>
      </c>
      <c r="L83">
        <v>1188</v>
      </c>
      <c r="M83" s="4">
        <v>10.0864479</v>
      </c>
      <c r="N83" s="4">
        <v>70.600316843059176</v>
      </c>
      <c r="O83" s="4">
        <v>-0.55716334029742742</v>
      </c>
      <c r="P83" s="1" t="str">
        <f>HYPERLINK(".\sm_car_250825_2318\sm_car_250825_2318_082_Ca219TrN_MaLSS_DrSt_ode23t.png","figure")</f>
        <v>figure</v>
      </c>
      <c r="Q83" t="s">
        <v>15</v>
      </c>
      <c r="U83">
        <f>L83-'2022a_250824_2329'!L83</f>
        <v>666</v>
      </c>
      <c r="V83" s="12">
        <f>U83/'2022a_250824_2329'!L83</f>
        <v>1.2758620689655173</v>
      </c>
      <c r="W83">
        <f>M83-'2022a_250824_2329'!M83</f>
        <v>2.3184852999999999</v>
      </c>
      <c r="X83" s="12">
        <f>W83/'2022a_250824_2329'!M83</f>
        <v>0.29846761878075984</v>
      </c>
    </row>
    <row r="84" spans="1:24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26</v>
      </c>
      <c r="H84" t="s">
        <v>21</v>
      </c>
      <c r="I84" t="s">
        <v>22</v>
      </c>
      <c r="J84" t="s">
        <v>148</v>
      </c>
      <c r="K84" t="s">
        <v>23</v>
      </c>
      <c r="L84">
        <v>1585</v>
      </c>
      <c r="M84" s="4">
        <v>27.556447500000001</v>
      </c>
      <c r="N84" s="4">
        <v>223.36463635667704</v>
      </c>
      <c r="O84" s="4">
        <v>-1.2172609776823284</v>
      </c>
      <c r="P84" s="1" t="str">
        <f>HYPERLINK(".\sm_car_250825_2318\sm_car_250825_2318_083_Ca220TrN_MaWOT_DrSt_ode23t.png","figure")</f>
        <v>figure</v>
      </c>
      <c r="Q84" t="s">
        <v>15</v>
      </c>
      <c r="U84">
        <f>L84-'2022a_250824_2329'!L84</f>
        <v>642</v>
      </c>
      <c r="V84" s="12">
        <f>U84/'2022a_250824_2329'!L84</f>
        <v>0.6808059384941676</v>
      </c>
      <c r="W84">
        <f>M84-'2022a_250824_2329'!M84</f>
        <v>-2.8463952999999975</v>
      </c>
      <c r="X84" s="12">
        <f>W84/'2022a_250824_2329'!M84</f>
        <v>-9.3622669390639929E-2</v>
      </c>
    </row>
    <row r="85" spans="1:24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26</v>
      </c>
      <c r="H85" t="s">
        <v>21</v>
      </c>
      <c r="I85" t="s">
        <v>24</v>
      </c>
      <c r="J85" t="s">
        <v>148</v>
      </c>
      <c r="K85" t="s">
        <v>23</v>
      </c>
      <c r="L85">
        <v>1912</v>
      </c>
      <c r="M85" s="4">
        <v>33.865971299999998</v>
      </c>
      <c r="N85" s="4">
        <v>69.282260234835434</v>
      </c>
      <c r="O85" s="4">
        <v>-1.5009872317172506</v>
      </c>
      <c r="P85" s="1" t="str">
        <f>HYPERLINK(".\sm_car_250825_2318\sm_car_250825_2318_084_Ca220TrN_MaLSS_DrSt_ode23t.png","figure")</f>
        <v>figure</v>
      </c>
      <c r="Q85" t="s">
        <v>15</v>
      </c>
      <c r="U85">
        <f>L85-'2022a_250824_2329'!L85</f>
        <v>814</v>
      </c>
      <c r="V85" s="12">
        <f>U85/'2022a_250824_2329'!L85</f>
        <v>0.74134790528233152</v>
      </c>
      <c r="W85">
        <f>M85-'2022a_250824_2329'!M85</f>
        <v>-1.2415643000000003</v>
      </c>
      <c r="X85" s="12">
        <f>W85/'2022a_250824_2329'!M85</f>
        <v>-3.5364609870252479E-2</v>
      </c>
    </row>
    <row r="86" spans="1:24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148</v>
      </c>
      <c r="K86" t="s">
        <v>23</v>
      </c>
      <c r="L86">
        <v>1021</v>
      </c>
      <c r="M86" s="4">
        <v>10.295244500000001</v>
      </c>
      <c r="N86" s="4">
        <v>293.8190827587818</v>
      </c>
      <c r="O86" s="4">
        <v>-4.9407882234557651E-6</v>
      </c>
      <c r="P86" s="1" t="str">
        <f>HYPERLINK(".\sm_car_250825_2318\sm_car_250825_2318_085_Ca223TrN_MaWOT_DrSt_ode23t.png","figure")</f>
        <v>figure</v>
      </c>
      <c r="Q86" t="s">
        <v>15</v>
      </c>
      <c r="U86">
        <f>L86-'2022a_250824_2329'!L86</f>
        <v>557</v>
      </c>
      <c r="V86" s="12">
        <f>U86/'2022a_250824_2329'!L86</f>
        <v>1.2004310344827587</v>
      </c>
      <c r="W86">
        <f>M86-'2022a_250824_2329'!M86</f>
        <v>3.8844413000000007</v>
      </c>
      <c r="X86" s="12">
        <f>W86/'2022a_250824_2329'!M86</f>
        <v>0.60592115820994175</v>
      </c>
    </row>
    <row r="87" spans="1:24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148</v>
      </c>
      <c r="K87" t="s">
        <v>23</v>
      </c>
      <c r="L87">
        <v>1631</v>
      </c>
      <c r="M87" s="4">
        <v>13.039333900000001</v>
      </c>
      <c r="N87" s="4">
        <v>103.83043373218445</v>
      </c>
      <c r="O87" s="4">
        <v>-0.15680745183943015</v>
      </c>
      <c r="P87" s="1" t="str">
        <f>HYPERLINK(".\sm_car_250825_2318\sm_car_250825_2318_086_Ca223TrN_MaLSS_DrSt_ode23t.png","figure")</f>
        <v>figure</v>
      </c>
      <c r="Q87" t="s">
        <v>15</v>
      </c>
      <c r="U87">
        <f>L87-'2022a_250824_2329'!L87</f>
        <v>973</v>
      </c>
      <c r="V87" s="12">
        <f>U87/'2022a_250824_2329'!L87</f>
        <v>1.4787234042553192</v>
      </c>
      <c r="W87">
        <f>M87-'2022a_250824_2329'!M87</f>
        <v>6.2879451000000008</v>
      </c>
      <c r="X87" s="12">
        <f>W87/'2022a_250824_2329'!M87</f>
        <v>0.93135579749162145</v>
      </c>
    </row>
    <row r="88" spans="1:24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148</v>
      </c>
      <c r="K88" t="s">
        <v>23</v>
      </c>
      <c r="L88">
        <v>1031</v>
      </c>
      <c r="M88" s="4">
        <v>17.9390158</v>
      </c>
      <c r="N88" s="4">
        <v>405.75589084386462</v>
      </c>
      <c r="O88" s="4">
        <v>-12.12656808710955</v>
      </c>
      <c r="P88" s="1" t="str">
        <f>HYPERLINK(".\sm_car_250825_2318\sm_car_250825_2318_087_Ca227TrN_MaWOT_DrSt_ode23t.png","figure")</f>
        <v>figure</v>
      </c>
      <c r="Q88" t="s">
        <v>15</v>
      </c>
      <c r="U88">
        <f>L88-'2022a_250824_2329'!L88</f>
        <v>263</v>
      </c>
      <c r="V88" s="12">
        <f>U88/'2022a_250824_2329'!L88</f>
        <v>0.34244791666666669</v>
      </c>
      <c r="W88">
        <f>M88-'2022a_250824_2329'!M88</f>
        <v>-2.9279335999999994</v>
      </c>
      <c r="X88" s="12">
        <f>W88/'2022a_250824_2329'!M88</f>
        <v>-0.14031440551631372</v>
      </c>
    </row>
    <row r="89" spans="1:24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148</v>
      </c>
      <c r="K89" t="s">
        <v>23</v>
      </c>
      <c r="L89">
        <v>1152</v>
      </c>
      <c r="M89" s="4">
        <v>11.945707199999999</v>
      </c>
      <c r="N89" s="4">
        <v>154.55243787157116</v>
      </c>
      <c r="O89" s="4">
        <v>-2.872904204421256</v>
      </c>
      <c r="P89" s="1" t="str">
        <f>HYPERLINK(".\sm_car_250825_2318\sm_car_250825_2318_088_Ca227TrN_MaLSS_DrSt_ode23t.png","figure")</f>
        <v>figure</v>
      </c>
      <c r="Q89" t="s">
        <v>15</v>
      </c>
      <c r="U89">
        <f>L89-'2022a_250824_2329'!L89</f>
        <v>432</v>
      </c>
      <c r="V89" s="12">
        <f>U89/'2022a_250824_2329'!L89</f>
        <v>0.6</v>
      </c>
      <c r="W89">
        <f>M89-'2022a_250824_2329'!M89</f>
        <v>-0.88667580000000079</v>
      </c>
      <c r="X89" s="12">
        <f>W89/'2022a_250824_2329'!M89</f>
        <v>-6.9096737527238772E-2</v>
      </c>
    </row>
    <row r="90" spans="1:24" x14ac:dyDescent="0.25">
      <c r="A90">
        <v>89</v>
      </c>
      <c r="B90">
        <v>8</v>
      </c>
      <c r="C90" t="s">
        <v>16</v>
      </c>
      <c r="D90" t="s">
        <v>17</v>
      </c>
      <c r="E90" t="s">
        <v>49</v>
      </c>
      <c r="F90" t="s">
        <v>19</v>
      </c>
      <c r="G90" t="s">
        <v>20</v>
      </c>
      <c r="H90" t="s">
        <v>21</v>
      </c>
      <c r="I90" t="s">
        <v>22</v>
      </c>
      <c r="J90" t="s">
        <v>148</v>
      </c>
      <c r="K90" t="s">
        <v>23</v>
      </c>
      <c r="L90">
        <v>1029</v>
      </c>
      <c r="M90" s="4">
        <v>12.156031499999999</v>
      </c>
      <c r="N90" s="4">
        <v>230.12598458437773</v>
      </c>
      <c r="O90" s="4">
        <v>-8.3518052494199781E-3</v>
      </c>
      <c r="P90" s="1" t="str">
        <f>HYPERLINK(".\sm_car_250825_2318\sm_car_250825_2318_089_Ca008TrN_MaWOT_DrSt_ode23t_1.png","figure")</f>
        <v>figure</v>
      </c>
      <c r="Q90" t="s">
        <v>15</v>
      </c>
      <c r="U90">
        <f>L90-'2022a_250824_2329'!L90</f>
        <v>647</v>
      </c>
      <c r="V90" s="12">
        <f>U90/'2022a_250824_2329'!L90</f>
        <v>1.6937172774869109</v>
      </c>
      <c r="W90">
        <f>M90-'2022a_250824_2329'!M90</f>
        <v>2.7171259999999986</v>
      </c>
      <c r="X90" s="12">
        <f>W90/'2022a_250824_2329'!M90</f>
        <v>0.28786451988527678</v>
      </c>
    </row>
    <row r="91" spans="1:24" x14ac:dyDescent="0.25">
      <c r="A91">
        <v>90</v>
      </c>
      <c r="B91">
        <v>8</v>
      </c>
      <c r="C91" t="s">
        <v>16</v>
      </c>
      <c r="D91" t="s">
        <v>17</v>
      </c>
      <c r="E91" t="s">
        <v>49</v>
      </c>
      <c r="F91" t="s">
        <v>19</v>
      </c>
      <c r="G91" t="s">
        <v>20</v>
      </c>
      <c r="H91" t="s">
        <v>21</v>
      </c>
      <c r="I91" t="s">
        <v>24</v>
      </c>
      <c r="J91" t="s">
        <v>148</v>
      </c>
      <c r="K91" t="s">
        <v>23</v>
      </c>
      <c r="L91">
        <v>1320</v>
      </c>
      <c r="M91" s="4">
        <v>14.487375</v>
      </c>
      <c r="N91" s="4">
        <v>70.886476721208155</v>
      </c>
      <c r="O91" s="4">
        <v>-0.53403472573931166</v>
      </c>
      <c r="P91" s="1" t="str">
        <f>HYPERLINK(".\sm_car_250825_2318\sm_car_250825_2318_090_Ca008TrN_MaLSS_DrSt_ode23t_1.png","figure")</f>
        <v>figure</v>
      </c>
      <c r="Q91" t="s">
        <v>15</v>
      </c>
      <c r="U91">
        <f>L91-'2022a_250824_2329'!L91</f>
        <v>775</v>
      </c>
      <c r="V91" s="12">
        <f>U91/'2022a_250824_2329'!L91</f>
        <v>1.4220183486238531</v>
      </c>
      <c r="W91">
        <f>M91-'2022a_250824_2329'!M91</f>
        <v>2.5219552000000007</v>
      </c>
      <c r="X91" s="12">
        <f>W91/'2022a_250824_2329'!M91</f>
        <v>0.21077030661306181</v>
      </c>
    </row>
    <row r="92" spans="1:24" x14ac:dyDescent="0.25">
      <c r="A92">
        <v>91</v>
      </c>
      <c r="B92">
        <v>13</v>
      </c>
      <c r="C92" t="s">
        <v>16</v>
      </c>
      <c r="D92" t="s">
        <v>17</v>
      </c>
      <c r="E92" t="s">
        <v>49</v>
      </c>
      <c r="F92" t="s">
        <v>28</v>
      </c>
      <c r="G92" t="s">
        <v>25</v>
      </c>
      <c r="H92" t="s">
        <v>21</v>
      </c>
      <c r="I92" t="s">
        <v>22</v>
      </c>
      <c r="J92" t="s">
        <v>148</v>
      </c>
      <c r="K92" t="s">
        <v>23</v>
      </c>
      <c r="L92">
        <v>1695</v>
      </c>
      <c r="M92" s="4">
        <v>17.624855499999999</v>
      </c>
      <c r="N92" s="4">
        <v>229.13890302416235</v>
      </c>
      <c r="O92" s="4">
        <v>-1.6608871070980365E-2</v>
      </c>
      <c r="P92" s="1" t="str">
        <f>HYPERLINK(".\sm_car_250825_2318\sm_car_250825_2318_091_Ca013TrN_MaWOT_DrSt_ode23t_1.png","figure")</f>
        <v>figure</v>
      </c>
      <c r="Q92" t="s">
        <v>15</v>
      </c>
      <c r="U92">
        <f>L92-'2022a_250824_2329'!L92</f>
        <v>842</v>
      </c>
      <c r="V92" s="12">
        <f>U92/'2022a_250824_2329'!L92</f>
        <v>0.98710433763188743</v>
      </c>
      <c r="W92">
        <f>M92-'2022a_250824_2329'!M92</f>
        <v>5.7970625999999985</v>
      </c>
      <c r="X92" s="12">
        <f>W92/'2022a_250824_2329'!M92</f>
        <v>0.49012209200923684</v>
      </c>
    </row>
    <row r="93" spans="1:24" x14ac:dyDescent="0.25">
      <c r="A93">
        <v>92</v>
      </c>
      <c r="B93">
        <v>13</v>
      </c>
      <c r="C93" t="s">
        <v>16</v>
      </c>
      <c r="D93" t="s">
        <v>17</v>
      </c>
      <c r="E93" t="s">
        <v>49</v>
      </c>
      <c r="F93" t="s">
        <v>28</v>
      </c>
      <c r="G93" t="s">
        <v>25</v>
      </c>
      <c r="H93" t="s">
        <v>21</v>
      </c>
      <c r="I93" t="s">
        <v>24</v>
      </c>
      <c r="J93" t="s">
        <v>148</v>
      </c>
      <c r="K93" t="s">
        <v>23</v>
      </c>
      <c r="L93">
        <v>2001</v>
      </c>
      <c r="M93" s="4">
        <v>19.8182656</v>
      </c>
      <c r="N93" s="4">
        <v>70.590968342491166</v>
      </c>
      <c r="O93" s="4">
        <v>-0.53294107596199902</v>
      </c>
      <c r="P93" s="1" t="str">
        <f>HYPERLINK(".\sm_car_250825_2318\sm_car_250825_2318_092_Ca013TrN_MaLSS_DrSt_ode23t_1.png","figure")</f>
        <v>figure</v>
      </c>
      <c r="Q93" t="s">
        <v>15</v>
      </c>
      <c r="U93">
        <f>L93-'2022a_250824_2329'!L93</f>
        <v>997</v>
      </c>
      <c r="V93" s="12">
        <f>U93/'2022a_250824_2329'!L93</f>
        <v>0.99302788844621515</v>
      </c>
      <c r="W93">
        <f>M93-'2022a_250824_2329'!M93</f>
        <v>4.7231842000000004</v>
      </c>
      <c r="X93" s="12">
        <f>W93/'2022a_250824_2329'!M93</f>
        <v>0.31289557670089813</v>
      </c>
    </row>
    <row r="94" spans="1:24" x14ac:dyDescent="0.25">
      <c r="A94">
        <v>93</v>
      </c>
      <c r="B94">
        <v>120</v>
      </c>
      <c r="C94" t="s">
        <v>16</v>
      </c>
      <c r="D94" t="s">
        <v>35</v>
      </c>
      <c r="E94" t="s">
        <v>49</v>
      </c>
      <c r="F94" t="s">
        <v>19</v>
      </c>
      <c r="G94" t="s">
        <v>20</v>
      </c>
      <c r="H94" t="s">
        <v>21</v>
      </c>
      <c r="I94" t="s">
        <v>22</v>
      </c>
      <c r="J94" t="s">
        <v>148</v>
      </c>
      <c r="K94" t="s">
        <v>23</v>
      </c>
      <c r="L94">
        <v>501</v>
      </c>
      <c r="M94" s="4">
        <v>3.5639763000000002</v>
      </c>
      <c r="N94" s="4">
        <v>242.69292372429183</v>
      </c>
      <c r="O94" s="4">
        <v>0.23525386775428578</v>
      </c>
      <c r="P94" s="1" t="str">
        <f>HYPERLINK(".\sm_car_250825_2318\sm_car_250825_2318_093_Ca120TrN_MaWOT_DrSt_ode23t_1.png","figure")</f>
        <v>figure</v>
      </c>
      <c r="Q94" t="s">
        <v>15</v>
      </c>
      <c r="U94">
        <f>L94-'2022a_250824_2329'!L94</f>
        <v>85</v>
      </c>
      <c r="V94" s="12">
        <f>U94/'2022a_250824_2329'!L94</f>
        <v>0.20432692307692307</v>
      </c>
      <c r="W94">
        <f>M94-'2022a_250824_2329'!M94</f>
        <v>-0.11752079999999987</v>
      </c>
      <c r="X94" s="12">
        <f>W94/'2022a_250824_2329'!M94</f>
        <v>-3.192201346566316E-2</v>
      </c>
    </row>
    <row r="95" spans="1:24" x14ac:dyDescent="0.25">
      <c r="A95">
        <v>94</v>
      </c>
      <c r="B95">
        <v>120</v>
      </c>
      <c r="C95" t="s">
        <v>16</v>
      </c>
      <c r="D95" t="s">
        <v>35</v>
      </c>
      <c r="E95" t="s">
        <v>49</v>
      </c>
      <c r="F95" t="s">
        <v>19</v>
      </c>
      <c r="G95" t="s">
        <v>20</v>
      </c>
      <c r="H95" t="s">
        <v>21</v>
      </c>
      <c r="I95" t="s">
        <v>24</v>
      </c>
      <c r="J95" t="s">
        <v>148</v>
      </c>
      <c r="K95" t="s">
        <v>23</v>
      </c>
      <c r="L95">
        <v>610</v>
      </c>
      <c r="M95" s="4">
        <v>3.9557004</v>
      </c>
      <c r="N95" s="4">
        <v>74.681966113809921</v>
      </c>
      <c r="O95" s="4">
        <v>-0.33928259095529284</v>
      </c>
      <c r="P95" s="1" t="str">
        <f>HYPERLINK(".\sm_car_250825_2318\sm_car_250825_2318_094_Ca120TrN_MaLSS_DrSt_ode23t_1.png","figure")</f>
        <v>figure</v>
      </c>
      <c r="Q95" t="s">
        <v>15</v>
      </c>
      <c r="U95">
        <f>L95-'2022a_250824_2329'!L95</f>
        <v>76</v>
      </c>
      <c r="V95" s="12">
        <f>U95/'2022a_250824_2329'!L95</f>
        <v>0.14232209737827714</v>
      </c>
      <c r="W95">
        <f>M95-'2022a_250824_2329'!M95</f>
        <v>-6.3560900000000142E-2</v>
      </c>
      <c r="X95" s="12">
        <f>W95/'2022a_250824_2329'!M95</f>
        <v>-1.5814075088872708E-2</v>
      </c>
    </row>
    <row r="96" spans="1:24" x14ac:dyDescent="0.25">
      <c r="A96">
        <v>95</v>
      </c>
      <c r="B96">
        <v>126</v>
      </c>
      <c r="C96" t="s">
        <v>16</v>
      </c>
      <c r="D96" t="s">
        <v>35</v>
      </c>
      <c r="E96" t="s">
        <v>49</v>
      </c>
      <c r="F96" t="s">
        <v>28</v>
      </c>
      <c r="G96" t="s">
        <v>26</v>
      </c>
      <c r="H96" t="s">
        <v>21</v>
      </c>
      <c r="I96" t="s">
        <v>22</v>
      </c>
      <c r="J96" t="s">
        <v>148</v>
      </c>
      <c r="K96" t="s">
        <v>23</v>
      </c>
      <c r="L96">
        <v>1146</v>
      </c>
      <c r="M96" s="4">
        <v>5.5255777000000004</v>
      </c>
      <c r="N96" s="4">
        <v>241.50608542115128</v>
      </c>
      <c r="O96" s="4">
        <v>0.23242882212141022</v>
      </c>
      <c r="P96" s="1" t="str">
        <f>HYPERLINK(".\sm_car_250825_2318\sm_car_250825_2318_095_Ca126TrN_MaWOT_DrSt_ode23t_1.png","figure")</f>
        <v>figure</v>
      </c>
      <c r="Q96" t="s">
        <v>15</v>
      </c>
      <c r="U96">
        <f>L96-'2022a_250824_2329'!L96</f>
        <v>125</v>
      </c>
      <c r="V96" s="12">
        <f>U96/'2022a_250824_2329'!L96</f>
        <v>0.12242899118511263</v>
      </c>
      <c r="W96">
        <f>M96-'2022a_250824_2329'!M96</f>
        <v>0.10844210000000043</v>
      </c>
      <c r="X96" s="12">
        <f>W96/'2022a_250824_2329'!M96</f>
        <v>2.001834696550709E-2</v>
      </c>
    </row>
    <row r="97" spans="1:24" x14ac:dyDescent="0.25">
      <c r="A97">
        <v>96</v>
      </c>
      <c r="B97">
        <v>126</v>
      </c>
      <c r="C97" t="s">
        <v>16</v>
      </c>
      <c r="D97" t="s">
        <v>35</v>
      </c>
      <c r="E97" t="s">
        <v>49</v>
      </c>
      <c r="F97" t="s">
        <v>28</v>
      </c>
      <c r="G97" t="s">
        <v>26</v>
      </c>
      <c r="H97" t="s">
        <v>21</v>
      </c>
      <c r="I97" t="s">
        <v>24</v>
      </c>
      <c r="J97" t="s">
        <v>148</v>
      </c>
      <c r="K97" t="s">
        <v>23</v>
      </c>
      <c r="L97">
        <v>1261</v>
      </c>
      <c r="M97" s="4">
        <v>5.9904637000000003</v>
      </c>
      <c r="N97" s="4">
        <v>74.338029712565273</v>
      </c>
      <c r="O97" s="4">
        <v>-0.33674877242977691</v>
      </c>
      <c r="P97" s="1" t="str">
        <f>HYPERLINK(".\sm_car_250825_2318\sm_car_250825_2318_096_Ca126TrN_MaLSS_DrSt_ode23t_1.png","figure")</f>
        <v>figure</v>
      </c>
      <c r="Q97" t="s">
        <v>15</v>
      </c>
      <c r="U97">
        <f>L97-'2022a_250824_2329'!L97</f>
        <v>115</v>
      </c>
      <c r="V97" s="12">
        <f>U97/'2022a_250824_2329'!L97</f>
        <v>0.10034904013961606</v>
      </c>
      <c r="W97">
        <f>M97-'2022a_250824_2329'!M97</f>
        <v>-0.16009419999999963</v>
      </c>
      <c r="X97" s="12">
        <f>W97/'2022a_250824_2329'!M97</f>
        <v>-2.6029215983805247E-2</v>
      </c>
    </row>
    <row r="98" spans="1:24" x14ac:dyDescent="0.25">
      <c r="A98">
        <v>97</v>
      </c>
      <c r="B98">
        <v>127</v>
      </c>
      <c r="C98" t="s">
        <v>16</v>
      </c>
      <c r="D98" t="s">
        <v>35</v>
      </c>
      <c r="E98" t="s">
        <v>49</v>
      </c>
      <c r="F98" t="s">
        <v>28</v>
      </c>
      <c r="G98" t="s">
        <v>27</v>
      </c>
      <c r="H98" t="s">
        <v>21</v>
      </c>
      <c r="I98" t="s">
        <v>22</v>
      </c>
      <c r="J98" t="s">
        <v>148</v>
      </c>
      <c r="K98" t="s">
        <v>23</v>
      </c>
      <c r="L98">
        <v>1161</v>
      </c>
      <c r="M98" s="4">
        <v>5.8445792000000001</v>
      </c>
      <c r="N98" s="4">
        <v>241.09297632225261</v>
      </c>
      <c r="O98" s="4">
        <v>0.23100930035816408</v>
      </c>
      <c r="P98" s="1" t="str">
        <f>HYPERLINK(".\sm_car_250825_2318\sm_car_250825_2318_097_Ca127TrN_MaWOT_DrSt_ode23t_1.png","figure")</f>
        <v>figure</v>
      </c>
      <c r="Q98" t="s">
        <v>15</v>
      </c>
      <c r="U98">
        <f>L98-'2022a_250824_2329'!L98</f>
        <v>108</v>
      </c>
      <c r="V98" s="12">
        <f>U98/'2022a_250824_2329'!L98</f>
        <v>0.10256410256410256</v>
      </c>
      <c r="W98">
        <f>M98-'2022a_250824_2329'!M98</f>
        <v>2.3327100000000378E-2</v>
      </c>
      <c r="X98" s="12">
        <f>W98/'2022a_250824_2329'!M98</f>
        <v>4.0072306780873446E-3</v>
      </c>
    </row>
    <row r="99" spans="1:24" x14ac:dyDescent="0.25">
      <c r="A99">
        <v>98</v>
      </c>
      <c r="B99">
        <v>127</v>
      </c>
      <c r="C99" t="s">
        <v>16</v>
      </c>
      <c r="D99" t="s">
        <v>35</v>
      </c>
      <c r="E99" t="s">
        <v>49</v>
      </c>
      <c r="F99" t="s">
        <v>28</v>
      </c>
      <c r="G99" t="s">
        <v>27</v>
      </c>
      <c r="H99" t="s">
        <v>21</v>
      </c>
      <c r="I99" t="s">
        <v>24</v>
      </c>
      <c r="J99" t="s">
        <v>148</v>
      </c>
      <c r="K99" t="s">
        <v>23</v>
      </c>
      <c r="L99">
        <v>1282</v>
      </c>
      <c r="M99" s="4">
        <v>6.3634041999999997</v>
      </c>
      <c r="N99" s="4">
        <v>74.19786430523753</v>
      </c>
      <c r="O99" s="4">
        <v>-0.33301782126051166</v>
      </c>
      <c r="P99" s="1" t="str">
        <f>HYPERLINK(".\sm_car_250825_2318\sm_car_250825_2318_098_Ca127TrN_MaLSS_DrSt_ode23t_1.png","figure")</f>
        <v>figure</v>
      </c>
      <c r="Q99" t="s">
        <v>15</v>
      </c>
      <c r="U99">
        <f>L99-'2022a_250824_2329'!L99</f>
        <v>107</v>
      </c>
      <c r="V99" s="12">
        <f>U99/'2022a_250824_2329'!L99</f>
        <v>9.1063829787234041E-2</v>
      </c>
      <c r="W99">
        <f>M99-'2022a_250824_2329'!M99</f>
        <v>-0.26768210000000003</v>
      </c>
      <c r="X99" s="12">
        <f>W99/'2022a_250824_2329'!M99</f>
        <v>-4.0367759955107212E-2</v>
      </c>
    </row>
    <row r="100" spans="1:24" x14ac:dyDescent="0.25">
      <c r="A100">
        <v>99</v>
      </c>
      <c r="B100">
        <v>145</v>
      </c>
      <c r="C100" t="s">
        <v>46</v>
      </c>
      <c r="D100" t="s">
        <v>17</v>
      </c>
      <c r="E100" t="s">
        <v>50</v>
      </c>
      <c r="F100" t="s">
        <v>19</v>
      </c>
      <c r="G100" t="s">
        <v>26</v>
      </c>
      <c r="H100" t="s">
        <v>21</v>
      </c>
      <c r="I100" t="s">
        <v>22</v>
      </c>
      <c r="J100" t="s">
        <v>148</v>
      </c>
      <c r="K100" t="s">
        <v>23</v>
      </c>
      <c r="L100">
        <v>624</v>
      </c>
      <c r="M100" s="4">
        <v>14.7397133</v>
      </c>
      <c r="N100" s="4">
        <v>62.413193002446476</v>
      </c>
      <c r="O100" s="4">
        <v>1.9122891271788851E-2</v>
      </c>
      <c r="P100" s="1" t="str">
        <f>HYPERLINK(".\sm_car_250825_2318\sm_car_250825_2318_099_Ca145TrN_MaWOT_DrSt_ode23t_1.png","figure")</f>
        <v>figure</v>
      </c>
      <c r="Q100" t="s">
        <v>15</v>
      </c>
      <c r="U100">
        <f>L100-'2022a_250824_2329'!L100</f>
        <v>272</v>
      </c>
      <c r="V100" s="12">
        <f>U100/'2022a_250824_2329'!L100</f>
        <v>0.77272727272727271</v>
      </c>
      <c r="W100">
        <f>M100-'2022a_250824_2329'!M100</f>
        <v>1.6789828</v>
      </c>
      <c r="X100" s="12">
        <f>W100/'2022a_250824_2329'!M100</f>
        <v>0.12855198260158573</v>
      </c>
    </row>
    <row r="101" spans="1:24" x14ac:dyDescent="0.25">
      <c r="A101">
        <v>100</v>
      </c>
      <c r="B101">
        <v>145</v>
      </c>
      <c r="C101" t="s">
        <v>46</v>
      </c>
      <c r="D101" t="s">
        <v>17</v>
      </c>
      <c r="E101" t="s">
        <v>50</v>
      </c>
      <c r="F101" t="s">
        <v>19</v>
      </c>
      <c r="G101" t="s">
        <v>26</v>
      </c>
      <c r="H101" t="s">
        <v>21</v>
      </c>
      <c r="I101" t="s">
        <v>24</v>
      </c>
      <c r="J101" t="s">
        <v>148</v>
      </c>
      <c r="K101" t="s">
        <v>23</v>
      </c>
      <c r="L101">
        <v>1056</v>
      </c>
      <c r="M101" s="4">
        <v>19.4698256</v>
      </c>
      <c r="N101" s="4">
        <v>24.928467151849532</v>
      </c>
      <c r="O101" s="4">
        <v>-4.9382555709028664E-2</v>
      </c>
      <c r="P101" s="1" t="str">
        <f>HYPERLINK(".\sm_car_250825_2318\sm_car_250825_2318_100_Ca145TrN_MaLSS_DrSt_ode23t_1.png","figure")</f>
        <v>figure</v>
      </c>
      <c r="Q101" t="s">
        <v>15</v>
      </c>
      <c r="U101">
        <f>L101-'2022a_250824_2329'!L101</f>
        <v>610</v>
      </c>
      <c r="V101" s="12">
        <f>U101/'2022a_250824_2329'!L101</f>
        <v>1.3677130044843049</v>
      </c>
      <c r="W101">
        <f>M101-'2022a_250824_2329'!M101</f>
        <v>3.426953300000001</v>
      </c>
      <c r="X101" s="12">
        <f>W101/'2022a_250824_2329'!M101</f>
        <v>0.21361220334590592</v>
      </c>
    </row>
    <row r="102" spans="1:24" x14ac:dyDescent="0.25">
      <c r="A102">
        <v>101</v>
      </c>
      <c r="B102">
        <v>184</v>
      </c>
      <c r="C102" t="s">
        <v>105</v>
      </c>
      <c r="D102" t="s">
        <v>120</v>
      </c>
      <c r="E102" t="s">
        <v>49</v>
      </c>
      <c r="F102" t="s">
        <v>19</v>
      </c>
      <c r="G102" t="s">
        <v>20</v>
      </c>
      <c r="H102" t="s">
        <v>21</v>
      </c>
      <c r="I102" t="s">
        <v>22</v>
      </c>
      <c r="J102" t="s">
        <v>148</v>
      </c>
      <c r="K102" t="s">
        <v>23</v>
      </c>
      <c r="L102">
        <v>526</v>
      </c>
      <c r="M102" s="4">
        <v>15.9452496</v>
      </c>
      <c r="N102" s="4">
        <v>294.6276256547244</v>
      </c>
      <c r="O102" s="4">
        <v>-6.2208360339354319E-4</v>
      </c>
      <c r="P102" s="1" t="str">
        <f>HYPERLINK(".\sm_car_250825_2318\sm_car_250825_2318_101_Ca184TrN_MaWOT_DrSt_ode23t_1.png","figure")</f>
        <v>figure</v>
      </c>
      <c r="Q102" t="s">
        <v>15</v>
      </c>
      <c r="U102">
        <f>L102-'2022a_250824_2329'!L102</f>
        <v>223</v>
      </c>
      <c r="V102" s="12">
        <f>U102/'2022a_250824_2329'!L102</f>
        <v>0.735973597359736</v>
      </c>
      <c r="W102">
        <f>M102-'2022a_250824_2329'!M102</f>
        <v>1.1426738000000007</v>
      </c>
      <c r="X102" s="12">
        <f>W102/'2022a_250824_2329'!M102</f>
        <v>7.7194254259451298E-2</v>
      </c>
    </row>
    <row r="103" spans="1:24" x14ac:dyDescent="0.25">
      <c r="A103">
        <v>102</v>
      </c>
      <c r="B103">
        <v>184</v>
      </c>
      <c r="C103" t="s">
        <v>105</v>
      </c>
      <c r="D103" t="s">
        <v>120</v>
      </c>
      <c r="E103" t="s">
        <v>49</v>
      </c>
      <c r="F103" t="s">
        <v>19</v>
      </c>
      <c r="G103" t="s">
        <v>20</v>
      </c>
      <c r="H103" t="s">
        <v>21</v>
      </c>
      <c r="I103" t="s">
        <v>24</v>
      </c>
      <c r="J103" t="s">
        <v>148</v>
      </c>
      <c r="K103" t="s">
        <v>23</v>
      </c>
      <c r="L103">
        <v>1012</v>
      </c>
      <c r="M103" s="4">
        <v>17.332759800000002</v>
      </c>
      <c r="N103" s="4">
        <v>103.56725287487086</v>
      </c>
      <c r="O103" s="4">
        <v>-0.21236162130457426</v>
      </c>
      <c r="P103" s="1" t="str">
        <f>HYPERLINK(".\sm_car_250825_2318\sm_car_250825_2318_102_Ca184TrN_MaLSS_DrSt_ode23t_1.png","figure")</f>
        <v>figure</v>
      </c>
      <c r="Q103" t="s">
        <v>15</v>
      </c>
      <c r="U103">
        <f>L103-'2022a_250824_2329'!L103</f>
        <v>535</v>
      </c>
      <c r="V103" s="12">
        <f>U103/'2022a_250824_2329'!L103</f>
        <v>1.1215932914046121</v>
      </c>
      <c r="W103">
        <f>M103-'2022a_250824_2329'!M103</f>
        <v>5.7511834000000022</v>
      </c>
      <c r="X103" s="12">
        <f>W103/'2022a_250824_2329'!M103</f>
        <v>0.49658036189270421</v>
      </c>
    </row>
    <row r="104" spans="1:24" x14ac:dyDescent="0.25">
      <c r="A104">
        <v>103</v>
      </c>
      <c r="B104">
        <v>217</v>
      </c>
      <c r="C104" t="s">
        <v>45</v>
      </c>
      <c r="D104" t="s">
        <v>17</v>
      </c>
      <c r="E104" t="s">
        <v>107</v>
      </c>
      <c r="F104" t="s">
        <v>119</v>
      </c>
      <c r="G104" t="s">
        <v>26</v>
      </c>
      <c r="H104" t="s">
        <v>21</v>
      </c>
      <c r="I104" t="s">
        <v>22</v>
      </c>
      <c r="J104" t="s">
        <v>148</v>
      </c>
      <c r="K104" t="s">
        <v>23</v>
      </c>
      <c r="L104">
        <v>1070</v>
      </c>
      <c r="M104" s="4">
        <v>30.444551799999999</v>
      </c>
      <c r="N104" s="4">
        <v>276.36263730331683</v>
      </c>
      <c r="O104" s="4">
        <v>0.74704514042464143</v>
      </c>
      <c r="P104" s="1" t="str">
        <f>HYPERLINK(".\sm_car_250825_2318\sm_car_250825_2318_103_Ca217TrN_MaWOT_DrSt_ode23t_1.png","figure")</f>
        <v>figure</v>
      </c>
      <c r="Q104" t="s">
        <v>15</v>
      </c>
      <c r="U104">
        <f>L104-'2022a_250824_2329'!L104</f>
        <v>337</v>
      </c>
      <c r="V104" s="12">
        <f>U104/'2022a_250824_2329'!L104</f>
        <v>0.45975443383356068</v>
      </c>
      <c r="W104">
        <f>M104-'2022a_250824_2329'!M104</f>
        <v>-2.2301610000000025</v>
      </c>
      <c r="X104" s="12">
        <f>W104/'2022a_250824_2329'!M104</f>
        <v>-6.8253423179285067E-2</v>
      </c>
    </row>
    <row r="105" spans="1:24" x14ac:dyDescent="0.25">
      <c r="A105">
        <v>104</v>
      </c>
      <c r="B105">
        <v>217</v>
      </c>
      <c r="C105" t="s">
        <v>45</v>
      </c>
      <c r="D105" t="s">
        <v>17</v>
      </c>
      <c r="E105" t="s">
        <v>107</v>
      </c>
      <c r="F105" t="s">
        <v>119</v>
      </c>
      <c r="G105" t="s">
        <v>26</v>
      </c>
      <c r="H105" t="s">
        <v>21</v>
      </c>
      <c r="I105" t="s">
        <v>24</v>
      </c>
      <c r="J105" t="s">
        <v>148</v>
      </c>
      <c r="K105" t="s">
        <v>23</v>
      </c>
      <c r="L105">
        <v>1388</v>
      </c>
      <c r="M105" s="4">
        <v>33.896431200000002</v>
      </c>
      <c r="N105" s="4">
        <v>109.17889995023013</v>
      </c>
      <c r="O105" s="4">
        <v>-0.34557988730695705</v>
      </c>
      <c r="P105" s="1" t="str">
        <f>HYPERLINK(".\sm_car_250825_2318\sm_car_250825_2318_104_Ca217TrN_MaLSS_DrSt_ode23t_1.png","figure")</f>
        <v>figure</v>
      </c>
      <c r="Q105" t="s">
        <v>15</v>
      </c>
      <c r="U105">
        <f>L105-'2022a_250824_2329'!L105</f>
        <v>543</v>
      </c>
      <c r="V105" s="12">
        <f>U105/'2022a_250824_2329'!L105</f>
        <v>0.64260355029585803</v>
      </c>
      <c r="W105">
        <f>M105-'2022a_250824_2329'!M105</f>
        <v>-0.24671109999999885</v>
      </c>
      <c r="X105" s="12">
        <f>W105/'2022a_250824_2329'!M105</f>
        <v>-7.2257877682218733E-3</v>
      </c>
    </row>
    <row r="106" spans="1:24" x14ac:dyDescent="0.25">
      <c r="A106">
        <v>105</v>
      </c>
      <c r="B106">
        <v>12</v>
      </c>
      <c r="C106" t="s">
        <v>16</v>
      </c>
      <c r="D106" t="s">
        <v>17</v>
      </c>
      <c r="E106" t="s">
        <v>49</v>
      </c>
      <c r="F106" t="s">
        <v>28</v>
      </c>
      <c r="G106" t="s">
        <v>20</v>
      </c>
      <c r="H106" t="s">
        <v>21</v>
      </c>
      <c r="I106" t="s">
        <v>53</v>
      </c>
      <c r="J106" t="s">
        <v>148</v>
      </c>
      <c r="K106" t="s">
        <v>23</v>
      </c>
      <c r="L106">
        <v>1699</v>
      </c>
      <c r="M106" s="4">
        <v>17.3940807</v>
      </c>
      <c r="N106" s="4">
        <v>253.54762385521508</v>
      </c>
      <c r="O106" s="4">
        <v>4.7006933101046311E-2</v>
      </c>
      <c r="P106" s="1" t="str">
        <f>HYPERLINK(".\sm_car_250825_2318\sm_car_250825_2318_105_Ca012TrN_MaDLC_DrSt_ode23t_1.png","figure")</f>
        <v>figure</v>
      </c>
      <c r="Q106" t="s">
        <v>15</v>
      </c>
      <c r="U106">
        <f>L106-'2022a_250824_2329'!L106</f>
        <v>838</v>
      </c>
      <c r="V106" s="12">
        <f>U106/'2022a_250824_2329'!L106</f>
        <v>0.97328687572590011</v>
      </c>
      <c r="W106">
        <f>M106-'2022a_250824_2329'!M106</f>
        <v>7.3304130000000001</v>
      </c>
      <c r="X106" s="12">
        <f>W106/'2022a_250824_2329'!M106</f>
        <v>0.72840372104098794</v>
      </c>
    </row>
    <row r="107" spans="1:24" x14ac:dyDescent="0.25">
      <c r="A107">
        <v>106</v>
      </c>
      <c r="B107">
        <v>12</v>
      </c>
      <c r="C107" t="s">
        <v>16</v>
      </c>
      <c r="D107" t="s">
        <v>17</v>
      </c>
      <c r="E107" t="s">
        <v>49</v>
      </c>
      <c r="F107" t="s">
        <v>28</v>
      </c>
      <c r="G107" t="s">
        <v>20</v>
      </c>
      <c r="H107" t="s">
        <v>21</v>
      </c>
      <c r="I107" t="s">
        <v>54</v>
      </c>
      <c r="J107" t="s">
        <v>148</v>
      </c>
      <c r="K107" t="s">
        <v>23</v>
      </c>
      <c r="L107">
        <v>1727</v>
      </c>
      <c r="M107" s="4">
        <v>17.0021746</v>
      </c>
      <c r="N107" s="4">
        <v>74.406489333988276</v>
      </c>
      <c r="O107" s="4">
        <v>0.70279513791421966</v>
      </c>
      <c r="P107" s="1" t="str">
        <f>HYPERLINK(".\sm_car_250825_2318\sm_car_250825_2318_106_Ca012TrN_MaIPA_DrSt_ode23t_1.png","figure")</f>
        <v>figure</v>
      </c>
      <c r="Q107" t="s">
        <v>15</v>
      </c>
      <c r="U107">
        <f>L107-'2022a_250824_2329'!L107</f>
        <v>825</v>
      </c>
      <c r="V107" s="12">
        <f>U107/'2022a_250824_2329'!L107</f>
        <v>0.91463414634146345</v>
      </c>
      <c r="W107">
        <f>M107-'2022a_250824_2329'!M107</f>
        <v>3.0334132999999994</v>
      </c>
      <c r="X107" s="12">
        <f>W107/'2022a_250824_2329'!M107</f>
        <v>0.21715692858177763</v>
      </c>
    </row>
    <row r="108" spans="1:24" x14ac:dyDescent="0.25">
      <c r="A108">
        <v>107</v>
      </c>
      <c r="B108">
        <v>142</v>
      </c>
      <c r="C108" t="s">
        <v>45</v>
      </c>
      <c r="D108" t="s">
        <v>17</v>
      </c>
      <c r="E108" t="s">
        <v>49</v>
      </c>
      <c r="F108" t="s">
        <v>28</v>
      </c>
      <c r="G108" t="s">
        <v>26</v>
      </c>
      <c r="H108" t="s">
        <v>21</v>
      </c>
      <c r="I108" t="s">
        <v>53</v>
      </c>
      <c r="J108" t="s">
        <v>148</v>
      </c>
      <c r="K108" t="s">
        <v>23</v>
      </c>
      <c r="L108">
        <v>1511</v>
      </c>
      <c r="M108" s="4">
        <v>22.248543399999999</v>
      </c>
      <c r="N108" s="4">
        <v>253.97261721857882</v>
      </c>
      <c r="O108" s="4">
        <v>-7.7209350984333014E-3</v>
      </c>
      <c r="P108" s="1" t="str">
        <f>HYPERLINK(".\sm_car_250825_2318\sm_car_250825_2318_107_Ca142TrN_MaDLC_DrSt_ode23t_1.png","figure")</f>
        <v>figure</v>
      </c>
      <c r="Q108" t="s">
        <v>15</v>
      </c>
      <c r="U108">
        <f>L108-'2022a_250824_2329'!L108</f>
        <v>528</v>
      </c>
      <c r="V108" s="12">
        <f>U108/'2022a_250824_2329'!L108</f>
        <v>0.53713123092573756</v>
      </c>
      <c r="W108">
        <f>M108-'2022a_250824_2329'!M108</f>
        <v>8.0836742999999984</v>
      </c>
      <c r="X108" s="12">
        <f>W108/'2022a_250824_2329'!M108</f>
        <v>0.57068471603454474</v>
      </c>
    </row>
    <row r="109" spans="1:24" x14ac:dyDescent="0.25">
      <c r="A109">
        <v>108</v>
      </c>
      <c r="B109">
        <v>142</v>
      </c>
      <c r="C109" t="s">
        <v>45</v>
      </c>
      <c r="D109" t="s">
        <v>17</v>
      </c>
      <c r="E109" t="s">
        <v>49</v>
      </c>
      <c r="F109" t="s">
        <v>28</v>
      </c>
      <c r="G109" t="s">
        <v>26</v>
      </c>
      <c r="H109" t="s">
        <v>21</v>
      </c>
      <c r="I109" t="s">
        <v>54</v>
      </c>
      <c r="J109" t="s">
        <v>148</v>
      </c>
      <c r="K109" t="s">
        <v>23</v>
      </c>
      <c r="L109">
        <v>2290</v>
      </c>
      <c r="M109" s="4">
        <v>38.5406282</v>
      </c>
      <c r="N109" s="4">
        <v>82.608844929848942</v>
      </c>
      <c r="O109" s="4">
        <v>0.63960269014830329</v>
      </c>
      <c r="P109" s="1" t="str">
        <f>HYPERLINK(".\sm_car_250825_2318\sm_car_250825_2318_108_Ca142TrN_MaIPA_DrSt_ode23t_1.png","figure")</f>
        <v>figure</v>
      </c>
      <c r="Q109" t="s">
        <v>15</v>
      </c>
      <c r="U109">
        <f>L109-'2022a_250824_2329'!L109</f>
        <v>931</v>
      </c>
      <c r="V109" s="12">
        <f>U109/'2022a_250824_2329'!L109</f>
        <v>0.68506254598969829</v>
      </c>
      <c r="W109">
        <f>M109-'2022a_250824_2329'!M109</f>
        <v>5.8956480000000013</v>
      </c>
      <c r="X109" s="12">
        <f>W109/'2022a_250824_2329'!M109</f>
        <v>0.18059891486777502</v>
      </c>
    </row>
    <row r="110" spans="1:24" x14ac:dyDescent="0.25">
      <c r="A110">
        <v>109</v>
      </c>
      <c r="B110">
        <v>145</v>
      </c>
      <c r="C110" t="s">
        <v>46</v>
      </c>
      <c r="D110" t="s">
        <v>17</v>
      </c>
      <c r="E110" t="s">
        <v>50</v>
      </c>
      <c r="F110" t="s">
        <v>19</v>
      </c>
      <c r="G110" t="s">
        <v>26</v>
      </c>
      <c r="H110" t="s">
        <v>21</v>
      </c>
      <c r="I110" t="s">
        <v>53</v>
      </c>
      <c r="J110" t="s">
        <v>148</v>
      </c>
      <c r="K110" t="s">
        <v>23</v>
      </c>
      <c r="L110">
        <v>830</v>
      </c>
      <c r="M110" s="4">
        <v>18.806156699999999</v>
      </c>
      <c r="N110" s="4">
        <v>254.53438637752686</v>
      </c>
      <c r="O110" s="4">
        <v>7.2594737758063133E-2</v>
      </c>
      <c r="P110" s="1" t="str">
        <f>HYPERLINK(".\sm_car_250825_2318\sm_car_250825_2318_109_Ca145TrN_MaDLC_DrSt_ode23t_1.png","figure")</f>
        <v>figure</v>
      </c>
      <c r="Q110" t="s">
        <v>15</v>
      </c>
      <c r="U110">
        <f>L110-'2022a_250824_2329'!L110</f>
        <v>366</v>
      </c>
      <c r="V110" s="12">
        <f>U110/'2022a_250824_2329'!L110</f>
        <v>0.78879310344827591</v>
      </c>
      <c r="W110">
        <f>M110-'2022a_250824_2329'!M110</f>
        <v>3.1443474999999985</v>
      </c>
      <c r="X110" s="12">
        <f>W110/'2022a_250824_2329'!M110</f>
        <v>0.20076527940335262</v>
      </c>
    </row>
    <row r="111" spans="1:24" x14ac:dyDescent="0.25">
      <c r="A111">
        <v>110</v>
      </c>
      <c r="B111">
        <v>145</v>
      </c>
      <c r="C111" t="s">
        <v>46</v>
      </c>
      <c r="D111" t="s">
        <v>17</v>
      </c>
      <c r="E111" t="s">
        <v>50</v>
      </c>
      <c r="F111" t="s">
        <v>19</v>
      </c>
      <c r="G111" t="s">
        <v>26</v>
      </c>
      <c r="H111" t="s">
        <v>21</v>
      </c>
      <c r="I111" t="s">
        <v>54</v>
      </c>
      <c r="J111" t="s">
        <v>148</v>
      </c>
      <c r="K111" t="s">
        <v>23</v>
      </c>
      <c r="L111">
        <v>573</v>
      </c>
      <c r="M111" s="4">
        <v>12.6602359</v>
      </c>
      <c r="N111" s="4">
        <v>27.999934764109838</v>
      </c>
      <c r="O111" s="4">
        <v>1.5700593908838659E-2</v>
      </c>
      <c r="P111" s="1" t="str">
        <f>HYPERLINK(".\sm_car_250825_2318\sm_car_250825_2318_110_Ca145TrN_MaIPA_DrSt_ode23t_1.png","figure")</f>
        <v>figure</v>
      </c>
      <c r="Q111" t="s">
        <v>15</v>
      </c>
      <c r="U111">
        <f>L111-'2022a_250824_2329'!L111</f>
        <v>249</v>
      </c>
      <c r="V111" s="12">
        <f>U111/'2022a_250824_2329'!L111</f>
        <v>0.76851851851851849</v>
      </c>
      <c r="W111">
        <f>M111-'2022a_250824_2329'!M111</f>
        <v>1.4726408000000006</v>
      </c>
      <c r="X111" s="12">
        <f>W111/'2022a_250824_2329'!M111</f>
        <v>0.13163157826475153</v>
      </c>
    </row>
    <row r="112" spans="1:24" x14ac:dyDescent="0.25">
      <c r="A112">
        <v>111</v>
      </c>
      <c r="B112">
        <v>184</v>
      </c>
      <c r="C112" t="s">
        <v>105</v>
      </c>
      <c r="D112" t="s">
        <v>120</v>
      </c>
      <c r="E112" t="s">
        <v>49</v>
      </c>
      <c r="F112" t="s">
        <v>19</v>
      </c>
      <c r="G112" t="s">
        <v>20</v>
      </c>
      <c r="H112" t="s">
        <v>21</v>
      </c>
      <c r="I112" t="s">
        <v>53</v>
      </c>
      <c r="J112" t="s">
        <v>148</v>
      </c>
      <c r="K112" t="s">
        <v>23</v>
      </c>
      <c r="L112">
        <v>888</v>
      </c>
      <c r="M112" s="4">
        <v>17.034003599999998</v>
      </c>
      <c r="N112" s="4">
        <v>253.22306778617826</v>
      </c>
      <c r="O112" s="4">
        <v>1.1746822288953407E-2</v>
      </c>
      <c r="P112" s="1" t="str">
        <f>HYPERLINK(".\sm_car_250825_2318\sm_car_250825_2318_111_Ca184TrN_MaDLC_DrSt_ode23t_1.png","figure")</f>
        <v>figure</v>
      </c>
      <c r="Q112" t="s">
        <v>15</v>
      </c>
      <c r="U112">
        <f>L112-'2022a_250824_2329'!L112</f>
        <v>505</v>
      </c>
      <c r="V112" s="12">
        <f>U112/'2022a_250824_2329'!L112</f>
        <v>1.3185378590078329</v>
      </c>
      <c r="W112">
        <f>M112-'2022a_250824_2329'!M112</f>
        <v>7.1613666999999985</v>
      </c>
      <c r="X112" s="12">
        <f>W112/'2022a_250824_2329'!M112</f>
        <v>0.72537527436059146</v>
      </c>
    </row>
    <row r="113" spans="1:24" x14ac:dyDescent="0.25">
      <c r="A113">
        <v>112</v>
      </c>
      <c r="B113">
        <v>184</v>
      </c>
      <c r="C113" t="s">
        <v>105</v>
      </c>
      <c r="D113" t="s">
        <v>120</v>
      </c>
      <c r="E113" t="s">
        <v>49</v>
      </c>
      <c r="F113" t="s">
        <v>19</v>
      </c>
      <c r="G113" t="s">
        <v>20</v>
      </c>
      <c r="H113" t="s">
        <v>21</v>
      </c>
      <c r="I113" t="s">
        <v>54</v>
      </c>
      <c r="J113" t="s">
        <v>148</v>
      </c>
      <c r="K113" t="s">
        <v>23</v>
      </c>
      <c r="L113">
        <v>617</v>
      </c>
      <c r="M113" s="4">
        <v>13.3874385</v>
      </c>
      <c r="N113" s="4">
        <v>55.270100330714335</v>
      </c>
      <c r="O113" s="4">
        <v>5.7466838717680048E-3</v>
      </c>
      <c r="P113" s="1" t="str">
        <f>HYPERLINK(".\sm_car_250825_2318\sm_car_250825_2318_112_Ca184TrN_MaIPA_DrSt_ode23t_1.png","figure")</f>
        <v>figure</v>
      </c>
      <c r="Q113" t="s">
        <v>15</v>
      </c>
      <c r="U113">
        <f>L113-'2022a_250824_2329'!L113</f>
        <v>294</v>
      </c>
      <c r="V113" s="12">
        <f>U113/'2022a_250824_2329'!L113</f>
        <v>0.91021671826625383</v>
      </c>
      <c r="W113">
        <f>M113-'2022a_250824_2329'!M113</f>
        <v>1.5509191999999992</v>
      </c>
      <c r="X113" s="12">
        <f>W113/'2022a_250824_2329'!M113</f>
        <v>0.13102831674510926</v>
      </c>
    </row>
    <row r="114" spans="1:24" x14ac:dyDescent="0.25">
      <c r="A114">
        <v>113</v>
      </c>
      <c r="B114">
        <v>204</v>
      </c>
      <c r="C114" t="s">
        <v>105</v>
      </c>
      <c r="D114" t="s">
        <v>106</v>
      </c>
      <c r="E114" t="s">
        <v>18</v>
      </c>
      <c r="F114" t="s">
        <v>19</v>
      </c>
      <c r="G114" t="s">
        <v>20</v>
      </c>
      <c r="H114" t="s">
        <v>21</v>
      </c>
      <c r="I114" t="s">
        <v>53</v>
      </c>
      <c r="J114" t="s">
        <v>148</v>
      </c>
      <c r="K114" t="s">
        <v>23</v>
      </c>
      <c r="L114">
        <v>3340</v>
      </c>
      <c r="M114" s="4">
        <v>33.276937699999998</v>
      </c>
      <c r="N114" s="4">
        <v>253.39136390873159</v>
      </c>
      <c r="O114" s="4">
        <v>2.0137775083348242E-2</v>
      </c>
      <c r="P114" s="1" t="str">
        <f>HYPERLINK(".\sm_car_250825_2318\sm_car_250825_2318_113_Ca204TrN_MaDLC_DrSt_ode23t_1.png","figure")</f>
        <v>figure</v>
      </c>
      <c r="Q114" t="s">
        <v>15</v>
      </c>
      <c r="U114">
        <f>L114-'2022a_250824_2329'!L114</f>
        <v>1494</v>
      </c>
      <c r="V114" s="12">
        <f>U114/'2022a_250824_2329'!L114</f>
        <v>0.80931744312025999</v>
      </c>
      <c r="W114">
        <f>M114-'2022a_250824_2329'!M114</f>
        <v>9.0709782999999966</v>
      </c>
      <c r="X114" s="12">
        <f>W114/'2022a_250824_2329'!M114</f>
        <v>0.37474153162464596</v>
      </c>
    </row>
    <row r="115" spans="1:24" x14ac:dyDescent="0.25">
      <c r="A115">
        <v>114</v>
      </c>
      <c r="B115">
        <v>204</v>
      </c>
      <c r="C115" t="s">
        <v>105</v>
      </c>
      <c r="D115" t="s">
        <v>106</v>
      </c>
      <c r="E115" t="s">
        <v>18</v>
      </c>
      <c r="F115" t="s">
        <v>19</v>
      </c>
      <c r="G115" t="s">
        <v>20</v>
      </c>
      <c r="H115" t="s">
        <v>21</v>
      </c>
      <c r="I115" t="s">
        <v>54</v>
      </c>
      <c r="J115" t="s">
        <v>148</v>
      </c>
      <c r="K115" t="s">
        <v>23</v>
      </c>
      <c r="L115">
        <v>1711</v>
      </c>
      <c r="M115" s="4">
        <v>14.169067</v>
      </c>
      <c r="N115" s="4">
        <v>26.039222972924833</v>
      </c>
      <c r="O115" s="4">
        <v>9.6432928768595307E-3</v>
      </c>
      <c r="P115" s="1" t="str">
        <f>HYPERLINK(".\sm_car_250825_2318\sm_car_250825_2318_114_Ca204TrN_MaIPA_DrSt_ode23t_1.png","figure")</f>
        <v>figure</v>
      </c>
      <c r="Q115" t="s">
        <v>15</v>
      </c>
      <c r="U115">
        <f>L115-'2022a_250824_2329'!L115</f>
        <v>1048</v>
      </c>
      <c r="V115" s="12">
        <f>U115/'2022a_250824_2329'!L115</f>
        <v>1.5806938159879336</v>
      </c>
      <c r="W115">
        <f>M115-'2022a_250824_2329'!M115</f>
        <v>2.8909056</v>
      </c>
      <c r="X115" s="12">
        <f>W115/'2022a_250824_2329'!M115</f>
        <v>0.25632773795913222</v>
      </c>
    </row>
    <row r="116" spans="1:24" x14ac:dyDescent="0.25">
      <c r="A116">
        <v>115</v>
      </c>
      <c r="B116">
        <v>12</v>
      </c>
      <c r="C116" t="s">
        <v>16</v>
      </c>
      <c r="D116" t="s">
        <v>17</v>
      </c>
      <c r="E116" t="s">
        <v>49</v>
      </c>
      <c r="F116" t="s">
        <v>28</v>
      </c>
      <c r="G116" t="s">
        <v>20</v>
      </c>
      <c r="H116" t="s">
        <v>21</v>
      </c>
      <c r="I116" t="s">
        <v>55</v>
      </c>
      <c r="J116" t="s">
        <v>148</v>
      </c>
      <c r="K116" t="s">
        <v>23</v>
      </c>
      <c r="L116">
        <v>7612</v>
      </c>
      <c r="M116" s="4">
        <v>56.193800600000003</v>
      </c>
      <c r="N116" s="4">
        <v>-1.9588806793101196E-2</v>
      </c>
      <c r="O116" s="4">
        <v>-0.64637209579409305</v>
      </c>
      <c r="P116" s="1" t="str">
        <f>HYPERLINK(".\sm_car_250825_2318\sm_car_250825_2318_115_Ca012TrN_MaMPK_DrSt_ode23t_1.png","figure")</f>
        <v>figure</v>
      </c>
      <c r="Q116" t="s">
        <v>15</v>
      </c>
      <c r="U116">
        <f>L116-'2022a_250824_2329'!L116</f>
        <v>5027</v>
      </c>
      <c r="V116" s="12">
        <f>U116/'2022a_250824_2329'!L116</f>
        <v>1.9446808510638298</v>
      </c>
      <c r="W116">
        <f>M116-'2022a_250824_2329'!M116</f>
        <v>31.785914100000003</v>
      </c>
      <c r="X116" s="12">
        <f>W116/'2022a_250824_2329'!M116</f>
        <v>1.3022804780741668</v>
      </c>
    </row>
    <row r="117" spans="1:24" x14ac:dyDescent="0.25">
      <c r="A117">
        <v>116</v>
      </c>
      <c r="B117">
        <v>12</v>
      </c>
      <c r="C117" t="s">
        <v>16</v>
      </c>
      <c r="D117" t="s">
        <v>17</v>
      </c>
      <c r="E117" t="s">
        <v>49</v>
      </c>
      <c r="F117" t="s">
        <v>28</v>
      </c>
      <c r="G117" t="s">
        <v>20</v>
      </c>
      <c r="H117" t="s">
        <v>21</v>
      </c>
      <c r="I117" t="s">
        <v>55</v>
      </c>
      <c r="J117" t="s">
        <v>149</v>
      </c>
      <c r="K117" t="s">
        <v>23</v>
      </c>
      <c r="L117">
        <v>7602</v>
      </c>
      <c r="M117" s="4">
        <v>54.814314099999997</v>
      </c>
      <c r="N117" s="4">
        <v>-1.0838059609208806E-2</v>
      </c>
      <c r="O117" s="4">
        <v>-3.7692092463635217E-2</v>
      </c>
      <c r="P117" s="1" t="str">
        <f>HYPERLINK(".\sm_car_250825_2318\sm_car_250825_2318_116_Ca012TrN_MaMPK_DrSt_ode23t_1.png","figure")</f>
        <v>figure</v>
      </c>
      <c r="Q117" t="s">
        <v>15</v>
      </c>
      <c r="U117">
        <f>L117-'2022a_250824_2329'!L117</f>
        <v>5220</v>
      </c>
      <c r="V117" s="12">
        <f>U117/'2022a_250824_2329'!L117</f>
        <v>2.191435768261965</v>
      </c>
      <c r="W117">
        <f>M117-'2022a_250824_2329'!M117</f>
        <v>33.347663099999998</v>
      </c>
      <c r="X117" s="12">
        <f>W117/'2022a_250824_2329'!M117</f>
        <v>1.5534637005092224</v>
      </c>
    </row>
    <row r="118" spans="1:24" x14ac:dyDescent="0.25">
      <c r="A118">
        <v>117</v>
      </c>
      <c r="B118">
        <v>12</v>
      </c>
      <c r="C118" t="s">
        <v>16</v>
      </c>
      <c r="D118" t="s">
        <v>17</v>
      </c>
      <c r="E118" t="s">
        <v>49</v>
      </c>
      <c r="F118" t="s">
        <v>28</v>
      </c>
      <c r="G118" t="s">
        <v>20</v>
      </c>
      <c r="H118" t="s">
        <v>21</v>
      </c>
      <c r="I118" t="s">
        <v>56</v>
      </c>
      <c r="J118" t="s">
        <v>148</v>
      </c>
      <c r="K118" t="s">
        <v>23</v>
      </c>
      <c r="L118">
        <v>7860</v>
      </c>
      <c r="M118" s="4">
        <v>57.268175800000002</v>
      </c>
      <c r="N118" s="4">
        <v>0.77955313079465505</v>
      </c>
      <c r="O118" s="4">
        <v>-0.33086401755618317</v>
      </c>
      <c r="P118" s="1" t="str">
        <f>HYPERLINK(".\sm_car_250825_2318\sm_car_250825_2318_117_Ca012TrN_MaMPC_DrSt_ode23t_1.png","figure")</f>
        <v>figure</v>
      </c>
      <c r="Q118" t="s">
        <v>15</v>
      </c>
      <c r="U118">
        <f>L118-'2022a_250824_2329'!L118</f>
        <v>5435</v>
      </c>
      <c r="V118" s="12">
        <f>U118/'2022a_250824_2329'!L118</f>
        <v>2.2412371134020619</v>
      </c>
      <c r="W118">
        <f>M118-'2022a_250824_2329'!M118</f>
        <v>31.809786500000001</v>
      </c>
      <c r="X118" s="12">
        <f>W118/'2022a_250824_2329'!M118</f>
        <v>1.2494815019581778</v>
      </c>
    </row>
    <row r="119" spans="1:24" x14ac:dyDescent="0.25">
      <c r="A119">
        <v>118</v>
      </c>
      <c r="B119">
        <v>12</v>
      </c>
      <c r="C119" t="s">
        <v>16</v>
      </c>
      <c r="D119" t="s">
        <v>17</v>
      </c>
      <c r="E119" t="s">
        <v>49</v>
      </c>
      <c r="F119" t="s">
        <v>28</v>
      </c>
      <c r="G119" t="s">
        <v>20</v>
      </c>
      <c r="H119" t="s">
        <v>21</v>
      </c>
      <c r="I119" t="s">
        <v>56</v>
      </c>
      <c r="J119" t="s">
        <v>149</v>
      </c>
      <c r="K119" t="s">
        <v>23</v>
      </c>
      <c r="L119">
        <v>7768</v>
      </c>
      <c r="M119" s="4">
        <v>52.629473300000001</v>
      </c>
      <c r="N119" s="4">
        <v>0.78871739470188196</v>
      </c>
      <c r="O119" s="4">
        <v>0.10497010480675702</v>
      </c>
      <c r="P119" s="1" t="str">
        <f>HYPERLINK(".\sm_car_250825_2318\sm_car_250825_2318_118_Ca012TrN_MaMPC_DrSt_ode23t_1.png","figure")</f>
        <v>figure</v>
      </c>
      <c r="Q119" t="s">
        <v>15</v>
      </c>
      <c r="U119">
        <f>L119-'2022a_250824_2329'!L119</f>
        <v>5506</v>
      </c>
      <c r="V119" s="12">
        <f>U119/'2022a_250824_2329'!L119</f>
        <v>2.4341290893015031</v>
      </c>
      <c r="W119">
        <f>M119-'2022a_250824_2329'!M119</f>
        <v>30.395406400000002</v>
      </c>
      <c r="X119" s="12">
        <f>W119/'2022a_250824_2329'!M119</f>
        <v>1.3670646281989915</v>
      </c>
    </row>
    <row r="120" spans="1:24" x14ac:dyDescent="0.25">
      <c r="A120">
        <v>119</v>
      </c>
      <c r="B120">
        <v>142</v>
      </c>
      <c r="C120" t="s">
        <v>45</v>
      </c>
      <c r="D120" t="s">
        <v>17</v>
      </c>
      <c r="E120" t="s">
        <v>49</v>
      </c>
      <c r="F120" t="s">
        <v>28</v>
      </c>
      <c r="G120" t="s">
        <v>26</v>
      </c>
      <c r="H120" t="s">
        <v>21</v>
      </c>
      <c r="I120" t="s">
        <v>55</v>
      </c>
      <c r="J120" t="s">
        <v>148</v>
      </c>
      <c r="K120" t="s">
        <v>23</v>
      </c>
      <c r="L120">
        <v>6270</v>
      </c>
      <c r="M120" s="4">
        <v>55.7553792</v>
      </c>
      <c r="N120" s="4">
        <v>-1.9971534970706598E-2</v>
      </c>
      <c r="O120" s="4">
        <v>-0.55872315798023897</v>
      </c>
      <c r="P120" s="1" t="str">
        <f>HYPERLINK(".\sm_car_250825_2318\sm_car_250825_2318_119_Ca142TrN_MaMPK_DrSt_ode23t_1.png","figure")</f>
        <v>figure</v>
      </c>
      <c r="Q120" t="s">
        <v>15</v>
      </c>
      <c r="U120">
        <f>L120-'2022a_250824_2329'!L120</f>
        <v>3705</v>
      </c>
      <c r="V120" s="12">
        <f>U120/'2022a_250824_2329'!L120</f>
        <v>1.4444444444444444</v>
      </c>
      <c r="W120">
        <f>M120-'2022a_250824_2329'!M120</f>
        <v>19.933088599999998</v>
      </c>
      <c r="X120" s="12">
        <f>W120/'2022a_250824_2329'!M120</f>
        <v>0.55644371887262833</v>
      </c>
    </row>
    <row r="121" spans="1:24" x14ac:dyDescent="0.25">
      <c r="A121">
        <v>120</v>
      </c>
      <c r="B121">
        <v>142</v>
      </c>
      <c r="C121" t="s">
        <v>45</v>
      </c>
      <c r="D121" t="s">
        <v>17</v>
      </c>
      <c r="E121" t="s">
        <v>49</v>
      </c>
      <c r="F121" t="s">
        <v>28</v>
      </c>
      <c r="G121" t="s">
        <v>26</v>
      </c>
      <c r="H121" t="s">
        <v>21</v>
      </c>
      <c r="I121" t="s">
        <v>55</v>
      </c>
      <c r="J121" t="s">
        <v>149</v>
      </c>
      <c r="K121" t="s">
        <v>23</v>
      </c>
      <c r="L121">
        <v>6658</v>
      </c>
      <c r="M121" s="4">
        <v>58.266916700000003</v>
      </c>
      <c r="N121" s="4">
        <v>-9.4865109033263201E-3</v>
      </c>
      <c r="O121" s="4">
        <v>-7.990457321656172E-2</v>
      </c>
      <c r="P121" s="1" t="str">
        <f>HYPERLINK(".\sm_car_250825_2318\sm_car_250825_2318_120_Ca142TrN_MaMPK_DrSt_ode23t_1.png","figure")</f>
        <v>figure</v>
      </c>
      <c r="Q121" t="s">
        <v>15</v>
      </c>
      <c r="U121">
        <f>L121-'2022a_250824_2329'!L121</f>
        <v>3734</v>
      </c>
      <c r="V121" s="12">
        <f>U121/'2022a_250824_2329'!L121</f>
        <v>1.2770177838577292</v>
      </c>
      <c r="W121">
        <f>M121-'2022a_250824_2329'!M121</f>
        <v>24.887270000000001</v>
      </c>
      <c r="X121" s="12">
        <f>W121/'2022a_250824_2329'!M121</f>
        <v>0.74558218736329518</v>
      </c>
    </row>
    <row r="122" spans="1:24" x14ac:dyDescent="0.25">
      <c r="A122">
        <v>121</v>
      </c>
      <c r="B122">
        <v>142</v>
      </c>
      <c r="C122" t="s">
        <v>45</v>
      </c>
      <c r="D122" t="s">
        <v>17</v>
      </c>
      <c r="E122" t="s">
        <v>49</v>
      </c>
      <c r="F122" t="s">
        <v>28</v>
      </c>
      <c r="G122" t="s">
        <v>26</v>
      </c>
      <c r="H122" t="s">
        <v>21</v>
      </c>
      <c r="I122" t="s">
        <v>56</v>
      </c>
      <c r="J122" t="s">
        <v>148</v>
      </c>
      <c r="K122" t="s">
        <v>23</v>
      </c>
      <c r="L122">
        <v>6731</v>
      </c>
      <c r="M122" s="4">
        <v>60.100198200000001</v>
      </c>
      <c r="N122" s="4">
        <v>0.78549107617987346</v>
      </c>
      <c r="O122" s="4">
        <v>-0.37184875879313684</v>
      </c>
      <c r="P122" s="1" t="str">
        <f>HYPERLINK(".\sm_car_250825_2318\sm_car_250825_2318_121_Ca142TrN_MaMPC_DrSt_ode23t_1.png","figure")</f>
        <v>figure</v>
      </c>
      <c r="Q122" t="s">
        <v>15</v>
      </c>
      <c r="U122">
        <f>L122-'2022a_250824_2329'!L122</f>
        <v>4328</v>
      </c>
      <c r="V122" s="12">
        <f>U122/'2022a_250824_2329'!L122</f>
        <v>1.8010819808572618</v>
      </c>
      <c r="W122">
        <f>M122-'2022a_250824_2329'!M122</f>
        <v>24.764278000000004</v>
      </c>
      <c r="X122" s="12">
        <f>W122/'2022a_250824_2329'!M122</f>
        <v>0.70082448284451371</v>
      </c>
    </row>
    <row r="123" spans="1:24" x14ac:dyDescent="0.25">
      <c r="A123">
        <v>122</v>
      </c>
      <c r="B123">
        <v>142</v>
      </c>
      <c r="C123" t="s">
        <v>45</v>
      </c>
      <c r="D123" t="s">
        <v>17</v>
      </c>
      <c r="E123" t="s">
        <v>49</v>
      </c>
      <c r="F123" t="s">
        <v>28</v>
      </c>
      <c r="G123" t="s">
        <v>26</v>
      </c>
      <c r="H123" t="s">
        <v>21</v>
      </c>
      <c r="I123" t="s">
        <v>56</v>
      </c>
      <c r="J123" t="s">
        <v>149</v>
      </c>
      <c r="K123" t="s">
        <v>23</v>
      </c>
      <c r="L123">
        <v>7008</v>
      </c>
      <c r="M123" s="4">
        <v>60.214268400000002</v>
      </c>
      <c r="N123" s="4">
        <v>0.78902814071258121</v>
      </c>
      <c r="O123" s="4">
        <v>1.633938896368382E-2</v>
      </c>
      <c r="P123" s="1" t="str">
        <f>HYPERLINK(".\sm_car_250825_2318\sm_car_250825_2318_122_Ca142TrN_MaMPC_DrSt_ode23t_1.png","figure")</f>
        <v>figure</v>
      </c>
      <c r="Q123" t="s">
        <v>15</v>
      </c>
      <c r="U123">
        <f>L123-'2022a_250824_2329'!L123</f>
        <v>4230</v>
      </c>
      <c r="V123" s="12">
        <f>U123/'2022a_250824_2329'!L123</f>
        <v>1.5226781857451404</v>
      </c>
      <c r="W123">
        <f>M123-'2022a_250824_2329'!M123</f>
        <v>21.590325100000001</v>
      </c>
      <c r="X123" s="12">
        <f>W123/'2022a_250824_2329'!M123</f>
        <v>0.55898811087991629</v>
      </c>
    </row>
    <row r="124" spans="1:24" x14ac:dyDescent="0.25">
      <c r="A124">
        <v>123</v>
      </c>
      <c r="B124">
        <v>116</v>
      </c>
      <c r="C124" t="s">
        <v>16</v>
      </c>
      <c r="D124" t="s">
        <v>35</v>
      </c>
      <c r="E124" t="s">
        <v>18</v>
      </c>
      <c r="F124" t="s">
        <v>28</v>
      </c>
      <c r="G124" t="s">
        <v>20</v>
      </c>
      <c r="H124" t="s">
        <v>21</v>
      </c>
      <c r="I124" t="s">
        <v>55</v>
      </c>
      <c r="J124" t="s">
        <v>148</v>
      </c>
      <c r="K124" t="s">
        <v>23</v>
      </c>
      <c r="L124">
        <v>3942</v>
      </c>
      <c r="M124" s="4">
        <v>18.307022</v>
      </c>
      <c r="N124" s="4">
        <v>-1.9083999591504586E-2</v>
      </c>
      <c r="O124" s="4">
        <v>-0.54262804856098168</v>
      </c>
      <c r="P124" s="1" t="str">
        <f>HYPERLINK(".\sm_car_250825_2318\sm_car_250825_2318_123_Ca116TrN_MaMPK_DrSt_ode23t_1.png","figure")</f>
        <v>figure</v>
      </c>
      <c r="Q124" t="s">
        <v>15</v>
      </c>
      <c r="U124">
        <f>L124-'2022a_250824_2329'!L124</f>
        <v>1078</v>
      </c>
      <c r="V124" s="12">
        <f>U124/'2022a_250824_2329'!L124</f>
        <v>0.37639664804469275</v>
      </c>
      <c r="W124">
        <f>M124-'2022a_250824_2329'!M124</f>
        <v>4.0696431000000004</v>
      </c>
      <c r="X124" s="12">
        <f>W124/'2022a_250824_2329'!M124</f>
        <v>0.28584215736507518</v>
      </c>
    </row>
    <row r="125" spans="1:24" x14ac:dyDescent="0.25">
      <c r="A125">
        <v>124</v>
      </c>
      <c r="B125">
        <v>116</v>
      </c>
      <c r="C125" t="s">
        <v>16</v>
      </c>
      <c r="D125" t="s">
        <v>35</v>
      </c>
      <c r="E125" t="s">
        <v>18</v>
      </c>
      <c r="F125" t="s">
        <v>28</v>
      </c>
      <c r="G125" t="s">
        <v>20</v>
      </c>
      <c r="H125" t="s">
        <v>21</v>
      </c>
      <c r="I125" t="s">
        <v>55</v>
      </c>
      <c r="J125" t="s">
        <v>149</v>
      </c>
      <c r="K125" t="s">
        <v>23</v>
      </c>
      <c r="L125">
        <v>3846</v>
      </c>
      <c r="M125" s="4">
        <v>18.520439499999998</v>
      </c>
      <c r="N125" s="4">
        <v>-1.8553545919564873E-2</v>
      </c>
      <c r="O125" s="4">
        <v>-0.53537904376672463</v>
      </c>
      <c r="P125" s="1" t="str">
        <f>HYPERLINK(".\sm_car_250825_2318\sm_car_250825_2318_124_Ca116TrN_MaMPK_DrSt_ode23t_1.png","figure")</f>
        <v>figure</v>
      </c>
      <c r="Q125" t="s">
        <v>15</v>
      </c>
      <c r="U125">
        <f>L125-'2022a_250824_2329'!L125</f>
        <v>1063</v>
      </c>
      <c r="V125" s="12">
        <f>U125/'2022a_250824_2329'!L125</f>
        <v>0.38196191160618037</v>
      </c>
      <c r="W125">
        <f>M125-'2022a_250824_2329'!M125</f>
        <v>4.791368799999999</v>
      </c>
      <c r="X125" s="12">
        <f>W125/'2022a_250824_2329'!M125</f>
        <v>0.34899440061882697</v>
      </c>
    </row>
    <row r="126" spans="1:24" x14ac:dyDescent="0.25">
      <c r="A126">
        <v>125</v>
      </c>
      <c r="B126">
        <v>116</v>
      </c>
      <c r="C126" t="s">
        <v>16</v>
      </c>
      <c r="D126" t="s">
        <v>35</v>
      </c>
      <c r="E126" t="s">
        <v>18</v>
      </c>
      <c r="F126" t="s">
        <v>28</v>
      </c>
      <c r="G126" t="s">
        <v>20</v>
      </c>
      <c r="H126" t="s">
        <v>21</v>
      </c>
      <c r="I126" t="s">
        <v>56</v>
      </c>
      <c r="J126" t="s">
        <v>148</v>
      </c>
      <c r="K126" t="s">
        <v>23</v>
      </c>
      <c r="L126">
        <v>4289</v>
      </c>
      <c r="M126" s="4">
        <v>19.6602973</v>
      </c>
      <c r="N126" s="4">
        <v>0.7882001885605483</v>
      </c>
      <c r="O126" s="4">
        <v>-0.36277227643600762</v>
      </c>
      <c r="P126" s="1" t="str">
        <f>HYPERLINK(".\sm_car_250825_2318\sm_car_250825_2318_125_Ca116TrN_MaMPC_DrSt_ode23t_1.png","figure")</f>
        <v>figure</v>
      </c>
      <c r="Q126" t="s">
        <v>15</v>
      </c>
      <c r="U126">
        <f>L126-'2022a_250824_2329'!L126</f>
        <v>1521</v>
      </c>
      <c r="V126" s="12">
        <f>U126/'2022a_250824_2329'!L126</f>
        <v>0.54949421965317924</v>
      </c>
      <c r="W126">
        <f>M126-'2022a_250824_2329'!M126</f>
        <v>6.2124184000000007</v>
      </c>
      <c r="X126" s="12">
        <f>W126/'2022a_250824_2329'!M126</f>
        <v>0.46196269658555605</v>
      </c>
    </row>
    <row r="127" spans="1:24" x14ac:dyDescent="0.25">
      <c r="A127">
        <v>126</v>
      </c>
      <c r="B127">
        <v>116</v>
      </c>
      <c r="C127" t="s">
        <v>16</v>
      </c>
      <c r="D127" t="s">
        <v>35</v>
      </c>
      <c r="E127" t="s">
        <v>18</v>
      </c>
      <c r="F127" t="s">
        <v>28</v>
      </c>
      <c r="G127" t="s">
        <v>20</v>
      </c>
      <c r="H127" t="s">
        <v>21</v>
      </c>
      <c r="I127" t="s">
        <v>56</v>
      </c>
      <c r="J127" t="s">
        <v>149</v>
      </c>
      <c r="K127" t="s">
        <v>23</v>
      </c>
      <c r="L127">
        <v>4235</v>
      </c>
      <c r="M127" s="4">
        <v>19.537984699999999</v>
      </c>
      <c r="N127" s="4">
        <v>0.78849236377271481</v>
      </c>
      <c r="O127" s="4">
        <v>0.44090044064766282</v>
      </c>
      <c r="P127" s="1" t="str">
        <f>HYPERLINK(".\sm_car_250825_2318\sm_car_250825_2318_126_Ca116TrN_MaMPC_DrSt_ode23t_1.png","figure")</f>
        <v>figure</v>
      </c>
      <c r="Q127" t="s">
        <v>15</v>
      </c>
      <c r="U127">
        <f>L127-'2022a_250824_2329'!L127</f>
        <v>1596</v>
      </c>
      <c r="V127" s="12">
        <f>U127/'2022a_250824_2329'!L127</f>
        <v>0.60477453580901852</v>
      </c>
      <c r="W127">
        <f>M127-'2022a_250824_2329'!M127</f>
        <v>6.5428875999999985</v>
      </c>
      <c r="X127" s="12">
        <f>W127/'2022a_250824_2329'!M127</f>
        <v>0.50348893506921144</v>
      </c>
    </row>
    <row r="128" spans="1:24" x14ac:dyDescent="0.25">
      <c r="A128">
        <v>127</v>
      </c>
      <c r="B128">
        <v>143</v>
      </c>
      <c r="C128" t="s">
        <v>46</v>
      </c>
      <c r="D128" t="s">
        <v>17</v>
      </c>
      <c r="E128" t="s">
        <v>47</v>
      </c>
      <c r="F128" t="s">
        <v>19</v>
      </c>
      <c r="G128" t="s">
        <v>26</v>
      </c>
      <c r="H128" t="s">
        <v>21</v>
      </c>
      <c r="I128" t="s">
        <v>55</v>
      </c>
      <c r="J128" t="s">
        <v>148</v>
      </c>
      <c r="K128" t="s">
        <v>23</v>
      </c>
      <c r="L128">
        <v>7027</v>
      </c>
      <c r="M128" s="4">
        <v>120.6116937</v>
      </c>
      <c r="N128" s="4">
        <v>-1.6058822436668618E-2</v>
      </c>
      <c r="O128" s="4">
        <v>-0.40381896543880286</v>
      </c>
      <c r="P128" s="1" t="str">
        <f>HYPERLINK(".\sm_car_250825_2318\sm_car_250825_2318_127_Ca143TrN_MaMPK_DrSt_ode23t_1.png","figure")</f>
        <v>figure</v>
      </c>
      <c r="Q128" t="s">
        <v>15</v>
      </c>
      <c r="U128">
        <f>L128-'2022a_250824_2329'!L128</f>
        <v>4553</v>
      </c>
      <c r="V128" s="12">
        <f>U128/'2022a_250824_2329'!L128</f>
        <v>1.8403395311236863</v>
      </c>
      <c r="W128">
        <f>M128-'2022a_250824_2329'!M128</f>
        <v>72.181290799999999</v>
      </c>
      <c r="X128" s="12">
        <f>W128/'2022a_250824_2329'!M128</f>
        <v>1.4904127671421872</v>
      </c>
    </row>
    <row r="129" spans="1:24" x14ac:dyDescent="0.25">
      <c r="A129">
        <v>128</v>
      </c>
      <c r="B129">
        <v>143</v>
      </c>
      <c r="C129" t="s">
        <v>46</v>
      </c>
      <c r="D129" t="s">
        <v>17</v>
      </c>
      <c r="E129" t="s">
        <v>47</v>
      </c>
      <c r="F129" t="s">
        <v>19</v>
      </c>
      <c r="G129" t="s">
        <v>26</v>
      </c>
      <c r="H129" t="s">
        <v>21</v>
      </c>
      <c r="I129" t="s">
        <v>55</v>
      </c>
      <c r="J129" t="s">
        <v>149</v>
      </c>
      <c r="K129" t="s">
        <v>23</v>
      </c>
      <c r="L129">
        <v>6907</v>
      </c>
      <c r="M129" s="4">
        <v>116.405809</v>
      </c>
      <c r="N129" s="4">
        <v>-1.1701600434201931E-2</v>
      </c>
      <c r="O129" s="4">
        <v>-8.9175123882842475E-2</v>
      </c>
      <c r="P129" s="1" t="str">
        <f>HYPERLINK(".\sm_car_250825_2318\sm_car_250825_2318_128_Ca143TrN_MaMPK_DrSt_ode23t_1.png","figure")</f>
        <v>figure</v>
      </c>
      <c r="Q129" t="s">
        <v>15</v>
      </c>
      <c r="U129">
        <f>L129-'2022a_250824_2329'!L129</f>
        <v>4694</v>
      </c>
      <c r="V129" s="12">
        <f>U129/'2022a_250824_2329'!L129</f>
        <v>2.1211025756891098</v>
      </c>
      <c r="W129">
        <f>M129-'2022a_250824_2329'!M129</f>
        <v>74.452236200000002</v>
      </c>
      <c r="X129" s="12">
        <f>W129/'2022a_250824_2329'!M129</f>
        <v>1.7746339877875668</v>
      </c>
    </row>
    <row r="130" spans="1:24" x14ac:dyDescent="0.25">
      <c r="A130">
        <v>129</v>
      </c>
      <c r="B130">
        <v>143</v>
      </c>
      <c r="C130" t="s">
        <v>46</v>
      </c>
      <c r="D130" t="s">
        <v>17</v>
      </c>
      <c r="E130" t="s">
        <v>47</v>
      </c>
      <c r="F130" t="s">
        <v>19</v>
      </c>
      <c r="G130" t="s">
        <v>26</v>
      </c>
      <c r="H130" t="s">
        <v>21</v>
      </c>
      <c r="I130" t="s">
        <v>56</v>
      </c>
      <c r="J130" t="s">
        <v>148</v>
      </c>
      <c r="K130" t="s">
        <v>23</v>
      </c>
      <c r="L130">
        <v>7285</v>
      </c>
      <c r="M130" s="4">
        <v>126.4825108</v>
      </c>
      <c r="N130" s="4">
        <v>0.78873030151797252</v>
      </c>
      <c r="O130" s="4">
        <v>-0.27201517114457502</v>
      </c>
      <c r="P130" s="1" t="str">
        <f>HYPERLINK(".\sm_car_250825_2318\sm_car_250825_2318_129_Ca143TrN_MaMPC_DrSt_ode23t_1.png","figure")</f>
        <v>figure</v>
      </c>
      <c r="Q130" t="s">
        <v>15</v>
      </c>
      <c r="U130">
        <f>L130-'2022a_250824_2329'!L130</f>
        <v>4922</v>
      </c>
      <c r="V130" s="12">
        <f>U130/'2022a_250824_2329'!L130</f>
        <v>2.082945408379179</v>
      </c>
      <c r="W130">
        <f>M130-'2022a_250824_2329'!M130</f>
        <v>76.073218800000006</v>
      </c>
      <c r="X130" s="12">
        <f>W130/'2022a_250824_2329'!M130</f>
        <v>1.5091110345291103</v>
      </c>
    </row>
    <row r="131" spans="1:24" x14ac:dyDescent="0.25">
      <c r="A131">
        <v>130</v>
      </c>
      <c r="B131">
        <v>143</v>
      </c>
      <c r="C131" t="s">
        <v>46</v>
      </c>
      <c r="D131" t="s">
        <v>17</v>
      </c>
      <c r="E131" t="s">
        <v>47</v>
      </c>
      <c r="F131" t="s">
        <v>19</v>
      </c>
      <c r="G131" t="s">
        <v>26</v>
      </c>
      <c r="H131" t="s">
        <v>21</v>
      </c>
      <c r="I131" t="s">
        <v>56</v>
      </c>
      <c r="J131" t="s">
        <v>149</v>
      </c>
      <c r="K131" t="s">
        <v>23</v>
      </c>
      <c r="L131">
        <v>7111</v>
      </c>
      <c r="M131" s="4">
        <v>120.68154269999999</v>
      </c>
      <c r="N131" s="4">
        <v>0.78812654617375522</v>
      </c>
      <c r="O131" s="4">
        <v>-0.15871083860734198</v>
      </c>
      <c r="P131" s="1" t="str">
        <f>HYPERLINK(".\sm_car_250825_2318\sm_car_250825_2318_130_Ca143TrN_MaMPC_DrSt_ode23t_1.png","figure")</f>
        <v>figure</v>
      </c>
      <c r="Q131" t="s">
        <v>15</v>
      </c>
      <c r="U131">
        <f>L131-'2022a_250824_2329'!L131</f>
        <v>4980</v>
      </c>
      <c r="V131" s="12">
        <f>U131/'2022a_250824_2329'!L131</f>
        <v>2.336931018301267</v>
      </c>
      <c r="W131">
        <f>M131-'2022a_250824_2329'!M131</f>
        <v>75.141994699999998</v>
      </c>
      <c r="X131" s="12">
        <f>W131/'2022a_250824_2329'!M131</f>
        <v>1.6500382195273433</v>
      </c>
    </row>
    <row r="132" spans="1:24" x14ac:dyDescent="0.25">
      <c r="A132">
        <v>131</v>
      </c>
      <c r="B132">
        <v>166</v>
      </c>
      <c r="C132" t="s">
        <v>45</v>
      </c>
      <c r="D132" t="s">
        <v>57</v>
      </c>
      <c r="E132" t="s">
        <v>18</v>
      </c>
      <c r="F132" t="s">
        <v>19</v>
      </c>
      <c r="G132" t="s">
        <v>26</v>
      </c>
      <c r="H132" t="s">
        <v>21</v>
      </c>
      <c r="I132" t="s">
        <v>55</v>
      </c>
      <c r="J132" t="s">
        <v>148</v>
      </c>
      <c r="K132" t="s">
        <v>23</v>
      </c>
      <c r="L132">
        <v>4461</v>
      </c>
      <c r="M132" s="4">
        <v>63.4283182</v>
      </c>
      <c r="N132" s="4">
        <v>-1.5349989926030844E-2</v>
      </c>
      <c r="O132" s="4">
        <v>-0.57275271255261018</v>
      </c>
      <c r="P132" s="1" t="str">
        <f>HYPERLINK(".\sm_car_250825_2318\sm_car_250825_2318_131_Ca166TrN_MaMPK_DrSt_ode23t_1.png","figure")</f>
        <v>figure</v>
      </c>
      <c r="Q132" t="s">
        <v>15</v>
      </c>
      <c r="U132">
        <f>L132-'2022a_250824_2329'!L132</f>
        <v>1303</v>
      </c>
      <c r="V132" s="12">
        <f>U132/'2022a_250824_2329'!L132</f>
        <v>0.41260291323622544</v>
      </c>
      <c r="W132">
        <f>M132-'2022a_250824_2329'!M132</f>
        <v>10.822170800000002</v>
      </c>
      <c r="X132" s="12">
        <f>W132/'2022a_250824_2329'!M132</f>
        <v>0.20572064929430667</v>
      </c>
    </row>
    <row r="133" spans="1:24" x14ac:dyDescent="0.25">
      <c r="A133">
        <v>132</v>
      </c>
      <c r="B133">
        <v>166</v>
      </c>
      <c r="C133" t="s">
        <v>45</v>
      </c>
      <c r="D133" t="s">
        <v>57</v>
      </c>
      <c r="E133" t="s">
        <v>18</v>
      </c>
      <c r="F133" t="s">
        <v>19</v>
      </c>
      <c r="G133" t="s">
        <v>26</v>
      </c>
      <c r="H133" t="s">
        <v>21</v>
      </c>
      <c r="I133" t="s">
        <v>55</v>
      </c>
      <c r="J133" t="s">
        <v>149</v>
      </c>
      <c r="K133" t="s">
        <v>23</v>
      </c>
      <c r="L133">
        <v>5027</v>
      </c>
      <c r="M133" s="4">
        <v>68.019026600000004</v>
      </c>
      <c r="N133" s="4">
        <v>-1.0505529724986626E-2</v>
      </c>
      <c r="O133" s="4">
        <v>-8.4889117268277969E-2</v>
      </c>
      <c r="P133" s="1" t="str">
        <f>HYPERLINK(".\sm_car_250825_2318\sm_car_250825_2318_132_Ca166TrN_MaMPK_DrSt_ode23t_1.png","figure")</f>
        <v>figure</v>
      </c>
      <c r="Q133" t="s">
        <v>15</v>
      </c>
      <c r="U133">
        <f>L133-'2022a_250824_2329'!L133</f>
        <v>1268</v>
      </c>
      <c r="V133" s="12">
        <f>U133/'2022a_250824_2329'!L133</f>
        <v>0.33732375631816974</v>
      </c>
      <c r="W133">
        <f>M133-'2022a_250824_2329'!M133</f>
        <v>9.9908659000000029</v>
      </c>
      <c r="X133" s="12">
        <f>W133/'2022a_250824_2329'!M133</f>
        <v>0.1721727137217362</v>
      </c>
    </row>
    <row r="134" spans="1:24" x14ac:dyDescent="0.25">
      <c r="A134">
        <v>133</v>
      </c>
      <c r="B134">
        <v>166</v>
      </c>
      <c r="C134" t="s">
        <v>45</v>
      </c>
      <c r="D134" t="s">
        <v>57</v>
      </c>
      <c r="E134" t="s">
        <v>18</v>
      </c>
      <c r="F134" t="s">
        <v>19</v>
      </c>
      <c r="G134" t="s">
        <v>26</v>
      </c>
      <c r="H134" t="s">
        <v>21</v>
      </c>
      <c r="I134" t="s">
        <v>56</v>
      </c>
      <c r="J134" t="s">
        <v>148</v>
      </c>
      <c r="K134" t="s">
        <v>23</v>
      </c>
      <c r="L134">
        <v>5135</v>
      </c>
      <c r="M134" s="4">
        <v>67.653187799999998</v>
      </c>
      <c r="N134" s="4">
        <v>0.78884194740848557</v>
      </c>
      <c r="O134" s="4">
        <v>-0.36193352087266806</v>
      </c>
      <c r="P134" s="1" t="str">
        <f>HYPERLINK(".\sm_car_250825_2318\sm_car_250825_2318_133_Ca166TrN_MaMPC_DrSt_ode23t_1.png","figure")</f>
        <v>figure</v>
      </c>
      <c r="Q134" t="s">
        <v>15</v>
      </c>
      <c r="U134">
        <f>L134-'2022a_250824_2329'!L134</f>
        <v>2107</v>
      </c>
      <c r="V134" s="12">
        <f>U134/'2022a_250824_2329'!L134</f>
        <v>0.69583883751651254</v>
      </c>
      <c r="W134">
        <f>M134-'2022a_250824_2329'!M134</f>
        <v>15.333230299999997</v>
      </c>
      <c r="X134" s="12">
        <f>W134/'2022a_250824_2329'!M134</f>
        <v>0.29306656642448525</v>
      </c>
    </row>
    <row r="135" spans="1:24" x14ac:dyDescent="0.25">
      <c r="A135">
        <v>134</v>
      </c>
      <c r="B135">
        <v>166</v>
      </c>
      <c r="C135" t="s">
        <v>45</v>
      </c>
      <c r="D135" t="s">
        <v>57</v>
      </c>
      <c r="E135" t="s">
        <v>18</v>
      </c>
      <c r="F135" t="s">
        <v>19</v>
      </c>
      <c r="G135" t="s">
        <v>26</v>
      </c>
      <c r="H135" t="s">
        <v>21</v>
      </c>
      <c r="I135" t="s">
        <v>56</v>
      </c>
      <c r="J135" t="s">
        <v>149</v>
      </c>
      <c r="K135" t="s">
        <v>23</v>
      </c>
      <c r="L135">
        <v>5670</v>
      </c>
      <c r="M135" s="4">
        <v>70.765748700000003</v>
      </c>
      <c r="N135" s="4">
        <v>0.78526196342716226</v>
      </c>
      <c r="O135" s="4">
        <v>2.5826266691954911E-2</v>
      </c>
      <c r="P135" s="1" t="str">
        <f>HYPERLINK(".\sm_car_250825_2318\sm_car_250825_2318_134_Ca166TrN_MaMPC_DrSt_ode23t_1.png","figure")</f>
        <v>figure</v>
      </c>
      <c r="Q135" t="s">
        <v>15</v>
      </c>
      <c r="U135">
        <f>L135-'2022a_250824_2329'!L135</f>
        <v>2203</v>
      </c>
      <c r="V135" s="12">
        <f>U135/'2022a_250824_2329'!L135</f>
        <v>0.63541967118546294</v>
      </c>
      <c r="W135">
        <f>M135-'2022a_250824_2329'!M135</f>
        <v>17.601449800000005</v>
      </c>
      <c r="X135" s="12">
        <f>W135/'2022a_250824_2329'!M135</f>
        <v>0.33107649614843326</v>
      </c>
    </row>
    <row r="136" spans="1:24" x14ac:dyDescent="0.25">
      <c r="A136">
        <v>135</v>
      </c>
      <c r="B136">
        <v>169</v>
      </c>
      <c r="C136" t="s">
        <v>45</v>
      </c>
      <c r="D136" t="s">
        <v>58</v>
      </c>
      <c r="E136" t="s">
        <v>49</v>
      </c>
      <c r="F136" t="s">
        <v>19</v>
      </c>
      <c r="G136" t="s">
        <v>26</v>
      </c>
      <c r="H136" t="s">
        <v>21</v>
      </c>
      <c r="I136" t="s">
        <v>55</v>
      </c>
      <c r="J136" t="s">
        <v>148</v>
      </c>
      <c r="K136" t="s">
        <v>23</v>
      </c>
      <c r="L136">
        <v>4751</v>
      </c>
      <c r="M136" s="4">
        <v>61.881639700000001</v>
      </c>
      <c r="N136" s="4">
        <v>-1.8286478120095415E-2</v>
      </c>
      <c r="O136" s="4">
        <v>-0.57360079444945</v>
      </c>
      <c r="P136" s="1" t="str">
        <f>HYPERLINK(".\sm_car_250825_2318\sm_car_250825_2318_135_Ca169TrN_MaMPK_DrSt_ode23t_1.png","figure")</f>
        <v>figure</v>
      </c>
      <c r="Q136" t="s">
        <v>15</v>
      </c>
      <c r="U136">
        <f>L136-'2022a_250824_2329'!L136</f>
        <v>1452</v>
      </c>
      <c r="V136" s="12">
        <f>U136/'2022a_250824_2329'!L136</f>
        <v>0.44013337374962108</v>
      </c>
      <c r="W136">
        <f>M136-'2022a_250824_2329'!M136</f>
        <v>14.615970900000001</v>
      </c>
      <c r="X136" s="12">
        <f>W136/'2022a_250824_2329'!M136</f>
        <v>0.30923017215404347</v>
      </c>
    </row>
    <row r="137" spans="1:24" x14ac:dyDescent="0.25">
      <c r="A137">
        <v>136</v>
      </c>
      <c r="B137">
        <v>169</v>
      </c>
      <c r="C137" t="s">
        <v>45</v>
      </c>
      <c r="D137" t="s">
        <v>58</v>
      </c>
      <c r="E137" t="s">
        <v>49</v>
      </c>
      <c r="F137" t="s">
        <v>19</v>
      </c>
      <c r="G137" t="s">
        <v>26</v>
      </c>
      <c r="H137" t="s">
        <v>21</v>
      </c>
      <c r="I137" t="s">
        <v>55</v>
      </c>
      <c r="J137" t="s">
        <v>149</v>
      </c>
      <c r="K137" t="s">
        <v>23</v>
      </c>
      <c r="L137">
        <v>5353</v>
      </c>
      <c r="M137" s="4">
        <v>64.229195799999999</v>
      </c>
      <c r="N137" s="4">
        <v>-1.0481490955746769E-2</v>
      </c>
      <c r="O137" s="4">
        <v>-8.3828718915799877E-2</v>
      </c>
      <c r="P137" s="1" t="str">
        <f>HYPERLINK(".\sm_car_250825_2318\sm_car_250825_2318_136_Ca169TrN_MaMPK_DrSt_ode23t_1.png","figure")</f>
        <v>figure</v>
      </c>
      <c r="Q137" t="s">
        <v>15</v>
      </c>
      <c r="U137">
        <f>L137-'2022a_250824_2329'!L137</f>
        <v>1447</v>
      </c>
      <c r="V137" s="12">
        <f>U137/'2022a_250824_2329'!L137</f>
        <v>0.37045570916538656</v>
      </c>
      <c r="W137">
        <f>M137-'2022a_250824_2329'!M137</f>
        <v>12.045473600000001</v>
      </c>
      <c r="X137" s="12">
        <f>W137/'2022a_250824_2329'!M137</f>
        <v>0.23082817959658694</v>
      </c>
    </row>
    <row r="138" spans="1:24" x14ac:dyDescent="0.25">
      <c r="A138">
        <v>137</v>
      </c>
      <c r="B138">
        <v>169</v>
      </c>
      <c r="C138" t="s">
        <v>45</v>
      </c>
      <c r="D138" t="s">
        <v>58</v>
      </c>
      <c r="E138" t="s">
        <v>49</v>
      </c>
      <c r="F138" t="s">
        <v>19</v>
      </c>
      <c r="G138" t="s">
        <v>26</v>
      </c>
      <c r="H138" t="s">
        <v>21</v>
      </c>
      <c r="I138" t="s">
        <v>56</v>
      </c>
      <c r="J138" t="s">
        <v>148</v>
      </c>
      <c r="K138" t="s">
        <v>23</v>
      </c>
      <c r="L138">
        <v>5236</v>
      </c>
      <c r="M138" s="4">
        <v>60.612090000000002</v>
      </c>
      <c r="N138" s="4">
        <v>0.78742472331971847</v>
      </c>
      <c r="O138" s="4">
        <v>-0.35995386805849677</v>
      </c>
      <c r="P138" s="1" t="str">
        <f>HYPERLINK(".\sm_car_250825_2318\sm_car_250825_2318_137_Ca169TrN_MaMPC_DrSt_ode23t_1.png","figure")</f>
        <v>figure</v>
      </c>
      <c r="Q138" t="s">
        <v>15</v>
      </c>
      <c r="U138">
        <f>L138-'2022a_250824_2329'!L138</f>
        <v>2193</v>
      </c>
      <c r="V138" s="12">
        <f>U138/'2022a_250824_2329'!L138</f>
        <v>0.72067039106145248</v>
      </c>
      <c r="W138">
        <f>M138-'2022a_250824_2329'!M138</f>
        <v>14.237084400000001</v>
      </c>
      <c r="X138" s="12">
        <f>W138/'2022a_250824_2329'!M138</f>
        <v>0.30699908745671395</v>
      </c>
    </row>
    <row r="139" spans="1:24" x14ac:dyDescent="0.25">
      <c r="A139">
        <v>138</v>
      </c>
      <c r="B139">
        <v>169</v>
      </c>
      <c r="C139" t="s">
        <v>45</v>
      </c>
      <c r="D139" t="s">
        <v>58</v>
      </c>
      <c r="E139" t="s">
        <v>49</v>
      </c>
      <c r="F139" t="s">
        <v>19</v>
      </c>
      <c r="G139" t="s">
        <v>26</v>
      </c>
      <c r="H139" t="s">
        <v>21</v>
      </c>
      <c r="I139" t="s">
        <v>56</v>
      </c>
      <c r="J139" t="s">
        <v>149</v>
      </c>
      <c r="K139" t="s">
        <v>23</v>
      </c>
      <c r="L139">
        <v>5775</v>
      </c>
      <c r="M139" s="4">
        <v>64.157680799999994</v>
      </c>
      <c r="N139" s="4">
        <v>0.78918336319311067</v>
      </c>
      <c r="O139" s="4">
        <v>2.8097893790617515E-2</v>
      </c>
      <c r="P139" s="1" t="str">
        <f>HYPERLINK(".\sm_car_250825_2318\sm_car_250825_2318_138_Ca169TrN_MaMPC_DrSt_ode23t_1.png","figure")</f>
        <v>figure</v>
      </c>
      <c r="Q139" t="s">
        <v>15</v>
      </c>
      <c r="U139">
        <f>L139-'2022a_250824_2329'!L139</f>
        <v>2305</v>
      </c>
      <c r="V139" s="12">
        <f>U139/'2022a_250824_2329'!L139</f>
        <v>0.66426512968299711</v>
      </c>
      <c r="W139">
        <f>M139-'2022a_250824_2329'!M139</f>
        <v>16.760472099999994</v>
      </c>
      <c r="X139" s="12">
        <f>W139/'2022a_250824_2329'!M139</f>
        <v>0.35361728168604145</v>
      </c>
    </row>
    <row r="140" spans="1:24" x14ac:dyDescent="0.25">
      <c r="A140">
        <v>139</v>
      </c>
      <c r="B140">
        <v>184</v>
      </c>
      <c r="C140" t="s">
        <v>105</v>
      </c>
      <c r="D140" t="s">
        <v>120</v>
      </c>
      <c r="E140" t="s">
        <v>49</v>
      </c>
      <c r="F140" t="s">
        <v>19</v>
      </c>
      <c r="G140" t="s">
        <v>20</v>
      </c>
      <c r="H140" t="s">
        <v>21</v>
      </c>
      <c r="I140" t="s">
        <v>55</v>
      </c>
      <c r="J140" t="s">
        <v>148</v>
      </c>
      <c r="K140" t="s">
        <v>23</v>
      </c>
      <c r="L140">
        <v>5069</v>
      </c>
      <c r="M140" s="4">
        <v>87.265995000000004</v>
      </c>
      <c r="N140" s="4">
        <v>-2.1973601018798333E-2</v>
      </c>
      <c r="O140" s="4">
        <v>-0.74304500228661774</v>
      </c>
      <c r="P140" s="1" t="str">
        <f>HYPERLINK(".\sm_car_250825_2318\sm_car_250825_2318_139_Ca184TrN_MaMPK_DrSt_ode23t_1.png","figure")</f>
        <v>figure</v>
      </c>
      <c r="Q140" t="s">
        <v>15</v>
      </c>
      <c r="U140">
        <f>L140-'2022a_250824_2329'!L140</f>
        <v>2861</v>
      </c>
      <c r="V140" s="12">
        <f>U140/'2022a_250824_2329'!L140</f>
        <v>1.2957427536231885</v>
      </c>
      <c r="W140">
        <f>M140-'2022a_250824_2329'!M140</f>
        <v>37.016135600000005</v>
      </c>
      <c r="X140" s="12">
        <f>W140/'2022a_250824_2329'!M140</f>
        <v>0.736641575558319</v>
      </c>
    </row>
    <row r="141" spans="1:24" x14ac:dyDescent="0.25">
      <c r="A141">
        <v>140</v>
      </c>
      <c r="B141">
        <v>184</v>
      </c>
      <c r="C141" t="s">
        <v>105</v>
      </c>
      <c r="D141" t="s">
        <v>120</v>
      </c>
      <c r="E141" t="s">
        <v>49</v>
      </c>
      <c r="F141" t="s">
        <v>19</v>
      </c>
      <c r="G141" t="s">
        <v>20</v>
      </c>
      <c r="H141" t="s">
        <v>21</v>
      </c>
      <c r="I141" t="s">
        <v>55</v>
      </c>
      <c r="J141" t="s">
        <v>149</v>
      </c>
      <c r="K141" t="s">
        <v>23</v>
      </c>
      <c r="L141">
        <v>5305</v>
      </c>
      <c r="M141" s="4">
        <v>84.863197099999994</v>
      </c>
      <c r="N141" s="4">
        <v>-6.6333395715621885E-3</v>
      </c>
      <c r="O141" s="4">
        <v>-3.0744042373418518E-2</v>
      </c>
      <c r="P141" s="1" t="str">
        <f>HYPERLINK(".\sm_car_250825_2318\sm_car_250825_2318_140_Ca184TrN_MaMPK_DrSt_ode23t_1.png","figure")</f>
        <v>figure</v>
      </c>
      <c r="Q141" t="s">
        <v>15</v>
      </c>
      <c r="U141">
        <f>L141-'2022a_250824_2329'!L141</f>
        <v>2999</v>
      </c>
      <c r="V141" s="12">
        <f>U141/'2022a_250824_2329'!L141</f>
        <v>1.300520381613183</v>
      </c>
      <c r="W141">
        <f>M141-'2022a_250824_2329'!M141</f>
        <v>36.924523899999997</v>
      </c>
      <c r="X141" s="12">
        <f>W141/'2022a_250824_2329'!M141</f>
        <v>0.77024501170382831</v>
      </c>
    </row>
    <row r="142" spans="1:24" x14ac:dyDescent="0.25">
      <c r="A142">
        <v>141</v>
      </c>
      <c r="B142">
        <v>184</v>
      </c>
      <c r="C142" t="s">
        <v>105</v>
      </c>
      <c r="D142" t="s">
        <v>120</v>
      </c>
      <c r="E142" t="s">
        <v>49</v>
      </c>
      <c r="F142" t="s">
        <v>19</v>
      </c>
      <c r="G142" t="s">
        <v>20</v>
      </c>
      <c r="H142" t="s">
        <v>21</v>
      </c>
      <c r="I142" t="s">
        <v>56</v>
      </c>
      <c r="J142" t="s">
        <v>148</v>
      </c>
      <c r="K142" t="s">
        <v>23</v>
      </c>
      <c r="L142">
        <v>5128</v>
      </c>
      <c r="M142" s="4">
        <v>83.969305199999994</v>
      </c>
      <c r="N142" s="4">
        <v>0.78278295555140609</v>
      </c>
      <c r="O142" s="4">
        <v>-0.33768479149989261</v>
      </c>
      <c r="P142" s="1" t="str">
        <f>HYPERLINK(".\sm_car_250825_2318\sm_car_250825_2318_141_Ca184TrN_MaMPC_DrSt_ode23t_1.png","figure")</f>
        <v>figure</v>
      </c>
      <c r="Q142" t="s">
        <v>15</v>
      </c>
      <c r="U142">
        <f>L142-'2022a_250824_2329'!L142</f>
        <v>3056</v>
      </c>
      <c r="V142" s="12">
        <f>U142/'2022a_250824_2329'!L142</f>
        <v>1.4749034749034748</v>
      </c>
      <c r="W142">
        <f>M142-'2022a_250824_2329'!M142</f>
        <v>33.743750099999993</v>
      </c>
      <c r="X142" s="12">
        <f>W142/'2022a_250824_2329'!M142</f>
        <v>0.67184424408681132</v>
      </c>
    </row>
    <row r="143" spans="1:24" x14ac:dyDescent="0.25">
      <c r="A143">
        <v>142</v>
      </c>
      <c r="B143">
        <v>184</v>
      </c>
      <c r="C143" t="s">
        <v>105</v>
      </c>
      <c r="D143" t="s">
        <v>120</v>
      </c>
      <c r="E143" t="s">
        <v>49</v>
      </c>
      <c r="F143" t="s">
        <v>19</v>
      </c>
      <c r="G143" t="s">
        <v>20</v>
      </c>
      <c r="H143" t="s">
        <v>21</v>
      </c>
      <c r="I143" t="s">
        <v>56</v>
      </c>
      <c r="J143" t="s">
        <v>149</v>
      </c>
      <c r="K143" t="s">
        <v>23</v>
      </c>
      <c r="L143">
        <v>5278</v>
      </c>
      <c r="M143" s="4">
        <v>84.275835400000005</v>
      </c>
      <c r="N143" s="4">
        <v>0.78876920522679406</v>
      </c>
      <c r="O143" s="4">
        <v>-8.2788169356364336E-2</v>
      </c>
      <c r="P143" s="1" t="str">
        <f>HYPERLINK(".\sm_car_250825_2318\sm_car_250825_2318_142_Ca184TrN_MaMPC_DrSt_ode23t_1.png","figure")</f>
        <v>figure</v>
      </c>
      <c r="Q143" t="s">
        <v>15</v>
      </c>
      <c r="U143">
        <f>L143-'2022a_250824_2329'!L143</f>
        <v>3224</v>
      </c>
      <c r="V143" s="12">
        <f>U143/'2022a_250824_2329'!L143</f>
        <v>1.5696202531645569</v>
      </c>
      <c r="W143">
        <f>M143-'2022a_250824_2329'!M143</f>
        <v>33.870197400000002</v>
      </c>
      <c r="X143" s="12">
        <f>W143/'2022a_250824_2329'!M143</f>
        <v>0.67195255816422761</v>
      </c>
    </row>
    <row r="144" spans="1:24" x14ac:dyDescent="0.25">
      <c r="A144">
        <v>143</v>
      </c>
      <c r="B144">
        <v>195</v>
      </c>
      <c r="C144" t="s">
        <v>45</v>
      </c>
      <c r="D144" t="s">
        <v>58</v>
      </c>
      <c r="E144" t="s">
        <v>107</v>
      </c>
      <c r="F144" t="s">
        <v>19</v>
      </c>
      <c r="G144" t="s">
        <v>26</v>
      </c>
      <c r="H144" t="s">
        <v>21</v>
      </c>
      <c r="I144" t="s">
        <v>55</v>
      </c>
      <c r="J144" t="s">
        <v>148</v>
      </c>
      <c r="K144" t="s">
        <v>23</v>
      </c>
      <c r="L144">
        <v>4754</v>
      </c>
      <c r="M144" s="4">
        <v>59.5250409</v>
      </c>
      <c r="N144" s="4">
        <v>-1.8281371303771707E-2</v>
      </c>
      <c r="O144" s="4">
        <v>-0.57361473494700821</v>
      </c>
      <c r="P144" s="1" t="str">
        <f>HYPERLINK(".\sm_car_250825_2318\sm_car_250825_2318_143_Ca195TrN_MaMPK_DrSt_ode23t_1.png","figure")</f>
        <v>figure</v>
      </c>
      <c r="Q144" t="s">
        <v>15</v>
      </c>
      <c r="U144">
        <f>L144-'2022a_250824_2329'!L144</f>
        <v>1462</v>
      </c>
      <c r="V144" s="12">
        <f>U144/'2022a_250824_2329'!L144</f>
        <v>0.44410692588092343</v>
      </c>
      <c r="W144">
        <f>M144-'2022a_250824_2329'!M144</f>
        <v>11.162996900000003</v>
      </c>
      <c r="X144" s="12">
        <f>W144/'2022a_250824_2329'!M144</f>
        <v>0.23082144542939509</v>
      </c>
    </row>
    <row r="145" spans="1:24" x14ac:dyDescent="0.25">
      <c r="A145">
        <v>144</v>
      </c>
      <c r="B145">
        <v>195</v>
      </c>
      <c r="C145" t="s">
        <v>45</v>
      </c>
      <c r="D145" t="s">
        <v>58</v>
      </c>
      <c r="E145" t="s">
        <v>107</v>
      </c>
      <c r="F145" t="s">
        <v>19</v>
      </c>
      <c r="G145" t="s">
        <v>26</v>
      </c>
      <c r="H145" t="s">
        <v>21</v>
      </c>
      <c r="I145" t="s">
        <v>55</v>
      </c>
      <c r="J145" t="s">
        <v>149</v>
      </c>
      <c r="K145" t="s">
        <v>23</v>
      </c>
      <c r="L145">
        <v>5336</v>
      </c>
      <c r="M145" s="4">
        <v>60.468070400000002</v>
      </c>
      <c r="N145" s="4">
        <v>-9.7396984694552574E-3</v>
      </c>
      <c r="O145" s="4">
        <v>-8.3919883741324613E-2</v>
      </c>
      <c r="P145" s="1" t="str">
        <f>HYPERLINK(".\sm_car_250825_2318\sm_car_250825_2318_144_Ca195TrN_MaMPK_DrSt_ode23t_1.png","figure")</f>
        <v>figure</v>
      </c>
      <c r="Q145" t="s">
        <v>15</v>
      </c>
      <c r="U145">
        <f>L145-'2022a_250824_2329'!L145</f>
        <v>1439</v>
      </c>
      <c r="V145" s="12">
        <f>U145/'2022a_250824_2329'!L145</f>
        <v>0.36925840390043624</v>
      </c>
      <c r="W145">
        <f>M145-'2022a_250824_2329'!M145</f>
        <v>11.546027800000005</v>
      </c>
      <c r="X145" s="12">
        <f>W145/'2022a_250824_2329'!M145</f>
        <v>0.23600870254750983</v>
      </c>
    </row>
    <row r="146" spans="1:24" x14ac:dyDescent="0.25">
      <c r="A146">
        <v>145</v>
      </c>
      <c r="B146">
        <v>195</v>
      </c>
      <c r="C146" t="s">
        <v>45</v>
      </c>
      <c r="D146" t="s">
        <v>58</v>
      </c>
      <c r="E146" t="s">
        <v>107</v>
      </c>
      <c r="F146" t="s">
        <v>19</v>
      </c>
      <c r="G146" t="s">
        <v>26</v>
      </c>
      <c r="H146" t="s">
        <v>21</v>
      </c>
      <c r="I146" t="s">
        <v>56</v>
      </c>
      <c r="J146" t="s">
        <v>148</v>
      </c>
      <c r="K146" t="s">
        <v>23</v>
      </c>
      <c r="L146">
        <v>5245</v>
      </c>
      <c r="M146" s="4">
        <v>56.758364299999997</v>
      </c>
      <c r="N146" s="4">
        <v>0.788527900493456</v>
      </c>
      <c r="O146" s="4">
        <v>-0.35995198350746249</v>
      </c>
      <c r="P146" s="1" t="str">
        <f>HYPERLINK(".\sm_car_250825_2318\sm_car_250825_2318_145_Ca195TrN_MaMPC_DrSt_ode23t_1.png","figure")</f>
        <v>figure</v>
      </c>
      <c r="Q146" t="s">
        <v>15</v>
      </c>
      <c r="U146">
        <f>L146-'2022a_250824_2329'!L146</f>
        <v>2223</v>
      </c>
      <c r="V146" s="12">
        <f>U146/'2022a_250824_2329'!L146</f>
        <v>0.73560555923229654</v>
      </c>
      <c r="W146">
        <f>M146-'2022a_250824_2329'!M146</f>
        <v>13.7988979</v>
      </c>
      <c r="X146" s="12">
        <f>W146/'2022a_250824_2329'!M146</f>
        <v>0.32120738585337738</v>
      </c>
    </row>
    <row r="147" spans="1:24" x14ac:dyDescent="0.25">
      <c r="A147">
        <v>146</v>
      </c>
      <c r="B147">
        <v>195</v>
      </c>
      <c r="C147" t="s">
        <v>45</v>
      </c>
      <c r="D147" t="s">
        <v>58</v>
      </c>
      <c r="E147" t="s">
        <v>107</v>
      </c>
      <c r="F147" t="s">
        <v>19</v>
      </c>
      <c r="G147" t="s">
        <v>26</v>
      </c>
      <c r="H147" t="s">
        <v>21</v>
      </c>
      <c r="I147" t="s">
        <v>56</v>
      </c>
      <c r="J147" t="s">
        <v>149</v>
      </c>
      <c r="K147" t="s">
        <v>23</v>
      </c>
      <c r="L147">
        <v>5807</v>
      </c>
      <c r="M147" s="4">
        <v>56.849699100000002</v>
      </c>
      <c r="N147" s="4">
        <v>0.78699199127991903</v>
      </c>
      <c r="O147" s="4">
        <v>2.8134095672007177E-2</v>
      </c>
      <c r="P147" s="1" t="str">
        <f>HYPERLINK(".\sm_car_250825_2318\sm_car_250825_2318_146_Ca195TrN_MaMPC_DrSt_ode23t_1.png","figure")</f>
        <v>figure</v>
      </c>
      <c r="Q147" t="s">
        <v>15</v>
      </c>
      <c r="U147">
        <f>L147-'2022a_250824_2329'!L147</f>
        <v>2343</v>
      </c>
      <c r="V147" s="12">
        <f>U147/'2022a_250824_2329'!L147</f>
        <v>0.67638568129330257</v>
      </c>
      <c r="W147">
        <f>M147-'2022a_250824_2329'!M147</f>
        <v>12.376025200000001</v>
      </c>
      <c r="X147" s="12">
        <f>W147/'2022a_250824_2329'!M147</f>
        <v>0.27827755421842942</v>
      </c>
    </row>
    <row r="148" spans="1:24" x14ac:dyDescent="0.25">
      <c r="A148">
        <v>147</v>
      </c>
      <c r="B148">
        <v>198</v>
      </c>
      <c r="C148" t="s">
        <v>105</v>
      </c>
      <c r="D148" t="s">
        <v>120</v>
      </c>
      <c r="E148" t="s">
        <v>107</v>
      </c>
      <c r="F148" t="s">
        <v>19</v>
      </c>
      <c r="G148" t="s">
        <v>20</v>
      </c>
      <c r="H148" t="s">
        <v>21</v>
      </c>
      <c r="I148" t="s">
        <v>55</v>
      </c>
      <c r="J148" t="s">
        <v>148</v>
      </c>
      <c r="K148" t="s">
        <v>23</v>
      </c>
      <c r="L148">
        <v>5550</v>
      </c>
      <c r="M148" s="4">
        <v>60.292106799999999</v>
      </c>
      <c r="N148" s="4">
        <v>-2.2706793527784777E-2</v>
      </c>
      <c r="O148" s="4">
        <v>-0.74309634751781584</v>
      </c>
      <c r="P148" s="1" t="str">
        <f>HYPERLINK(".\sm_car_250825_2318\sm_car_250825_2318_147_Ca198TrN_MaMPK_DrSt_ode23t_1.png","figure")</f>
        <v>figure</v>
      </c>
      <c r="Q148" t="s">
        <v>15</v>
      </c>
      <c r="U148">
        <f>L148-'2022a_250824_2329'!L148</f>
        <v>3247</v>
      </c>
      <c r="V148" s="12">
        <f>U148/'2022a_250824_2329'!L148</f>
        <v>1.4099001302648719</v>
      </c>
      <c r="W148">
        <f>M148-'2022a_250824_2329'!M148</f>
        <v>29.331927499999999</v>
      </c>
      <c r="X148" s="12">
        <f>W148/'2022a_250824_2329'!M148</f>
        <v>0.94740819217413252</v>
      </c>
    </row>
    <row r="149" spans="1:24" x14ac:dyDescent="0.25">
      <c r="A149">
        <v>148</v>
      </c>
      <c r="B149">
        <v>198</v>
      </c>
      <c r="C149" t="s">
        <v>105</v>
      </c>
      <c r="D149" t="s">
        <v>120</v>
      </c>
      <c r="E149" t="s">
        <v>107</v>
      </c>
      <c r="F149" t="s">
        <v>19</v>
      </c>
      <c r="G149" t="s">
        <v>20</v>
      </c>
      <c r="H149" t="s">
        <v>21</v>
      </c>
      <c r="I149" t="s">
        <v>55</v>
      </c>
      <c r="J149" t="s">
        <v>149</v>
      </c>
      <c r="K149" t="s">
        <v>23</v>
      </c>
      <c r="L149">
        <v>6353</v>
      </c>
      <c r="M149" s="4">
        <v>63.003079800000002</v>
      </c>
      <c r="N149" s="4">
        <v>1.7371834619407778E-2</v>
      </c>
      <c r="O149" s="4">
        <v>-3.0970695157137886E-2</v>
      </c>
      <c r="P149" s="1" t="str">
        <f>HYPERLINK(".\sm_car_250825_2318\sm_car_250825_2318_148_Ca198TrN_MaMPK_DrSt_ode23t_1.png","figure")</f>
        <v>figure</v>
      </c>
      <c r="Q149" t="s">
        <v>15</v>
      </c>
      <c r="U149">
        <f>L149-'2022a_250824_2329'!L149</f>
        <v>3743</v>
      </c>
      <c r="V149" s="12">
        <f>U149/'2022a_250824_2329'!L149</f>
        <v>1.4340996168582376</v>
      </c>
      <c r="W149">
        <f>M149-'2022a_250824_2329'!M149</f>
        <v>28.719354800000005</v>
      </c>
      <c r="X149" s="12">
        <f>W149/'2022a_250824_2329'!M149</f>
        <v>0.83769645217956934</v>
      </c>
    </row>
    <row r="150" spans="1:24" x14ac:dyDescent="0.25">
      <c r="A150">
        <v>149</v>
      </c>
      <c r="B150">
        <v>198</v>
      </c>
      <c r="C150" t="s">
        <v>105</v>
      </c>
      <c r="D150" t="s">
        <v>120</v>
      </c>
      <c r="E150" t="s">
        <v>107</v>
      </c>
      <c r="F150" t="s">
        <v>19</v>
      </c>
      <c r="G150" t="s">
        <v>20</v>
      </c>
      <c r="H150" t="s">
        <v>21</v>
      </c>
      <c r="I150" t="s">
        <v>56</v>
      </c>
      <c r="J150" t="s">
        <v>148</v>
      </c>
      <c r="K150" t="s">
        <v>23</v>
      </c>
      <c r="L150">
        <v>5436</v>
      </c>
      <c r="M150" s="4">
        <v>57.640856300000003</v>
      </c>
      <c r="N150" s="4">
        <v>0.78189135026032197</v>
      </c>
      <c r="O150" s="4">
        <v>-0.33763467122162732</v>
      </c>
      <c r="P150" s="1" t="str">
        <f>HYPERLINK(".\sm_car_250825_2318\sm_car_250825_2318_149_Ca198TrN_MaMPC_DrSt_ode23t_1.png","figure")</f>
        <v>figure</v>
      </c>
      <c r="Q150" t="s">
        <v>15</v>
      </c>
      <c r="U150">
        <f>L150-'2022a_250824_2329'!L150</f>
        <v>3359</v>
      </c>
      <c r="V150" s="12">
        <f>U150/'2022a_250824_2329'!L150</f>
        <v>1.6172363986519018</v>
      </c>
      <c r="W150">
        <f>M150-'2022a_250824_2329'!M150</f>
        <v>27.023226500000003</v>
      </c>
      <c r="X150" s="12">
        <f>W150/'2022a_250824_2329'!M150</f>
        <v>0.88260347638013459</v>
      </c>
    </row>
    <row r="151" spans="1:24" x14ac:dyDescent="0.25">
      <c r="A151">
        <v>150</v>
      </c>
      <c r="B151">
        <v>198</v>
      </c>
      <c r="C151" t="s">
        <v>105</v>
      </c>
      <c r="D151" t="s">
        <v>120</v>
      </c>
      <c r="E151" t="s">
        <v>107</v>
      </c>
      <c r="F151" t="s">
        <v>19</v>
      </c>
      <c r="G151" t="s">
        <v>20</v>
      </c>
      <c r="H151" t="s">
        <v>21</v>
      </c>
      <c r="I151" t="s">
        <v>56</v>
      </c>
      <c r="J151" t="s">
        <v>149</v>
      </c>
      <c r="K151" t="s">
        <v>23</v>
      </c>
      <c r="L151">
        <v>5818</v>
      </c>
      <c r="M151" s="4">
        <v>56.8414851</v>
      </c>
      <c r="N151" s="4">
        <v>0.78882909109220378</v>
      </c>
      <c r="O151" s="4">
        <v>-8.2433959842316426E-2</v>
      </c>
      <c r="P151" s="1" t="str">
        <f>HYPERLINK(".\sm_car_250825_2318\sm_car_250825_2318_150_Ca198TrN_MaMPC_DrSt_ode23t_1.png","figure")</f>
        <v>figure</v>
      </c>
      <c r="Q151" t="s">
        <v>15</v>
      </c>
      <c r="U151">
        <f>L151-'2022a_250824_2329'!L151</f>
        <v>3675</v>
      </c>
      <c r="V151" s="12">
        <f>U151/'2022a_250824_2329'!L151</f>
        <v>1.7148856742883807</v>
      </c>
      <c r="W151">
        <f>M151-'2022a_250824_2329'!M151</f>
        <v>25.016465199999999</v>
      </c>
      <c r="X151" s="12">
        <f>W151/'2022a_250824_2329'!M151</f>
        <v>0.78606282976746855</v>
      </c>
    </row>
    <row r="152" spans="1:24" x14ac:dyDescent="0.25">
      <c r="A152">
        <v>151</v>
      </c>
      <c r="B152">
        <v>151</v>
      </c>
      <c r="C152" t="s">
        <v>16</v>
      </c>
      <c r="D152" t="s">
        <v>17</v>
      </c>
      <c r="E152" t="s">
        <v>18</v>
      </c>
      <c r="F152" t="s">
        <v>19</v>
      </c>
      <c r="G152" t="s">
        <v>59</v>
      </c>
      <c r="H152" t="s">
        <v>21</v>
      </c>
      <c r="I152" t="s">
        <v>24</v>
      </c>
      <c r="J152" t="s">
        <v>148</v>
      </c>
      <c r="K152" t="s">
        <v>23</v>
      </c>
      <c r="L152">
        <v>1269</v>
      </c>
      <c r="M152" s="4">
        <v>13.5981267</v>
      </c>
      <c r="N152" s="4">
        <v>72.178990094844252</v>
      </c>
      <c r="O152" s="4">
        <v>-0.79153582259820066</v>
      </c>
      <c r="P152" s="1" t="str">
        <f>HYPERLINK(".\sm_car_250825_2318\sm_car_250825_2318_151_Ca151TrN_MaLSS_DrSt_ode23t_1.png","figure")</f>
        <v>figure</v>
      </c>
      <c r="Q152" t="s">
        <v>15</v>
      </c>
      <c r="U152">
        <f>L152-'2022a_250824_2329'!L152</f>
        <v>755</v>
      </c>
      <c r="V152" s="12">
        <f>U152/'2022a_250824_2329'!L152</f>
        <v>1.4688715953307394</v>
      </c>
      <c r="W152">
        <f>M152-'2022a_250824_2329'!M152</f>
        <v>2.3364288999999996</v>
      </c>
      <c r="X152" s="12">
        <f>W152/'2022a_250824_2329'!M152</f>
        <v>0.2074668439424826</v>
      </c>
    </row>
    <row r="153" spans="1:24" x14ac:dyDescent="0.25">
      <c r="A153">
        <v>152</v>
      </c>
      <c r="B153">
        <v>152</v>
      </c>
      <c r="C153" t="s">
        <v>16</v>
      </c>
      <c r="D153" t="s">
        <v>17</v>
      </c>
      <c r="E153" t="s">
        <v>18</v>
      </c>
      <c r="F153" t="s">
        <v>19</v>
      </c>
      <c r="G153" t="s">
        <v>60</v>
      </c>
      <c r="H153" t="s">
        <v>21</v>
      </c>
      <c r="I153" t="s">
        <v>24</v>
      </c>
      <c r="J153" t="s">
        <v>148</v>
      </c>
      <c r="K153" t="s">
        <v>23</v>
      </c>
      <c r="L153">
        <v>1175</v>
      </c>
      <c r="M153" s="4">
        <v>15.864849</v>
      </c>
      <c r="N153" s="4">
        <v>70.589186785656764</v>
      </c>
      <c r="O153" s="4">
        <v>-0.52455130890109691</v>
      </c>
      <c r="P153" s="1" t="str">
        <f>HYPERLINK(".\sm_car_250825_2318\sm_car_250825_2318_152_Ca152TrN_MaLSS_DrSt_ode23t_1.png","figure")</f>
        <v>figure</v>
      </c>
      <c r="Q153" t="s">
        <v>15</v>
      </c>
      <c r="U153">
        <f>L153-'2022a_250824_2329'!L153</f>
        <v>642</v>
      </c>
      <c r="V153" s="12">
        <f>U153/'2022a_250824_2329'!L153</f>
        <v>1.2045028142589118</v>
      </c>
      <c r="W153">
        <f>M153-'2022a_250824_2329'!M153</f>
        <v>3.3450016999999992</v>
      </c>
      <c r="X153" s="12">
        <f>W153/'2022a_250824_2329'!M153</f>
        <v>0.26717591835165588</v>
      </c>
    </row>
    <row r="154" spans="1:24" x14ac:dyDescent="0.25">
      <c r="A154">
        <v>153</v>
      </c>
      <c r="B154">
        <v>153</v>
      </c>
      <c r="C154" t="s">
        <v>16</v>
      </c>
      <c r="D154" t="s">
        <v>17</v>
      </c>
      <c r="E154" t="s">
        <v>18</v>
      </c>
      <c r="F154" t="s">
        <v>19</v>
      </c>
      <c r="G154" t="s">
        <v>61</v>
      </c>
      <c r="H154" t="s">
        <v>21</v>
      </c>
      <c r="I154" t="s">
        <v>24</v>
      </c>
      <c r="J154" t="s">
        <v>148</v>
      </c>
      <c r="K154" t="s">
        <v>23</v>
      </c>
      <c r="L154">
        <v>1241</v>
      </c>
      <c r="M154" s="4">
        <v>16.925988100000001</v>
      </c>
      <c r="N154" s="4">
        <v>70.43905052268741</v>
      </c>
      <c r="O154" s="4">
        <v>-0.85784019993430338</v>
      </c>
      <c r="P154" s="1" t="str">
        <f>HYPERLINK(".\sm_car_250825_2318\sm_car_250825_2318_153_Ca153TrN_MaLSS_DrSt_ode23t_1.png","figure")</f>
        <v>figure</v>
      </c>
      <c r="Q154" t="s">
        <v>15</v>
      </c>
      <c r="U154">
        <f>L154-'2022a_250824_2329'!L154</f>
        <v>698</v>
      </c>
      <c r="V154" s="12">
        <f>U154/'2022a_250824_2329'!L154</f>
        <v>1.285451197053407</v>
      </c>
      <c r="W154">
        <f>M154-'2022a_250824_2329'!M154</f>
        <v>4.2887294000000011</v>
      </c>
      <c r="X154" s="12">
        <f>W154/'2022a_250824_2329'!M154</f>
        <v>0.33937181328732324</v>
      </c>
    </row>
    <row r="155" spans="1:24" x14ac:dyDescent="0.25">
      <c r="A155">
        <v>154</v>
      </c>
      <c r="B155">
        <v>154</v>
      </c>
      <c r="C155" t="s">
        <v>16</v>
      </c>
      <c r="D155" t="s">
        <v>17</v>
      </c>
      <c r="E155" t="s">
        <v>18</v>
      </c>
      <c r="F155" t="s">
        <v>19</v>
      </c>
      <c r="G155" t="s">
        <v>108</v>
      </c>
      <c r="H155" t="s">
        <v>21</v>
      </c>
      <c r="I155" t="s">
        <v>24</v>
      </c>
      <c r="J155" t="s">
        <v>148</v>
      </c>
      <c r="K155" t="s">
        <v>23</v>
      </c>
      <c r="L155">
        <v>1153</v>
      </c>
      <c r="M155" s="4">
        <v>19.2390835</v>
      </c>
      <c r="N155" s="4">
        <v>70.611844219447065</v>
      </c>
      <c r="O155" s="4">
        <v>-0.35612826620765514</v>
      </c>
      <c r="P155" s="1" t="str">
        <f>HYPERLINK(".\sm_car_250825_2318\sm_car_250825_2318_154_Ca154TrN_MaLSS_DrSt_ode23t_1.png","figure")</f>
        <v>figure</v>
      </c>
      <c r="Q155" t="s">
        <v>15</v>
      </c>
      <c r="U155">
        <f>L155-'2022a_250824_2329'!L155</f>
        <v>657</v>
      </c>
      <c r="V155" s="12">
        <f>U155/'2022a_250824_2329'!L155</f>
        <v>1.3245967741935485</v>
      </c>
      <c r="W155">
        <f>M155-'2022a_250824_2329'!M155</f>
        <v>4.341119599999999</v>
      </c>
      <c r="X155" s="12">
        <f>W155/'2022a_250824_2329'!M155</f>
        <v>0.29139012747909793</v>
      </c>
    </row>
    <row r="156" spans="1:24" x14ac:dyDescent="0.25">
      <c r="A156">
        <v>155</v>
      </c>
      <c r="B156">
        <v>155</v>
      </c>
      <c r="C156" t="s">
        <v>16</v>
      </c>
      <c r="D156" t="s">
        <v>17</v>
      </c>
      <c r="E156" t="s">
        <v>18</v>
      </c>
      <c r="F156" t="s">
        <v>19</v>
      </c>
      <c r="G156" t="s">
        <v>62</v>
      </c>
      <c r="H156" t="s">
        <v>21</v>
      </c>
      <c r="I156" t="s">
        <v>24</v>
      </c>
      <c r="J156" t="s">
        <v>148</v>
      </c>
      <c r="K156" t="s">
        <v>23</v>
      </c>
      <c r="L156">
        <v>1234</v>
      </c>
      <c r="M156" s="4">
        <v>22.2746025</v>
      </c>
      <c r="N156" s="4">
        <v>70.464197454309272</v>
      </c>
      <c r="O156" s="4">
        <v>-0.83608517683784622</v>
      </c>
      <c r="P156" s="1" t="str">
        <f>HYPERLINK(".\sm_car_250825_2318\sm_car_250825_2318_155_Ca155TrN_MaLSS_DrSt_ode23t_1.png","figure")</f>
        <v>figure</v>
      </c>
      <c r="Q156" t="s">
        <v>15</v>
      </c>
      <c r="U156">
        <f>L156-'2022a_250824_2329'!L156</f>
        <v>677</v>
      </c>
      <c r="V156" s="12">
        <f>U156/'2022a_250824_2329'!L156</f>
        <v>1.215439856373429</v>
      </c>
      <c r="W156">
        <f>M156-'2022a_250824_2329'!M156</f>
        <v>5.3138413</v>
      </c>
      <c r="X156" s="12">
        <f>W156/'2022a_250824_2329'!M156</f>
        <v>0.31330205274041589</v>
      </c>
    </row>
    <row r="157" spans="1:24" x14ac:dyDescent="0.25">
      <c r="A157">
        <v>156</v>
      </c>
      <c r="B157">
        <v>4</v>
      </c>
      <c r="C157" t="s">
        <v>16</v>
      </c>
      <c r="D157" t="s">
        <v>17</v>
      </c>
      <c r="E157" t="s">
        <v>18</v>
      </c>
      <c r="F157" t="s">
        <v>28</v>
      </c>
      <c r="G157" t="s">
        <v>20</v>
      </c>
      <c r="H157" t="s">
        <v>21</v>
      </c>
      <c r="I157" t="s">
        <v>22</v>
      </c>
      <c r="J157" t="s">
        <v>148</v>
      </c>
      <c r="K157" t="s">
        <v>63</v>
      </c>
      <c r="L157">
        <v>3247</v>
      </c>
      <c r="M157" s="4">
        <v>8.6684476999999998</v>
      </c>
      <c r="N157" s="4">
        <v>230.12391721786827</v>
      </c>
      <c r="O157" s="4">
        <v>-2.7190338637773392E-3</v>
      </c>
      <c r="P157" s="1" t="str">
        <f>HYPERLINK(".\sm_car_250825_2318\sm_car_250825_2318_156_Ca004TrN_MaWOT_DrSt_ode3_1.png","figure")</f>
        <v>figure</v>
      </c>
      <c r="Q157" t="s">
        <v>15</v>
      </c>
      <c r="U157">
        <f>L157-'2022a_250824_2329'!L157</f>
        <v>0</v>
      </c>
      <c r="V157" s="12">
        <f>U157/'2022a_250824_2329'!L157</f>
        <v>0</v>
      </c>
      <c r="W157">
        <f>M157-'2022a_250824_2329'!M157</f>
        <v>0.36612069999999974</v>
      </c>
      <c r="X157" s="12">
        <f>W157/'2022a_250824_2329'!M157</f>
        <v>4.4098564173634662E-2</v>
      </c>
    </row>
    <row r="158" spans="1:24" x14ac:dyDescent="0.25">
      <c r="A158">
        <v>157</v>
      </c>
      <c r="B158">
        <v>4</v>
      </c>
      <c r="C158" t="s">
        <v>16</v>
      </c>
      <c r="D158" t="s">
        <v>17</v>
      </c>
      <c r="E158" t="s">
        <v>18</v>
      </c>
      <c r="F158" t="s">
        <v>28</v>
      </c>
      <c r="G158" t="s">
        <v>20</v>
      </c>
      <c r="H158" t="s">
        <v>21</v>
      </c>
      <c r="I158" t="s">
        <v>24</v>
      </c>
      <c r="J158" t="s">
        <v>148</v>
      </c>
      <c r="K158" t="s">
        <v>63</v>
      </c>
      <c r="L158">
        <v>2564</v>
      </c>
      <c r="M158" s="4">
        <v>6.8130686000000003</v>
      </c>
      <c r="N158" s="4">
        <v>70.877460183569553</v>
      </c>
      <c r="O158" s="4">
        <v>-0.53377972266774365</v>
      </c>
      <c r="P158" s="1" t="str">
        <f>HYPERLINK(".\sm_car_250825_2318\sm_car_250825_2318_157_Ca004TrN_MaLSS_DrSt_ode3_1.png","figure")</f>
        <v>figure</v>
      </c>
      <c r="Q158" t="s">
        <v>15</v>
      </c>
      <c r="U158">
        <f>L158-'2022a_250824_2329'!L158</f>
        <v>0</v>
      </c>
      <c r="V158" s="12">
        <f>U158/'2022a_250824_2329'!L158</f>
        <v>0</v>
      </c>
      <c r="W158">
        <f>M158-'2022a_250824_2329'!M158</f>
        <v>7.0610799999999863E-2</v>
      </c>
      <c r="X158" s="12">
        <f>W158/'2022a_250824_2329'!M158</f>
        <v>1.0472560910948506E-2</v>
      </c>
    </row>
    <row r="159" spans="1:24" x14ac:dyDescent="0.25">
      <c r="A159">
        <v>158</v>
      </c>
      <c r="B159">
        <v>4</v>
      </c>
      <c r="C159" t="s">
        <v>16</v>
      </c>
      <c r="D159" t="s">
        <v>17</v>
      </c>
      <c r="E159" t="s">
        <v>18</v>
      </c>
      <c r="F159" t="s">
        <v>28</v>
      </c>
      <c r="G159" t="s">
        <v>20</v>
      </c>
      <c r="H159" t="s">
        <v>21</v>
      </c>
      <c r="I159" t="s">
        <v>64</v>
      </c>
      <c r="J159" t="s">
        <v>148</v>
      </c>
      <c r="K159" t="s">
        <v>63</v>
      </c>
      <c r="L159">
        <v>2562</v>
      </c>
      <c r="M159" s="4">
        <v>7.6294654</v>
      </c>
      <c r="N159" s="4">
        <v>63.517181708669909</v>
      </c>
      <c r="O159" s="4">
        <v>-24.808510950198681</v>
      </c>
      <c r="P159" s="1" t="str">
        <f>HYPERLINK(".\sm_car_250825_2318\sm_car_250825_2318_158_Ca004TrN_MaTUR_DrSt_ode3_1.png","figure")</f>
        <v>figure</v>
      </c>
      <c r="Q159" t="s">
        <v>15</v>
      </c>
      <c r="U159">
        <f>L159-'2022a_250824_2329'!L159</f>
        <v>0</v>
      </c>
      <c r="V159" s="12">
        <f>U159/'2022a_250824_2329'!L159</f>
        <v>0</v>
      </c>
      <c r="W159">
        <f>M159-'2022a_250824_2329'!M159</f>
        <v>0.79564240000000019</v>
      </c>
      <c r="X159" s="12">
        <f>W159/'2022a_250824_2329'!M159</f>
        <v>0.11642713017296472</v>
      </c>
    </row>
    <row r="160" spans="1:24" x14ac:dyDescent="0.25">
      <c r="A160">
        <v>159</v>
      </c>
      <c r="B160">
        <v>116</v>
      </c>
      <c r="C160" t="s">
        <v>16</v>
      </c>
      <c r="D160" t="s">
        <v>35</v>
      </c>
      <c r="E160" t="s">
        <v>18</v>
      </c>
      <c r="F160" t="s">
        <v>28</v>
      </c>
      <c r="G160" t="s">
        <v>20</v>
      </c>
      <c r="H160" t="s">
        <v>21</v>
      </c>
      <c r="I160" t="s">
        <v>22</v>
      </c>
      <c r="J160" t="s">
        <v>148</v>
      </c>
      <c r="K160" t="s">
        <v>63</v>
      </c>
      <c r="L160">
        <v>3244</v>
      </c>
      <c r="M160" s="4">
        <v>4.0063363000000001</v>
      </c>
      <c r="N160" s="4">
        <v>242.69607452341987</v>
      </c>
      <c r="O160" s="4">
        <v>0.23635446031101723</v>
      </c>
      <c r="P160" s="1" t="str">
        <f>HYPERLINK(".\sm_car_250825_2318\sm_car_250825_2318_159_Ca116TrN_MaWOT_DrSt_ode3_1.png","figure")</f>
        <v>figure</v>
      </c>
      <c r="Q160" t="s">
        <v>15</v>
      </c>
      <c r="U160">
        <f>L160-'2022a_250824_2329'!L160</f>
        <v>0</v>
      </c>
      <c r="V160" s="12">
        <f>U160/'2022a_250824_2329'!L160</f>
        <v>0</v>
      </c>
      <c r="W160">
        <f>M160-'2022a_250824_2329'!M160</f>
        <v>9.1406099999999935E-2</v>
      </c>
      <c r="X160" s="12">
        <f>W160/'2022a_250824_2329'!M160</f>
        <v>2.334807910496078E-2</v>
      </c>
    </row>
    <row r="161" spans="1:24" x14ac:dyDescent="0.25">
      <c r="A161">
        <v>160</v>
      </c>
      <c r="B161">
        <v>116</v>
      </c>
      <c r="C161" t="s">
        <v>16</v>
      </c>
      <c r="D161" t="s">
        <v>35</v>
      </c>
      <c r="E161" t="s">
        <v>18</v>
      </c>
      <c r="F161" t="s">
        <v>28</v>
      </c>
      <c r="G161" t="s">
        <v>20</v>
      </c>
      <c r="H161" t="s">
        <v>21</v>
      </c>
      <c r="I161" t="s">
        <v>24</v>
      </c>
      <c r="J161" t="s">
        <v>148</v>
      </c>
      <c r="K161" t="s">
        <v>63</v>
      </c>
      <c r="L161">
        <v>2564</v>
      </c>
      <c r="M161" s="4">
        <v>3.1269092999999999</v>
      </c>
      <c r="N161" s="4">
        <v>74.657190781644118</v>
      </c>
      <c r="O161" s="4">
        <v>-0.34075824439014252</v>
      </c>
      <c r="P161" s="1" t="str">
        <f>HYPERLINK(".\sm_car_250825_2318\sm_car_250825_2318_160_Ca116TrN_MaLSS_DrSt_ode3_1.png","figure")</f>
        <v>figure</v>
      </c>
      <c r="Q161" t="s">
        <v>15</v>
      </c>
      <c r="U161">
        <f>L161-'2022a_250824_2329'!L161</f>
        <v>0</v>
      </c>
      <c r="V161" s="12">
        <f>U161/'2022a_250824_2329'!L161</f>
        <v>0</v>
      </c>
      <c r="W161">
        <f>M161-'2022a_250824_2329'!M161</f>
        <v>-0.13969310000000013</v>
      </c>
      <c r="X161" s="12">
        <f>W161/'2022a_250824_2329'!M161</f>
        <v>-4.2764035194488355E-2</v>
      </c>
    </row>
    <row r="162" spans="1:24" x14ac:dyDescent="0.25">
      <c r="A162">
        <v>161</v>
      </c>
      <c r="B162">
        <v>116</v>
      </c>
      <c r="C162" t="s">
        <v>16</v>
      </c>
      <c r="D162" t="s">
        <v>35</v>
      </c>
      <c r="E162" t="s">
        <v>18</v>
      </c>
      <c r="F162" t="s">
        <v>28</v>
      </c>
      <c r="G162" t="s">
        <v>20</v>
      </c>
      <c r="H162" t="s">
        <v>21</v>
      </c>
      <c r="I162" t="s">
        <v>64</v>
      </c>
      <c r="J162" t="s">
        <v>148</v>
      </c>
      <c r="K162" t="s">
        <v>63</v>
      </c>
      <c r="L162">
        <v>2563</v>
      </c>
      <c r="M162" s="4">
        <v>3.2684351</v>
      </c>
      <c r="N162" s="4">
        <v>71.322015477791922</v>
      </c>
      <c r="O162" s="4">
        <v>-17.59032913116118</v>
      </c>
      <c r="P162" s="1" t="str">
        <f>HYPERLINK(".\sm_car_250825_2318\sm_car_250825_2318_161_Ca116TrN_MaTUR_DrSt_ode3_1.png","figure")</f>
        <v>figure</v>
      </c>
      <c r="Q162" t="s">
        <v>15</v>
      </c>
      <c r="U162">
        <f>L162-'2022a_250824_2329'!L162</f>
        <v>0</v>
      </c>
      <c r="V162" s="12">
        <f>U162/'2022a_250824_2329'!L162</f>
        <v>0</v>
      </c>
      <c r="W162">
        <f>M162-'2022a_250824_2329'!M162</f>
        <v>4.5132800000000195E-2</v>
      </c>
      <c r="X162" s="12">
        <f>W162/'2022a_250824_2329'!M162</f>
        <v>1.4002037599762268E-2</v>
      </c>
    </row>
    <row r="163" spans="1:24" x14ac:dyDescent="0.25">
      <c r="A163">
        <v>162</v>
      </c>
      <c r="B163">
        <v>124</v>
      </c>
      <c r="C163" t="s">
        <v>16</v>
      </c>
      <c r="D163" t="s">
        <v>35</v>
      </c>
      <c r="E163" t="s">
        <v>49</v>
      </c>
      <c r="F163" t="s">
        <v>28</v>
      </c>
      <c r="G163" t="s">
        <v>20</v>
      </c>
      <c r="H163" t="s">
        <v>21</v>
      </c>
      <c r="I163" t="s">
        <v>22</v>
      </c>
      <c r="J163" t="s">
        <v>148</v>
      </c>
      <c r="K163" t="s">
        <v>63</v>
      </c>
      <c r="L163">
        <v>3244</v>
      </c>
      <c r="M163" s="4">
        <v>2.2338466000000001</v>
      </c>
      <c r="N163" s="4">
        <v>242.87242715534217</v>
      </c>
      <c r="O163" s="4">
        <v>0.2361586465591097</v>
      </c>
      <c r="P163" s="1" t="str">
        <f>HYPERLINK(".\sm_car_250825_2318\sm_car_250825_2318_162_Ca124TrN_MaWOT_DrSt_ode3_1.png","figure")</f>
        <v>figure</v>
      </c>
      <c r="Q163" t="s">
        <v>15</v>
      </c>
      <c r="U163">
        <f>L163-'2022a_250824_2329'!L163</f>
        <v>0</v>
      </c>
      <c r="V163" s="12">
        <f>U163/'2022a_250824_2329'!L163</f>
        <v>0</v>
      </c>
      <c r="W163">
        <f>M163-'2022a_250824_2329'!M163</f>
        <v>5.7335099999999972E-2</v>
      </c>
      <c r="X163" s="12">
        <f>W163/'2022a_250824_2329'!M163</f>
        <v>2.6342658883263408E-2</v>
      </c>
    </row>
    <row r="164" spans="1:24" x14ac:dyDescent="0.25">
      <c r="A164">
        <v>163</v>
      </c>
      <c r="B164">
        <v>124</v>
      </c>
      <c r="C164" t="s">
        <v>16</v>
      </c>
      <c r="D164" t="s">
        <v>35</v>
      </c>
      <c r="E164" t="s">
        <v>49</v>
      </c>
      <c r="F164" t="s">
        <v>28</v>
      </c>
      <c r="G164" t="s">
        <v>20</v>
      </c>
      <c r="H164" t="s">
        <v>21</v>
      </c>
      <c r="I164" t="s">
        <v>24</v>
      </c>
      <c r="J164" t="s">
        <v>148</v>
      </c>
      <c r="K164" t="s">
        <v>63</v>
      </c>
      <c r="L164">
        <v>2565</v>
      </c>
      <c r="M164" s="4">
        <v>1.8110866000000001</v>
      </c>
      <c r="N164" s="4">
        <v>74.796106047599494</v>
      </c>
      <c r="O164" s="4">
        <v>-0.34233746651595126</v>
      </c>
      <c r="P164" s="1" t="str">
        <f>HYPERLINK(".\sm_car_250825_2318\sm_car_250825_2318_163_Ca124TrN_MaLSS_DrSt_ode3_1.png","figure")</f>
        <v>figure</v>
      </c>
      <c r="Q164" t="s">
        <v>15</v>
      </c>
      <c r="U164">
        <f>L164-'2022a_250824_2329'!L164</f>
        <v>0</v>
      </c>
      <c r="V164" s="12">
        <f>U164/'2022a_250824_2329'!L164</f>
        <v>0</v>
      </c>
      <c r="W164">
        <f>M164-'2022a_250824_2329'!M164</f>
        <v>9.8983299999999996E-2</v>
      </c>
      <c r="X164" s="12">
        <f>W164/'2022a_250824_2329'!M164</f>
        <v>5.7813859712787186E-2</v>
      </c>
    </row>
    <row r="165" spans="1:24" x14ac:dyDescent="0.25">
      <c r="A165">
        <v>164</v>
      </c>
      <c r="B165">
        <v>124</v>
      </c>
      <c r="C165" t="s">
        <v>16</v>
      </c>
      <c r="D165" t="s">
        <v>35</v>
      </c>
      <c r="E165" t="s">
        <v>49</v>
      </c>
      <c r="F165" t="s">
        <v>28</v>
      </c>
      <c r="G165" t="s">
        <v>20</v>
      </c>
      <c r="H165" t="s">
        <v>21</v>
      </c>
      <c r="I165" t="s">
        <v>64</v>
      </c>
      <c r="J165" t="s">
        <v>148</v>
      </c>
      <c r="K165" t="s">
        <v>63</v>
      </c>
      <c r="L165">
        <v>2564</v>
      </c>
      <c r="M165" s="4">
        <v>1.791183</v>
      </c>
      <c r="N165" s="4">
        <v>71.447408139703882</v>
      </c>
      <c r="O165" s="4">
        <v>-17.636376353758354</v>
      </c>
      <c r="P165" s="1" t="str">
        <f>HYPERLINK(".\sm_car_250825_2318\sm_car_250825_2318_164_Ca124TrN_MaTUR_DrSt_ode3_1.png","figure")</f>
        <v>figure</v>
      </c>
      <c r="Q165" t="s">
        <v>15</v>
      </c>
      <c r="U165">
        <f>L165-'2022a_250824_2329'!L165</f>
        <v>0</v>
      </c>
      <c r="V165" s="12">
        <f>U165/'2022a_250824_2329'!L165</f>
        <v>0</v>
      </c>
      <c r="W165">
        <f>M165-'2022a_250824_2329'!M165</f>
        <v>1.7471800000000037E-2</v>
      </c>
      <c r="X165" s="12">
        <f>W165/'2022a_250824_2329'!M165</f>
        <v>9.8504198428695927E-3</v>
      </c>
    </row>
    <row r="166" spans="1:24" x14ac:dyDescent="0.25">
      <c r="A166">
        <v>165</v>
      </c>
      <c r="B166">
        <v>141</v>
      </c>
      <c r="C166" t="s">
        <v>45</v>
      </c>
      <c r="D166" t="s">
        <v>17</v>
      </c>
      <c r="E166" t="s">
        <v>18</v>
      </c>
      <c r="F166" t="s">
        <v>28</v>
      </c>
      <c r="G166" t="s">
        <v>26</v>
      </c>
      <c r="H166" t="s">
        <v>21</v>
      </c>
      <c r="I166" t="s">
        <v>22</v>
      </c>
      <c r="J166" t="s">
        <v>148</v>
      </c>
      <c r="K166" t="s">
        <v>63</v>
      </c>
      <c r="L166">
        <v>3839</v>
      </c>
      <c r="M166" s="4">
        <v>12.1986849</v>
      </c>
      <c r="N166" s="4">
        <v>402.30864648852173</v>
      </c>
      <c r="O166" s="4">
        <v>1.6315181880024696</v>
      </c>
      <c r="P166" s="1" t="str">
        <f>HYPERLINK(".\sm_car_250825_2318\sm_car_250825_2318_165_Ca141TrN_MaWOT_DrSt_ode3_1.png","figure")</f>
        <v>figure</v>
      </c>
      <c r="Q166" t="s">
        <v>15</v>
      </c>
      <c r="U166">
        <f>L166-'2022a_250824_2329'!L166</f>
        <v>0</v>
      </c>
      <c r="V166" s="12">
        <f>U166/'2022a_250824_2329'!L166</f>
        <v>0</v>
      </c>
      <c r="W166">
        <f>M166-'2022a_250824_2329'!M166</f>
        <v>0.21217539999999957</v>
      </c>
      <c r="X166" s="12">
        <f>W166/'2022a_250824_2329'!M166</f>
        <v>1.7701183150941446E-2</v>
      </c>
    </row>
    <row r="167" spans="1:24" x14ac:dyDescent="0.25">
      <c r="A167">
        <v>166</v>
      </c>
      <c r="B167">
        <v>141</v>
      </c>
      <c r="C167" t="s">
        <v>45</v>
      </c>
      <c r="D167" t="s">
        <v>17</v>
      </c>
      <c r="E167" t="s">
        <v>18</v>
      </c>
      <c r="F167" t="s">
        <v>28</v>
      </c>
      <c r="G167" t="s">
        <v>26</v>
      </c>
      <c r="H167" t="s">
        <v>21</v>
      </c>
      <c r="I167" t="s">
        <v>24</v>
      </c>
      <c r="J167" t="s">
        <v>148</v>
      </c>
      <c r="K167" t="s">
        <v>63</v>
      </c>
      <c r="L167">
        <v>3192</v>
      </c>
      <c r="M167" s="4">
        <v>10.293110199999999</v>
      </c>
      <c r="N167" s="4">
        <v>153.1611281017575</v>
      </c>
      <c r="O167" s="4">
        <v>-0.57358586944512158</v>
      </c>
      <c r="P167" s="1" t="str">
        <f>HYPERLINK(".\sm_car_250825_2318\sm_car_250825_2318_166_Ca141TrN_MaLSS_DrSt_ode3_1.png","figure")</f>
        <v>figure</v>
      </c>
      <c r="Q167" t="s">
        <v>15</v>
      </c>
      <c r="U167">
        <f>L167-'2022a_250824_2329'!L167</f>
        <v>0</v>
      </c>
      <c r="V167" s="12">
        <f>U167/'2022a_250824_2329'!L167</f>
        <v>0</v>
      </c>
      <c r="W167">
        <f>M167-'2022a_250824_2329'!M167</f>
        <v>0.61181169999999874</v>
      </c>
      <c r="X167" s="12">
        <f>W167/'2022a_250824_2329'!M167</f>
        <v>6.3195210849040423E-2</v>
      </c>
    </row>
    <row r="168" spans="1:24" x14ac:dyDescent="0.25">
      <c r="A168">
        <v>167</v>
      </c>
      <c r="B168">
        <v>141</v>
      </c>
      <c r="C168" t="s">
        <v>45</v>
      </c>
      <c r="D168" t="s">
        <v>17</v>
      </c>
      <c r="E168" t="s">
        <v>18</v>
      </c>
      <c r="F168" t="s">
        <v>28</v>
      </c>
      <c r="G168" t="s">
        <v>26</v>
      </c>
      <c r="H168" t="s">
        <v>21</v>
      </c>
      <c r="I168" t="s">
        <v>64</v>
      </c>
      <c r="J168" t="s">
        <v>148</v>
      </c>
      <c r="K168" t="s">
        <v>63</v>
      </c>
      <c r="L168">
        <v>3161</v>
      </c>
      <c r="M168" s="4">
        <v>10.0132166</v>
      </c>
      <c r="N168" s="4">
        <v>98.197142007404196</v>
      </c>
      <c r="O168" s="4">
        <v>-86.467118603960941</v>
      </c>
      <c r="P168" s="1" t="str">
        <f>HYPERLINK(".\sm_car_250825_2318\sm_car_250825_2318_167_Ca141TrN_MaTUR_DrSt_ode3_1.png","figure")</f>
        <v>figure</v>
      </c>
      <c r="Q168" t="s">
        <v>15</v>
      </c>
      <c r="U168">
        <f>L168-'2022a_250824_2329'!L168</f>
        <v>0</v>
      </c>
      <c r="V168" s="12">
        <f>U168/'2022a_250824_2329'!L168</f>
        <v>0</v>
      </c>
      <c r="W168">
        <f>M168-'2022a_250824_2329'!M168</f>
        <v>-4.3401999999996832E-3</v>
      </c>
      <c r="X168" s="12">
        <f>W168/'2022a_250824_2329'!M168</f>
        <v>-4.3325933525025618E-4</v>
      </c>
    </row>
    <row r="169" spans="1:24" x14ac:dyDescent="0.25">
      <c r="A169">
        <v>168</v>
      </c>
      <c r="B169">
        <v>145</v>
      </c>
      <c r="C169" t="s">
        <v>46</v>
      </c>
      <c r="D169" t="s">
        <v>17</v>
      </c>
      <c r="E169" t="s">
        <v>50</v>
      </c>
      <c r="F169" t="s">
        <v>19</v>
      </c>
      <c r="G169" t="s">
        <v>26</v>
      </c>
      <c r="H169" t="s">
        <v>21</v>
      </c>
      <c r="I169" t="s">
        <v>22</v>
      </c>
      <c r="J169" t="s">
        <v>148</v>
      </c>
      <c r="K169" t="s">
        <v>63</v>
      </c>
      <c r="L169">
        <v>2641</v>
      </c>
      <c r="M169" s="4">
        <v>7.1296362000000002</v>
      </c>
      <c r="N169" s="4">
        <v>62.800791154018029</v>
      </c>
      <c r="O169" s="4">
        <v>1.2953208686814436E-2</v>
      </c>
      <c r="P169" s="1" t="str">
        <f>HYPERLINK(".\sm_car_250825_2318\sm_car_250825_2318_168_Ca145TrN_MaWOT_DrSt_ode3_1.png","figure")</f>
        <v>figure</v>
      </c>
      <c r="Q169" t="s">
        <v>15</v>
      </c>
      <c r="U169">
        <f>L169-'2022a_250824_2329'!L169</f>
        <v>0</v>
      </c>
      <c r="V169" s="12">
        <f>U169/'2022a_250824_2329'!L169</f>
        <v>0</v>
      </c>
      <c r="W169">
        <f>M169-'2022a_250824_2329'!M169</f>
        <v>0.67627350000000064</v>
      </c>
      <c r="X169" s="12">
        <f>W169/'2022a_250824_2329'!M169</f>
        <v>0.10479397043652927</v>
      </c>
    </row>
    <row r="170" spans="1:24" x14ac:dyDescent="0.25">
      <c r="A170">
        <v>169</v>
      </c>
      <c r="B170">
        <v>145</v>
      </c>
      <c r="C170" t="s">
        <v>46</v>
      </c>
      <c r="D170" t="s">
        <v>17</v>
      </c>
      <c r="E170" t="s">
        <v>50</v>
      </c>
      <c r="F170" t="s">
        <v>19</v>
      </c>
      <c r="G170" t="s">
        <v>26</v>
      </c>
      <c r="H170" t="s">
        <v>21</v>
      </c>
      <c r="I170" t="s">
        <v>24</v>
      </c>
      <c r="J170" t="s">
        <v>148</v>
      </c>
      <c r="K170" t="s">
        <v>63</v>
      </c>
      <c r="L170">
        <v>2382</v>
      </c>
      <c r="M170" s="4">
        <v>6.0411764000000003</v>
      </c>
      <c r="N170" s="4">
        <v>25.299768321289594</v>
      </c>
      <c r="O170" s="4">
        <v>-5.1062938071190223E-2</v>
      </c>
      <c r="P170" s="1" t="str">
        <f>HYPERLINK(".\sm_car_250825_2318\sm_car_250825_2318_169_Ca145TrN_MaLSS_DrSt_ode3_1.png","figure")</f>
        <v>figure</v>
      </c>
      <c r="Q170" t="s">
        <v>15</v>
      </c>
      <c r="U170">
        <f>L170-'2022a_250824_2329'!L170</f>
        <v>-1</v>
      </c>
      <c r="V170" s="12">
        <f>U170/'2022a_250824_2329'!L170</f>
        <v>-4.1963911036508602E-4</v>
      </c>
      <c r="W170">
        <f>M170-'2022a_250824_2329'!M170</f>
        <v>-0.37897529999999957</v>
      </c>
      <c r="X170" s="12">
        <f>W170/'2022a_250824_2329'!M170</f>
        <v>-5.9029025747164135E-2</v>
      </c>
    </row>
    <row r="171" spans="1:24" x14ac:dyDescent="0.25">
      <c r="A171">
        <v>170</v>
      </c>
      <c r="B171">
        <v>145</v>
      </c>
      <c r="C171" t="s">
        <v>46</v>
      </c>
      <c r="D171" t="s">
        <v>17</v>
      </c>
      <c r="E171" t="s">
        <v>50</v>
      </c>
      <c r="F171" t="s">
        <v>19</v>
      </c>
      <c r="G171" t="s">
        <v>26</v>
      </c>
      <c r="H171" t="s">
        <v>21</v>
      </c>
      <c r="I171" t="s">
        <v>64</v>
      </c>
      <c r="J171" t="s">
        <v>148</v>
      </c>
      <c r="K171" t="s">
        <v>63</v>
      </c>
      <c r="L171">
        <v>2379</v>
      </c>
      <c r="M171" s="4">
        <v>6.3321643999999999</v>
      </c>
      <c r="N171" s="4">
        <v>25.119036946795049</v>
      </c>
      <c r="O171" s="4">
        <v>-2.6098406685038094</v>
      </c>
      <c r="P171" s="1" t="str">
        <f>HYPERLINK(".\sm_car_250825_2318\sm_car_250825_2318_170_Ca145TrN_MaTUR_DrSt_ode3_1.png","figure")</f>
        <v>figure</v>
      </c>
      <c r="Q171" t="s">
        <v>15</v>
      </c>
      <c r="U171">
        <f>L171-'2022a_250824_2329'!L171</f>
        <v>-2</v>
      </c>
      <c r="V171" s="12">
        <f>U171/'2022a_250824_2329'!L171</f>
        <v>-8.3998320033599333E-4</v>
      </c>
      <c r="W171">
        <f>M171-'2022a_250824_2329'!M171</f>
        <v>-2.8566999999999787E-2</v>
      </c>
      <c r="X171" s="12">
        <f>W171/'2022a_250824_2329'!M171</f>
        <v>-4.4911501843954279E-3</v>
      </c>
    </row>
    <row r="172" spans="1:24" x14ac:dyDescent="0.25">
      <c r="A172">
        <v>171</v>
      </c>
      <c r="B172">
        <v>199</v>
      </c>
      <c r="C172" t="s">
        <v>46</v>
      </c>
      <c r="D172" t="s">
        <v>17</v>
      </c>
      <c r="E172" t="s">
        <v>109</v>
      </c>
      <c r="F172" t="s">
        <v>19</v>
      </c>
      <c r="G172" t="s">
        <v>26</v>
      </c>
      <c r="H172" t="s">
        <v>21</v>
      </c>
      <c r="I172" t="s">
        <v>22</v>
      </c>
      <c r="J172" t="s">
        <v>148</v>
      </c>
      <c r="K172" t="s">
        <v>63</v>
      </c>
      <c r="L172">
        <v>2645</v>
      </c>
      <c r="M172" s="4">
        <v>8.0225459000000008</v>
      </c>
      <c r="N172" s="4">
        <v>63.478840986802155</v>
      </c>
      <c r="O172" s="4">
        <v>-7.2197850322853606E-5</v>
      </c>
      <c r="P172" s="1" t="str">
        <f>HYPERLINK(".\sm_car_250825_2318\sm_car_250825_2318_171_Ca199TrN_MaWOT_DrSt_ode3_1.png","figure")</f>
        <v>figure</v>
      </c>
      <c r="Q172" t="s">
        <v>15</v>
      </c>
      <c r="U172">
        <f>L172-'2022a_250824_2329'!L172</f>
        <v>-2</v>
      </c>
      <c r="V172" s="12">
        <f>U172/'2022a_250824_2329'!L172</f>
        <v>-7.5557234605213447E-4</v>
      </c>
      <c r="W172">
        <f>M172-'2022a_250824_2329'!M172</f>
        <v>0.88820300000000074</v>
      </c>
      <c r="X172" s="12">
        <f>W172/'2022a_250824_2329'!M172</f>
        <v>0.12449681946181768</v>
      </c>
    </row>
    <row r="173" spans="1:24" x14ac:dyDescent="0.25">
      <c r="A173">
        <v>172</v>
      </c>
      <c r="B173">
        <v>199</v>
      </c>
      <c r="C173" t="s">
        <v>46</v>
      </c>
      <c r="D173" t="s">
        <v>17</v>
      </c>
      <c r="E173" t="s">
        <v>109</v>
      </c>
      <c r="F173" t="s">
        <v>19</v>
      </c>
      <c r="G173" t="s">
        <v>26</v>
      </c>
      <c r="H173" t="s">
        <v>21</v>
      </c>
      <c r="I173" t="s">
        <v>24</v>
      </c>
      <c r="J173" t="s">
        <v>148</v>
      </c>
      <c r="K173" t="s">
        <v>63</v>
      </c>
      <c r="L173">
        <v>2385</v>
      </c>
      <c r="M173" s="4">
        <v>7.2445484000000002</v>
      </c>
      <c r="N173" s="4">
        <v>25.91954133124397</v>
      </c>
      <c r="O173" s="4">
        <v>-5.3779379422819289E-2</v>
      </c>
      <c r="P173" s="1" t="str">
        <f>HYPERLINK(".\sm_car_250825_2318\sm_car_250825_2318_172_Ca199TrN_MaLSS_DrSt_ode3_1.png","figure")</f>
        <v>figure</v>
      </c>
      <c r="Q173" t="s">
        <v>15</v>
      </c>
      <c r="U173">
        <f>L173-'2022a_250824_2329'!L173</f>
        <v>0</v>
      </c>
      <c r="V173" s="12">
        <f>U173/'2022a_250824_2329'!L173</f>
        <v>0</v>
      </c>
      <c r="W173">
        <f>M173-'2022a_250824_2329'!M173</f>
        <v>0.18876299999999979</v>
      </c>
      <c r="X173" s="12">
        <f>W173/'2022a_250824_2329'!M173</f>
        <v>2.6752939509753198E-2</v>
      </c>
    </row>
    <row r="174" spans="1:24" x14ac:dyDescent="0.25">
      <c r="A174">
        <v>173</v>
      </c>
      <c r="B174">
        <v>199</v>
      </c>
      <c r="C174" t="s">
        <v>46</v>
      </c>
      <c r="D174" t="s">
        <v>17</v>
      </c>
      <c r="E174" t="s">
        <v>109</v>
      </c>
      <c r="F174" t="s">
        <v>19</v>
      </c>
      <c r="G174" t="s">
        <v>26</v>
      </c>
      <c r="H174" t="s">
        <v>21</v>
      </c>
      <c r="I174" t="s">
        <v>64</v>
      </c>
      <c r="J174" t="s">
        <v>148</v>
      </c>
      <c r="K174" t="s">
        <v>63</v>
      </c>
      <c r="L174">
        <v>2383</v>
      </c>
      <c r="M174" s="4">
        <v>7.1976309000000001</v>
      </c>
      <c r="N174" s="4">
        <v>25.733627184583746</v>
      </c>
      <c r="O174" s="4">
        <v>-2.6936807701459968</v>
      </c>
      <c r="P174" s="1" t="str">
        <f>HYPERLINK(".\sm_car_250825_2318\sm_car_250825_2318_173_Ca199TrN_MaTUR_DrSt_ode3_1.png","figure")</f>
        <v>figure</v>
      </c>
      <c r="Q174" t="s">
        <v>15</v>
      </c>
      <c r="U174">
        <f>L174-'2022a_250824_2329'!L174</f>
        <v>-1</v>
      </c>
      <c r="V174" s="12">
        <f>U174/'2022a_250824_2329'!L174</f>
        <v>-4.1946308724832214E-4</v>
      </c>
      <c r="W174">
        <f>M174-'2022a_250824_2329'!M174</f>
        <v>0.81000430000000012</v>
      </c>
      <c r="X174" s="12">
        <f>W174/'2022a_250824_2329'!M174</f>
        <v>0.12680833597881255</v>
      </c>
    </row>
    <row r="175" spans="1:24" x14ac:dyDescent="0.25">
      <c r="A175">
        <v>174</v>
      </c>
      <c r="B175">
        <v>139</v>
      </c>
      <c r="C175" t="s">
        <v>45</v>
      </c>
      <c r="D175" t="s">
        <v>17</v>
      </c>
      <c r="E175" t="s">
        <v>18</v>
      </c>
      <c r="F175" t="s">
        <v>19</v>
      </c>
      <c r="G175" t="s">
        <v>26</v>
      </c>
      <c r="H175" t="s">
        <v>21</v>
      </c>
      <c r="I175" t="s">
        <v>53</v>
      </c>
      <c r="J175" t="s">
        <v>148</v>
      </c>
      <c r="K175" t="s">
        <v>23</v>
      </c>
      <c r="L175">
        <v>893</v>
      </c>
      <c r="M175" s="4">
        <v>14.0690347</v>
      </c>
      <c r="N175" s="4">
        <v>253.26860758757454</v>
      </c>
      <c r="O175" s="4">
        <v>-9.2539703047105348E-3</v>
      </c>
      <c r="P175" s="1" t="str">
        <f>HYPERLINK(".\sm_car_250825_2318\sm_car_250825_2318_174_Ca139TrN_MaDLC_DrSt_ode23t_1.png","figure")</f>
        <v>figure</v>
      </c>
      <c r="Q175" t="s">
        <v>15</v>
      </c>
      <c r="U175">
        <f>L175-'2022a_250824_2329'!L175</f>
        <v>337</v>
      </c>
      <c r="V175" s="12">
        <f>U175/'2022a_250824_2329'!L175</f>
        <v>0.60611510791366907</v>
      </c>
      <c r="W175">
        <f>M175-'2022a_250824_2329'!M175</f>
        <v>2.1872192999999989</v>
      </c>
      <c r="X175" s="12">
        <f>W175/'2022a_250824_2329'!M175</f>
        <v>0.18408123896622722</v>
      </c>
    </row>
    <row r="176" spans="1:24" x14ac:dyDescent="0.25">
      <c r="A176">
        <v>175</v>
      </c>
      <c r="B176">
        <v>139</v>
      </c>
      <c r="C176" t="s">
        <v>45</v>
      </c>
      <c r="D176" t="s">
        <v>17</v>
      </c>
      <c r="E176" t="s">
        <v>18</v>
      </c>
      <c r="F176" t="s">
        <v>19</v>
      </c>
      <c r="G176" t="s">
        <v>26</v>
      </c>
      <c r="H176" t="s">
        <v>65</v>
      </c>
      <c r="I176" t="s">
        <v>53</v>
      </c>
      <c r="J176" t="s">
        <v>148</v>
      </c>
      <c r="K176" t="s">
        <v>23</v>
      </c>
      <c r="L176">
        <v>1459</v>
      </c>
      <c r="M176" s="4">
        <v>37.614463399999998</v>
      </c>
      <c r="N176" s="4">
        <v>253.29051988910794</v>
      </c>
      <c r="O176" s="4">
        <v>0.16359854353088865</v>
      </c>
      <c r="P176" s="1" t="str">
        <f>HYPERLINK(".\sm_car_250825_2318\sm_car_250825_2318_175_Ca139TrE_MaDLC_DrSt_ode23t_1.png","figure")</f>
        <v>figure</v>
      </c>
      <c r="Q176" t="s">
        <v>15</v>
      </c>
      <c r="U176">
        <f>L176-'2022a_250824_2329'!L176</f>
        <v>570</v>
      </c>
      <c r="V176" s="12">
        <f>U176/'2022a_250824_2329'!L176</f>
        <v>0.64116985376827895</v>
      </c>
      <c r="W176">
        <f>M176-'2022a_250824_2329'!M176</f>
        <v>6.6991654999999994</v>
      </c>
      <c r="X176" s="12">
        <f>W176/'2022a_250824_2329'!M176</f>
        <v>0.21669419203623458</v>
      </c>
    </row>
    <row r="177" spans="1:24" x14ac:dyDescent="0.25">
      <c r="A177">
        <v>176</v>
      </c>
      <c r="B177">
        <v>139</v>
      </c>
      <c r="C177" t="s">
        <v>45</v>
      </c>
      <c r="D177" t="s">
        <v>17</v>
      </c>
      <c r="E177" t="s">
        <v>18</v>
      </c>
      <c r="F177" t="s">
        <v>19</v>
      </c>
      <c r="G177" t="s">
        <v>26</v>
      </c>
      <c r="H177" t="s">
        <v>66</v>
      </c>
      <c r="I177" t="s">
        <v>53</v>
      </c>
      <c r="J177" t="s">
        <v>148</v>
      </c>
      <c r="K177" t="s">
        <v>23</v>
      </c>
      <c r="L177">
        <v>2103</v>
      </c>
      <c r="M177" s="4">
        <v>95.650597599999998</v>
      </c>
      <c r="N177" s="4">
        <v>254.21781357773108</v>
      </c>
      <c r="O177" s="4">
        <v>-8.2620370033796853E-3</v>
      </c>
      <c r="P177" s="1" t="str">
        <f>HYPERLINK(".\sm_car_250825_2318\sm_car_250825_2318_176_Ca139TrT_MaDLC_DrSt_ode23t_1.png","figure")</f>
        <v>figure</v>
      </c>
      <c r="Q177" t="s">
        <v>15</v>
      </c>
      <c r="U177">
        <f>L177-'2022a_250824_2329'!L177</f>
        <v>1104</v>
      </c>
      <c r="V177" s="12">
        <f>U177/'2022a_250824_2329'!L177</f>
        <v>1.1051051051051051</v>
      </c>
      <c r="W177">
        <f>M177-'2022a_250824_2329'!M177</f>
        <v>56.253094099999998</v>
      </c>
      <c r="X177" s="12">
        <f>W177/'2022a_250824_2329'!M177</f>
        <v>1.4278339768406898</v>
      </c>
    </row>
    <row r="178" spans="1:24" x14ac:dyDescent="0.25">
      <c r="A178">
        <v>177</v>
      </c>
      <c r="B178">
        <v>139</v>
      </c>
      <c r="C178" t="s">
        <v>45</v>
      </c>
      <c r="D178" t="s">
        <v>17</v>
      </c>
      <c r="E178" t="s">
        <v>18</v>
      </c>
      <c r="F178" t="s">
        <v>19</v>
      </c>
      <c r="G178" t="s">
        <v>26</v>
      </c>
      <c r="H178" t="s">
        <v>65</v>
      </c>
      <c r="I178" t="s">
        <v>53</v>
      </c>
      <c r="J178" t="s">
        <v>148</v>
      </c>
      <c r="K178" t="s">
        <v>23</v>
      </c>
      <c r="L178">
        <v>1338</v>
      </c>
      <c r="M178" s="4">
        <v>26.549588700000001</v>
      </c>
      <c r="N178" s="4">
        <v>253.34782957582104</v>
      </c>
      <c r="O178" s="4">
        <v>1.2069100502059893E-2</v>
      </c>
      <c r="P178" s="1" t="str">
        <f>HYPERLINK(".\sm_car_250825_2318\sm_car_250825_2318_177_Ca139TrE_MaDLC_DrSt_ode23t_1.png","figure")</f>
        <v>figure</v>
      </c>
      <c r="Q178" t="s">
        <v>15</v>
      </c>
      <c r="U178">
        <f>L178-'2022a_250824_2329'!L178</f>
        <v>543</v>
      </c>
      <c r="V178" s="12">
        <f>U178/'2022a_250824_2329'!L178</f>
        <v>0.68301886792452826</v>
      </c>
      <c r="W178">
        <f>M178-'2022a_250824_2329'!M178</f>
        <v>5.0559446000000001</v>
      </c>
      <c r="X178" s="12">
        <f>W178/'2022a_250824_2329'!M178</f>
        <v>0.23522975333903476</v>
      </c>
    </row>
    <row r="179" spans="1:24" x14ac:dyDescent="0.25">
      <c r="A179">
        <v>178</v>
      </c>
      <c r="B179">
        <v>2</v>
      </c>
      <c r="C179" t="s">
        <v>16</v>
      </c>
      <c r="D179" t="s">
        <v>17</v>
      </c>
      <c r="E179" t="s">
        <v>18</v>
      </c>
      <c r="F179" t="s">
        <v>19</v>
      </c>
      <c r="G179" t="s">
        <v>26</v>
      </c>
      <c r="H179" t="s">
        <v>21</v>
      </c>
      <c r="I179" t="s">
        <v>53</v>
      </c>
      <c r="J179" t="s">
        <v>148</v>
      </c>
      <c r="K179" t="s">
        <v>23</v>
      </c>
      <c r="L179">
        <v>1308</v>
      </c>
      <c r="M179" s="4">
        <v>15.5554156</v>
      </c>
      <c r="N179" s="4">
        <v>253.25923149828321</v>
      </c>
      <c r="O179" s="4">
        <v>4.7516163322558036E-2</v>
      </c>
      <c r="P179" s="1" t="str">
        <f>HYPERLINK(".\sm_car_250825_2318\sm_car_250825_2318_178_Ca002TrN_MaDLC_DrSt_ode23t_1.png","figure")</f>
        <v>figure</v>
      </c>
      <c r="Q179" t="s">
        <v>15</v>
      </c>
      <c r="U179">
        <f>L179-'2022a_250824_2329'!L179</f>
        <v>785</v>
      </c>
      <c r="V179" s="12">
        <f>U179/'2022a_250824_2329'!L179</f>
        <v>1.5009560229445507</v>
      </c>
      <c r="W179">
        <f>M179-'2022a_250824_2329'!M179</f>
        <v>6.1749869000000004</v>
      </c>
      <c r="X179" s="12">
        <f>W179/'2022a_250824_2329'!M179</f>
        <v>0.6582840824748234</v>
      </c>
    </row>
    <row r="180" spans="1:24" x14ac:dyDescent="0.25">
      <c r="A180">
        <v>179</v>
      </c>
      <c r="B180">
        <v>2</v>
      </c>
      <c r="C180" t="s">
        <v>16</v>
      </c>
      <c r="D180" t="s">
        <v>17</v>
      </c>
      <c r="E180" t="s">
        <v>18</v>
      </c>
      <c r="F180" t="s">
        <v>19</v>
      </c>
      <c r="G180" t="s">
        <v>26</v>
      </c>
      <c r="H180" t="s">
        <v>65</v>
      </c>
      <c r="I180" t="s">
        <v>53</v>
      </c>
      <c r="J180" t="s">
        <v>148</v>
      </c>
      <c r="K180" t="s">
        <v>23</v>
      </c>
      <c r="L180">
        <v>1326</v>
      </c>
      <c r="M180" s="4">
        <v>25.5407169</v>
      </c>
      <c r="N180" s="4">
        <v>253.32615408116197</v>
      </c>
      <c r="O180" s="4">
        <v>4.7940330742095583E-2</v>
      </c>
      <c r="P180" s="1" t="str">
        <f>HYPERLINK(".\sm_car_250825_2318\sm_car_250825_2318_179_Ca002TrE_MaDLC_DrSt_ode23t_1.png","figure")</f>
        <v>figure</v>
      </c>
      <c r="Q180" t="s">
        <v>15</v>
      </c>
      <c r="U180">
        <f>L180-'2022a_250824_2329'!L180</f>
        <v>750</v>
      </c>
      <c r="V180" s="12">
        <f>U180/'2022a_250824_2329'!L180</f>
        <v>1.3020833333333333</v>
      </c>
      <c r="W180">
        <f>M180-'2022a_250824_2329'!M180</f>
        <v>8.5092683999999998</v>
      </c>
      <c r="X180" s="12">
        <f>W180/'2022a_250824_2329'!M180</f>
        <v>0.49962094533533069</v>
      </c>
    </row>
    <row r="181" spans="1:24" x14ac:dyDescent="0.25">
      <c r="A181">
        <v>180</v>
      </c>
      <c r="B181">
        <v>2</v>
      </c>
      <c r="C181" t="s">
        <v>16</v>
      </c>
      <c r="D181" t="s">
        <v>17</v>
      </c>
      <c r="E181" t="s">
        <v>18</v>
      </c>
      <c r="F181" t="s">
        <v>19</v>
      </c>
      <c r="G181" t="s">
        <v>26</v>
      </c>
      <c r="H181" t="s">
        <v>66</v>
      </c>
      <c r="I181" t="s">
        <v>53</v>
      </c>
      <c r="J181" t="s">
        <v>148</v>
      </c>
      <c r="K181" t="s">
        <v>23</v>
      </c>
      <c r="L181">
        <v>2189</v>
      </c>
      <c r="M181" s="4">
        <v>74.547829300000004</v>
      </c>
      <c r="N181" s="4">
        <v>253.36157024732654</v>
      </c>
      <c r="O181" s="4">
        <v>4.7147335436676041E-2</v>
      </c>
      <c r="P181" s="1" t="str">
        <f>HYPERLINK(".\sm_car_250825_2318\sm_car_250825_2318_180_Ca002TrT_MaDLC_DrSt_ode23t_1.png","figure")</f>
        <v>figure</v>
      </c>
      <c r="Q181" t="s">
        <v>15</v>
      </c>
      <c r="U181">
        <f>L181-'2022a_250824_2329'!L181</f>
        <v>1293</v>
      </c>
      <c r="V181" s="12">
        <f>U181/'2022a_250824_2329'!L181</f>
        <v>1.4430803571428572</v>
      </c>
      <c r="W181">
        <f>M181-'2022a_250824_2329'!M181</f>
        <v>45.901049400000005</v>
      </c>
      <c r="X181" s="12">
        <f>W181/'2022a_250824_2329'!M181</f>
        <v>1.6023109599135088</v>
      </c>
    </row>
    <row r="182" spans="1:24" x14ac:dyDescent="0.25">
      <c r="A182">
        <v>181</v>
      </c>
      <c r="B182">
        <v>2</v>
      </c>
      <c r="C182" t="s">
        <v>16</v>
      </c>
      <c r="D182" t="s">
        <v>17</v>
      </c>
      <c r="E182" t="s">
        <v>18</v>
      </c>
      <c r="F182" t="s">
        <v>19</v>
      </c>
      <c r="G182" t="s">
        <v>26</v>
      </c>
      <c r="H182" t="s">
        <v>65</v>
      </c>
      <c r="I182" t="s">
        <v>53</v>
      </c>
      <c r="J182" t="s">
        <v>148</v>
      </c>
      <c r="K182" t="s">
        <v>23</v>
      </c>
      <c r="L182">
        <v>1330</v>
      </c>
      <c r="M182" s="4">
        <v>18.819509799999999</v>
      </c>
      <c r="N182" s="4">
        <v>253.22087647422757</v>
      </c>
      <c r="O182" s="4">
        <v>4.8352152978138996E-2</v>
      </c>
      <c r="P182" s="1" t="str">
        <f>HYPERLINK(".\sm_car_250825_2318\sm_car_250825_2318_181_Ca002TrE_MaDLC_DrSt_ode23t_1.png","figure")</f>
        <v>figure</v>
      </c>
      <c r="Q182" t="s">
        <v>15</v>
      </c>
      <c r="U182">
        <f>L182-'2022a_250824_2329'!L182</f>
        <v>758</v>
      </c>
      <c r="V182" s="12">
        <f>U182/'2022a_250824_2329'!L182</f>
        <v>1.3251748251748252</v>
      </c>
      <c r="W182">
        <f>M182-'2022a_250824_2329'!M182</f>
        <v>6.774557699999999</v>
      </c>
      <c r="X182" s="12">
        <f>W182/'2022a_250824_2329'!M182</f>
        <v>0.56243957167749958</v>
      </c>
    </row>
    <row r="183" spans="1:24" x14ac:dyDescent="0.25">
      <c r="A183">
        <v>182</v>
      </c>
      <c r="B183">
        <v>145</v>
      </c>
      <c r="C183" t="s">
        <v>46</v>
      </c>
      <c r="D183" t="s">
        <v>17</v>
      </c>
      <c r="E183" t="s">
        <v>50</v>
      </c>
      <c r="F183" t="s">
        <v>19</v>
      </c>
      <c r="G183" t="s">
        <v>26</v>
      </c>
      <c r="H183" t="s">
        <v>21</v>
      </c>
      <c r="I183" t="s">
        <v>53</v>
      </c>
      <c r="J183" t="s">
        <v>148</v>
      </c>
      <c r="K183" t="s">
        <v>23</v>
      </c>
      <c r="L183">
        <v>830</v>
      </c>
      <c r="M183" s="4">
        <v>19.863753599999999</v>
      </c>
      <c r="N183" s="4">
        <v>254.53438637752686</v>
      </c>
      <c r="O183" s="4">
        <v>7.2594737758063133E-2</v>
      </c>
      <c r="P183" s="1" t="str">
        <f>HYPERLINK(".\sm_car_250825_2318\sm_car_250825_2318_182_Ca145TrN_MaDLC_DrSt_ode23t_1.png","figure")</f>
        <v>figure</v>
      </c>
      <c r="Q183" t="s">
        <v>15</v>
      </c>
      <c r="U183">
        <f>L183-'2022a_250824_2329'!L183</f>
        <v>366</v>
      </c>
      <c r="V183" s="12">
        <f>U183/'2022a_250824_2329'!L183</f>
        <v>0.78879310344827591</v>
      </c>
      <c r="W183">
        <f>M183-'2022a_250824_2329'!M183</f>
        <v>3.7536836999999998</v>
      </c>
      <c r="X183" s="12">
        <f>W183/'2022a_250824_2329'!M183</f>
        <v>0.23300232235491419</v>
      </c>
    </row>
    <row r="184" spans="1:24" x14ac:dyDescent="0.25">
      <c r="A184">
        <v>183</v>
      </c>
      <c r="B184">
        <v>145</v>
      </c>
      <c r="C184" t="s">
        <v>46</v>
      </c>
      <c r="D184" t="s">
        <v>17</v>
      </c>
      <c r="E184" t="s">
        <v>50</v>
      </c>
      <c r="F184" t="s">
        <v>19</v>
      </c>
      <c r="G184" t="s">
        <v>26</v>
      </c>
      <c r="H184" t="s">
        <v>65</v>
      </c>
      <c r="I184" t="s">
        <v>53</v>
      </c>
      <c r="J184" t="s">
        <v>148</v>
      </c>
      <c r="K184" t="s">
        <v>23</v>
      </c>
      <c r="L184">
        <v>1061</v>
      </c>
      <c r="M184" s="4">
        <v>42.170729999999999</v>
      </c>
      <c r="N184" s="4">
        <v>254.20692619548544</v>
      </c>
      <c r="O184" s="4">
        <v>7.4276388862441145E-2</v>
      </c>
      <c r="P184" s="1" t="str">
        <f>HYPERLINK(".\sm_car_250825_2318\sm_car_250825_2318_183_Ca145TrE_MaDLC_DrSt_ode23t_1.png","figure")</f>
        <v>figure</v>
      </c>
      <c r="Q184" t="s">
        <v>15</v>
      </c>
      <c r="U184">
        <f>L184-'2022a_250824_2329'!L184</f>
        <v>486</v>
      </c>
      <c r="V184" s="12">
        <f>U184/'2022a_250824_2329'!L184</f>
        <v>0.84521739130434781</v>
      </c>
      <c r="W184">
        <f>M184-'2022a_250824_2329'!M184</f>
        <v>11.821528600000001</v>
      </c>
      <c r="X184" s="12">
        <f>W184/'2022a_250824_2329'!M184</f>
        <v>0.38951695776746209</v>
      </c>
    </row>
    <row r="185" spans="1:24" x14ac:dyDescent="0.25">
      <c r="A185">
        <v>184</v>
      </c>
      <c r="B185">
        <v>145</v>
      </c>
      <c r="C185" t="s">
        <v>46</v>
      </c>
      <c r="D185" t="s">
        <v>17</v>
      </c>
      <c r="E185" t="s">
        <v>50</v>
      </c>
      <c r="F185" t="s">
        <v>19</v>
      </c>
      <c r="G185" t="s">
        <v>26</v>
      </c>
      <c r="H185" t="s">
        <v>66</v>
      </c>
      <c r="I185" t="s">
        <v>53</v>
      </c>
      <c r="J185" t="s">
        <v>148</v>
      </c>
      <c r="K185" t="s">
        <v>23</v>
      </c>
      <c r="L185">
        <v>5387</v>
      </c>
      <c r="M185" s="4">
        <v>731.90260639999997</v>
      </c>
      <c r="N185" s="4">
        <v>253.3371017032909</v>
      </c>
      <c r="O185" s="4">
        <v>7.8530908699714796E-2</v>
      </c>
      <c r="P185" s="1" t="str">
        <f>HYPERLINK(".\sm_car_250825_2318\sm_car_250825_2318_184_Ca145TrT_MaDLC_DrSt_ode23t_1.png","figure")</f>
        <v>figure</v>
      </c>
      <c r="Q185" t="s">
        <v>15</v>
      </c>
      <c r="U185">
        <f>L185-'2022a_250824_2329'!L185</f>
        <v>4566</v>
      </c>
      <c r="V185" s="12">
        <f>U185/'2022a_250824_2329'!L185</f>
        <v>5.5615103532277708</v>
      </c>
      <c r="W185">
        <f>M185-'2022a_250824_2329'!M185</f>
        <v>682.11860809999996</v>
      </c>
      <c r="X185" s="12">
        <f>W185/'2022a_250824_2329'!M185</f>
        <v>13.701563381661934</v>
      </c>
    </row>
    <row r="186" spans="1:24" x14ac:dyDescent="0.25">
      <c r="A186">
        <v>185</v>
      </c>
      <c r="B186">
        <v>145</v>
      </c>
      <c r="C186" t="s">
        <v>46</v>
      </c>
      <c r="D186" t="s">
        <v>17</v>
      </c>
      <c r="E186" t="s">
        <v>50</v>
      </c>
      <c r="F186" t="s">
        <v>19</v>
      </c>
      <c r="G186" t="s">
        <v>26</v>
      </c>
      <c r="H186" t="s">
        <v>65</v>
      </c>
      <c r="I186" t="s">
        <v>53</v>
      </c>
      <c r="J186" t="s">
        <v>148</v>
      </c>
      <c r="K186" t="s">
        <v>23</v>
      </c>
      <c r="L186">
        <v>1069</v>
      </c>
      <c r="M186" s="4">
        <v>35.367064399999997</v>
      </c>
      <c r="N186" s="4">
        <v>254.0395192305578</v>
      </c>
      <c r="O186" s="4">
        <v>7.5090450237218054E-2</v>
      </c>
      <c r="P186" s="1" t="str">
        <f>HYPERLINK(".\sm_car_250825_2318\sm_car_250825_2318_185_Ca145TrE_MaDLC_DrSt_ode23t_1.png","figure")</f>
        <v>figure</v>
      </c>
      <c r="Q186" t="s">
        <v>15</v>
      </c>
      <c r="U186">
        <f>L186-'2022a_250824_2329'!L186</f>
        <v>487</v>
      </c>
      <c r="V186" s="12">
        <f>U186/'2022a_250824_2329'!L186</f>
        <v>0.83676975945017185</v>
      </c>
      <c r="W186">
        <f>M186-'2022a_250824_2329'!M186</f>
        <v>8.9777771999999985</v>
      </c>
      <c r="X186" s="12">
        <f>W186/'2022a_250824_2329'!M186</f>
        <v>0.34020536939701801</v>
      </c>
    </row>
    <row r="187" spans="1:24" x14ac:dyDescent="0.25">
      <c r="A187">
        <v>186</v>
      </c>
      <c r="B187">
        <v>199</v>
      </c>
      <c r="C187" t="s">
        <v>46</v>
      </c>
      <c r="D187" t="s">
        <v>17</v>
      </c>
      <c r="E187" t="s">
        <v>109</v>
      </c>
      <c r="F187" t="s">
        <v>19</v>
      </c>
      <c r="G187" t="s">
        <v>26</v>
      </c>
      <c r="H187" t="s">
        <v>21</v>
      </c>
      <c r="I187" t="s">
        <v>53</v>
      </c>
      <c r="J187" t="s">
        <v>148</v>
      </c>
      <c r="K187" t="s">
        <v>23</v>
      </c>
      <c r="L187">
        <v>819</v>
      </c>
      <c r="M187" s="4">
        <v>8.4500621999999996</v>
      </c>
      <c r="N187" s="4">
        <v>254.46397957839656</v>
      </c>
      <c r="O187" s="4">
        <v>7.2926886956828696E-2</v>
      </c>
      <c r="P187" s="1" t="str">
        <f>HYPERLINK(".\sm_car_250825_2318\sm_car_250825_2318_186_Ca199TrN_MaDLC_DrSt_ode23t_1.png","figure")</f>
        <v>figure</v>
      </c>
      <c r="Q187" t="s">
        <v>15</v>
      </c>
      <c r="U187">
        <f>L187-'2022a_250824_2329'!L187</f>
        <v>359</v>
      </c>
      <c r="V187" s="12">
        <f>U187/'2022a_250824_2329'!L187</f>
        <v>0.7804347826086957</v>
      </c>
      <c r="W187">
        <f>M187-'2022a_250824_2329'!M187</f>
        <v>1.8803988</v>
      </c>
      <c r="X187" s="12">
        <f>W187/'2022a_250824_2329'!M187</f>
        <v>0.28622452711960861</v>
      </c>
    </row>
    <row r="188" spans="1:24" x14ac:dyDescent="0.25">
      <c r="A188">
        <v>187</v>
      </c>
      <c r="B188">
        <v>199</v>
      </c>
      <c r="C188" t="s">
        <v>46</v>
      </c>
      <c r="D188" t="s">
        <v>17</v>
      </c>
      <c r="E188" t="s">
        <v>109</v>
      </c>
      <c r="F188" t="s">
        <v>19</v>
      </c>
      <c r="G188" t="s">
        <v>26</v>
      </c>
      <c r="H188" t="s">
        <v>65</v>
      </c>
      <c r="I188" t="s">
        <v>53</v>
      </c>
      <c r="J188" t="s">
        <v>148</v>
      </c>
      <c r="K188" t="s">
        <v>23</v>
      </c>
      <c r="L188">
        <v>1083</v>
      </c>
      <c r="M188" s="4">
        <v>21.384419000000001</v>
      </c>
      <c r="N188" s="4">
        <v>254.28402467413395</v>
      </c>
      <c r="O188" s="4">
        <v>7.3930375713376684E-2</v>
      </c>
      <c r="P188" s="1" t="str">
        <f>HYPERLINK(".\sm_car_250825_2318\sm_car_250825_2318_187_Ca199TrE_MaDLC_DrSt_ode23t_1.png","figure")</f>
        <v>figure</v>
      </c>
      <c r="Q188" t="s">
        <v>15</v>
      </c>
      <c r="U188">
        <f>L188-'2022a_250824_2329'!L188</f>
        <v>505</v>
      </c>
      <c r="V188" s="12">
        <f>U188/'2022a_250824_2329'!L188</f>
        <v>0.87370242214532867</v>
      </c>
      <c r="W188">
        <f>M188-'2022a_250824_2329'!M188</f>
        <v>5.7951225000000015</v>
      </c>
      <c r="X188" s="12">
        <f>W188/'2022a_250824_2329'!M188</f>
        <v>0.37173726858040079</v>
      </c>
    </row>
    <row r="189" spans="1:24" x14ac:dyDescent="0.25">
      <c r="A189">
        <v>188</v>
      </c>
      <c r="B189">
        <v>199</v>
      </c>
      <c r="C189" t="s">
        <v>46</v>
      </c>
      <c r="D189" t="s">
        <v>17</v>
      </c>
      <c r="E189" t="s">
        <v>109</v>
      </c>
      <c r="F189" t="s">
        <v>19</v>
      </c>
      <c r="G189" t="s">
        <v>26</v>
      </c>
      <c r="H189" t="s">
        <v>66</v>
      </c>
      <c r="I189" t="s">
        <v>53</v>
      </c>
      <c r="J189" t="s">
        <v>148</v>
      </c>
      <c r="K189" t="s">
        <v>23</v>
      </c>
      <c r="L189">
        <v>2281</v>
      </c>
      <c r="M189" s="4">
        <v>76.507802299999994</v>
      </c>
      <c r="N189" s="4">
        <v>254.1195837613069</v>
      </c>
      <c r="O189" s="4">
        <v>7.46503153632605E-2</v>
      </c>
      <c r="P189" s="1" t="str">
        <f>HYPERLINK(".\sm_car_250825_2318\sm_car_250825_2318_188_Ca199TrT_MaDLC_DrSt_ode23t_1.png","figure")</f>
        <v>figure</v>
      </c>
      <c r="Q189" t="s">
        <v>15</v>
      </c>
      <c r="U189">
        <f>L189-'2022a_250824_2329'!L189</f>
        <v>-2657</v>
      </c>
      <c r="V189" s="12">
        <f>U189/'2022a_250824_2329'!L189</f>
        <v>-0.53807209396516809</v>
      </c>
      <c r="W189">
        <f>M189-'2022a_250824_2329'!M189</f>
        <v>-275.84159099999999</v>
      </c>
      <c r="X189" s="12">
        <f>W189/'2022a_250824_2329'!M189</f>
        <v>-0.78286381712353592</v>
      </c>
    </row>
    <row r="190" spans="1:24" x14ac:dyDescent="0.25">
      <c r="A190">
        <v>189</v>
      </c>
      <c r="B190">
        <v>199</v>
      </c>
      <c r="C190" t="s">
        <v>46</v>
      </c>
      <c r="D190" t="s">
        <v>17</v>
      </c>
      <c r="E190" t="s">
        <v>109</v>
      </c>
      <c r="F190" t="s">
        <v>19</v>
      </c>
      <c r="G190" t="s">
        <v>26</v>
      </c>
      <c r="H190" t="s">
        <v>65</v>
      </c>
      <c r="I190" t="s">
        <v>53</v>
      </c>
      <c r="J190" t="s">
        <v>148</v>
      </c>
      <c r="K190" t="s">
        <v>23</v>
      </c>
      <c r="L190">
        <v>1081</v>
      </c>
      <c r="M190" s="4">
        <v>15.6806781</v>
      </c>
      <c r="N190" s="4">
        <v>253.68027661871156</v>
      </c>
      <c r="O190" s="4">
        <v>7.6834438102866276E-2</v>
      </c>
      <c r="P190" s="1" t="str">
        <f>HYPERLINK(".\sm_car_250825_2318\sm_car_250825_2318_189_Ca199TrE_MaDLC_DrSt_ode23t_1.png","figure")</f>
        <v>figure</v>
      </c>
      <c r="Q190" t="s">
        <v>15</v>
      </c>
      <c r="U190">
        <f>L190-'2022a_250824_2329'!L190</f>
        <v>506</v>
      </c>
      <c r="V190" s="12">
        <f>U190/'2022a_250824_2329'!L190</f>
        <v>0.88</v>
      </c>
      <c r="W190">
        <f>M190-'2022a_250824_2329'!M190</f>
        <v>4.0643460999999999</v>
      </c>
      <c r="X190" s="12">
        <f>W190/'2022a_250824_2329'!M190</f>
        <v>0.34988205399088113</v>
      </c>
    </row>
    <row r="191" spans="1:24" x14ac:dyDescent="0.25">
      <c r="A191">
        <v>190</v>
      </c>
      <c r="B191">
        <v>189</v>
      </c>
      <c r="C191" t="s">
        <v>45</v>
      </c>
      <c r="D191" t="s">
        <v>17</v>
      </c>
      <c r="E191" t="s">
        <v>107</v>
      </c>
      <c r="F191" t="s">
        <v>19</v>
      </c>
      <c r="G191" t="s">
        <v>26</v>
      </c>
      <c r="H191" t="s">
        <v>65</v>
      </c>
      <c r="I191" t="s">
        <v>67</v>
      </c>
      <c r="J191" t="s">
        <v>148</v>
      </c>
      <c r="K191" t="s">
        <v>23</v>
      </c>
      <c r="L191">
        <v>984</v>
      </c>
      <c r="M191" s="4">
        <v>13.0243983</v>
      </c>
      <c r="N191" s="4">
        <v>264.55584102051284</v>
      </c>
      <c r="O191" s="4">
        <v>1.3220751311258105E-3</v>
      </c>
      <c r="P191" s="1" t="str">
        <f>HYPERLINK(".\sm_car_250825_2318\sm_car_250825_2318_190_Ca189TrE_MaTRD_DrSt_ode23t_1.png","figure")</f>
        <v>figure</v>
      </c>
      <c r="Q191" t="s">
        <v>15</v>
      </c>
      <c r="U191">
        <f>L191-'2022a_250824_2329'!L191</f>
        <v>582</v>
      </c>
      <c r="V191" s="12">
        <f>U191/'2022a_250824_2329'!L191</f>
        <v>1.4477611940298507</v>
      </c>
      <c r="W191">
        <f>M191-'2022a_250824_2329'!M191</f>
        <v>2.1744973999999999</v>
      </c>
      <c r="X191" s="12">
        <f>W191/'2022a_250824_2329'!M191</f>
        <v>0.20041633744322954</v>
      </c>
    </row>
    <row r="192" spans="1:24" x14ac:dyDescent="0.25">
      <c r="A192">
        <v>191</v>
      </c>
      <c r="B192">
        <v>189</v>
      </c>
      <c r="C192" t="s">
        <v>45</v>
      </c>
      <c r="D192" t="s">
        <v>17</v>
      </c>
      <c r="E192" t="s">
        <v>107</v>
      </c>
      <c r="F192" t="s">
        <v>19</v>
      </c>
      <c r="G192" t="s">
        <v>26</v>
      </c>
      <c r="H192" t="s">
        <v>65</v>
      </c>
      <c r="I192" t="s">
        <v>67</v>
      </c>
      <c r="J192" t="s">
        <v>148</v>
      </c>
      <c r="K192" t="s">
        <v>23</v>
      </c>
      <c r="L192">
        <v>1219</v>
      </c>
      <c r="M192" s="4">
        <v>18.501284299999998</v>
      </c>
      <c r="N192" s="4">
        <v>264.42766933413481</v>
      </c>
      <c r="O192" s="4">
        <v>-8.2471822247251581E-2</v>
      </c>
      <c r="P192" s="1" t="str">
        <f>HYPERLINK(".\sm_car_250825_2318\sm_car_250825_2318_191_Ca189TrU_MaTRD_DrSt_ode23t_1.png","figure")</f>
        <v>figure</v>
      </c>
      <c r="Q192" t="s">
        <v>15</v>
      </c>
      <c r="U192">
        <f>L192-'2022a_250824_2329'!L192</f>
        <v>651</v>
      </c>
      <c r="V192" s="12">
        <f>U192/'2022a_250824_2329'!L192</f>
        <v>1.1461267605633803</v>
      </c>
      <c r="W192">
        <f>M192-'2022a_250824_2329'!M192</f>
        <v>4.1447569999999985</v>
      </c>
      <c r="X192" s="12">
        <f>W192/'2022a_250824_2329'!M192</f>
        <v>0.28870192027566433</v>
      </c>
    </row>
    <row r="193" spans="1:24" x14ac:dyDescent="0.25">
      <c r="A193">
        <v>192</v>
      </c>
      <c r="B193">
        <v>149</v>
      </c>
      <c r="C193" t="s">
        <v>46</v>
      </c>
      <c r="D193" t="s">
        <v>17</v>
      </c>
      <c r="E193" t="s">
        <v>68</v>
      </c>
      <c r="F193" t="s">
        <v>19</v>
      </c>
      <c r="G193" t="s">
        <v>26</v>
      </c>
      <c r="H193" t="s">
        <v>21</v>
      </c>
      <c r="I193" t="s">
        <v>69</v>
      </c>
      <c r="J193" t="s">
        <v>148</v>
      </c>
      <c r="K193" t="s">
        <v>23</v>
      </c>
      <c r="L193">
        <v>1335</v>
      </c>
      <c r="M193" s="4">
        <v>11.6554837</v>
      </c>
      <c r="N193" s="4">
        <v>-5.6123583011720157E-3</v>
      </c>
      <c r="O193" s="4">
        <v>-1.4239314424108196E-3</v>
      </c>
      <c r="P193" s="1" t="str">
        <f>HYPERLINK(".\sm_car_250825_2318\sm_car_250825_2318_192_Ca149TrN_MaPST_DrSt_ode23t_1.png","figure")</f>
        <v>figure</v>
      </c>
      <c r="Q193" t="s">
        <v>15</v>
      </c>
      <c r="U193">
        <f>L193-'2022a_250824_2329'!L193</f>
        <v>661</v>
      </c>
      <c r="V193" s="12">
        <f>U193/'2022a_250824_2329'!L193</f>
        <v>0.98071216617210677</v>
      </c>
      <c r="W193">
        <f>M193-'2022a_250824_2329'!M193</f>
        <v>2.6279012999999996</v>
      </c>
      <c r="X193" s="12">
        <f>W193/'2022a_250824_2329'!M193</f>
        <v>0.29109690541290428</v>
      </c>
    </row>
    <row r="194" spans="1:24" x14ac:dyDescent="0.25">
      <c r="A194">
        <v>193</v>
      </c>
      <c r="B194">
        <v>139</v>
      </c>
      <c r="C194" t="s">
        <v>45</v>
      </c>
      <c r="D194" t="s">
        <v>17</v>
      </c>
      <c r="E194" t="s">
        <v>18</v>
      </c>
      <c r="F194" t="s">
        <v>19</v>
      </c>
      <c r="G194" t="s">
        <v>26</v>
      </c>
      <c r="H194" t="s">
        <v>21</v>
      </c>
      <c r="I194" t="s">
        <v>70</v>
      </c>
      <c r="J194" t="s">
        <v>148</v>
      </c>
      <c r="K194" t="s">
        <v>23</v>
      </c>
      <c r="L194">
        <v>3814</v>
      </c>
      <c r="M194" s="4">
        <v>63.558556400000001</v>
      </c>
      <c r="N194" s="4">
        <v>36.368232896846806</v>
      </c>
      <c r="O194" s="4">
        <v>0.2328511774749884</v>
      </c>
      <c r="P194" s="1" t="str">
        <f>HYPERLINK(".\sm_car_250825_2318\sm_car_250825_2318_193_Ca139TrN_MaSKD_DrSt_ode23t_1.png","figure")</f>
        <v>figure</v>
      </c>
      <c r="Q194" t="s">
        <v>15</v>
      </c>
      <c r="U194">
        <f>L194-'2022a_250824_2329'!L194</f>
        <v>2265</v>
      </c>
      <c r="V194" s="12">
        <f>U194/'2022a_250824_2329'!L194</f>
        <v>1.462233699160749</v>
      </c>
      <c r="W194">
        <f>M194-'2022a_250824_2329'!M194</f>
        <v>29.480800700000003</v>
      </c>
      <c r="X194" s="12">
        <f>W194/'2022a_250824_2329'!M194</f>
        <v>0.86510393934187413</v>
      </c>
    </row>
    <row r="195" spans="1:24" x14ac:dyDescent="0.25">
      <c r="A195">
        <v>194</v>
      </c>
      <c r="B195">
        <v>139</v>
      </c>
      <c r="C195" t="s">
        <v>45</v>
      </c>
      <c r="D195" t="s">
        <v>17</v>
      </c>
      <c r="E195" t="s">
        <v>18</v>
      </c>
      <c r="F195" t="s">
        <v>19</v>
      </c>
      <c r="G195" t="s">
        <v>26</v>
      </c>
      <c r="H195" t="s">
        <v>21</v>
      </c>
      <c r="I195" t="s">
        <v>71</v>
      </c>
      <c r="J195" t="s">
        <v>148</v>
      </c>
      <c r="K195" t="s">
        <v>23</v>
      </c>
      <c r="L195">
        <v>1536</v>
      </c>
      <c r="M195" s="4">
        <v>30.235628599999998</v>
      </c>
      <c r="N195" s="4">
        <v>6.1167942032547273E-3</v>
      </c>
      <c r="O195" s="4">
        <v>20.572787171700845</v>
      </c>
      <c r="P195" s="1" t="str">
        <f>HYPERLINK(".\sm_car_250825_2318\sm_car_250825_2318_194_Ca139TrN_MaRAD_DrSt_ode23t_1.png","figure")</f>
        <v>figure</v>
      </c>
      <c r="Q195" t="s">
        <v>15</v>
      </c>
      <c r="U195">
        <f>L195-'2022a_250824_2329'!L195</f>
        <v>712</v>
      </c>
      <c r="V195" s="12">
        <f>U195/'2022a_250824_2329'!L195</f>
        <v>0.86407766990291257</v>
      </c>
      <c r="W195">
        <f>M195-'2022a_250824_2329'!M195</f>
        <v>10.2594876</v>
      </c>
      <c r="X195" s="12">
        <f>W195/'2022a_250824_2329'!M195</f>
        <v>0.51358706368762619</v>
      </c>
    </row>
    <row r="196" spans="1:24" x14ac:dyDescent="0.25">
      <c r="A196">
        <v>195</v>
      </c>
      <c r="B196">
        <v>184</v>
      </c>
      <c r="C196" t="s">
        <v>105</v>
      </c>
      <c r="D196" t="s">
        <v>120</v>
      </c>
      <c r="E196" t="s">
        <v>49</v>
      </c>
      <c r="F196" t="s">
        <v>19</v>
      </c>
      <c r="G196" t="s">
        <v>20</v>
      </c>
      <c r="H196" t="s">
        <v>21</v>
      </c>
      <c r="I196" t="s">
        <v>70</v>
      </c>
      <c r="J196" t="s">
        <v>148</v>
      </c>
      <c r="K196" t="s">
        <v>23</v>
      </c>
      <c r="L196">
        <v>2569</v>
      </c>
      <c r="M196" s="4">
        <v>85.557953999999995</v>
      </c>
      <c r="N196" s="4">
        <v>36.345375531041192</v>
      </c>
      <c r="O196" s="4">
        <v>0.16264957683051867</v>
      </c>
      <c r="P196" s="1" t="str">
        <f>HYPERLINK(".\sm_car_250825_2318\sm_car_250825_2318_195_Ca184TrN_MaSKD_DrSt_ode23t_1.png","figure")</f>
        <v>figure</v>
      </c>
      <c r="Q196" t="s">
        <v>15</v>
      </c>
      <c r="U196">
        <f>L196-'2022a_250824_2329'!L196</f>
        <v>1252</v>
      </c>
      <c r="V196" s="12">
        <f>U196/'2022a_250824_2329'!L196</f>
        <v>0.95064540622627181</v>
      </c>
      <c r="W196">
        <f>M196-'2022a_250824_2329'!M196</f>
        <v>37.617510599999996</v>
      </c>
      <c r="X196" s="12">
        <f>W196/'2022a_250824_2329'!M196</f>
        <v>0.78467172875585034</v>
      </c>
    </row>
    <row r="197" spans="1:24" x14ac:dyDescent="0.25">
      <c r="A197">
        <v>196</v>
      </c>
      <c r="B197">
        <v>184</v>
      </c>
      <c r="C197" t="s">
        <v>105</v>
      </c>
      <c r="D197" t="s">
        <v>120</v>
      </c>
      <c r="E197" t="s">
        <v>49</v>
      </c>
      <c r="F197" t="s">
        <v>19</v>
      </c>
      <c r="G197" t="s">
        <v>20</v>
      </c>
      <c r="H197" t="s">
        <v>21</v>
      </c>
      <c r="I197" t="s">
        <v>71</v>
      </c>
      <c r="J197" t="s">
        <v>148</v>
      </c>
      <c r="K197" t="s">
        <v>23</v>
      </c>
      <c r="L197">
        <v>1225</v>
      </c>
      <c r="M197" s="4">
        <v>40.610517600000001</v>
      </c>
      <c r="N197" s="4">
        <v>7.4748370007294014</v>
      </c>
      <c r="O197" s="4">
        <v>10.42064243343772</v>
      </c>
      <c r="P197" s="1" t="str">
        <f>HYPERLINK(".\sm_car_250825_2318\sm_car_250825_2318_196_Ca184TrN_MaRAD_DrSt_ode23t_1.png","figure")</f>
        <v>figure</v>
      </c>
      <c r="Q197" t="s">
        <v>15</v>
      </c>
      <c r="U197">
        <f>L197-'2022a_250824_2329'!L197</f>
        <v>588</v>
      </c>
      <c r="V197" s="12">
        <f>U197/'2022a_250824_2329'!L197</f>
        <v>0.92307692307692313</v>
      </c>
      <c r="W197">
        <f>M197-'2022a_250824_2329'!M197</f>
        <v>17.9029895</v>
      </c>
      <c r="X197" s="12">
        <f>W197/'2022a_250824_2329'!M197</f>
        <v>0.78841648554428079</v>
      </c>
    </row>
    <row r="198" spans="1:24" x14ac:dyDescent="0.25">
      <c r="A198">
        <v>197</v>
      </c>
      <c r="B198">
        <v>228</v>
      </c>
      <c r="C198" t="s">
        <v>160</v>
      </c>
      <c r="D198" t="s">
        <v>35</v>
      </c>
      <c r="E198" t="s">
        <v>107</v>
      </c>
      <c r="F198" t="s">
        <v>19</v>
      </c>
      <c r="G198" t="s">
        <v>26</v>
      </c>
      <c r="H198" t="s">
        <v>21</v>
      </c>
      <c r="I198" t="s">
        <v>70</v>
      </c>
      <c r="J198" t="s">
        <v>148</v>
      </c>
      <c r="K198" t="s">
        <v>23</v>
      </c>
      <c r="L198">
        <v>1868</v>
      </c>
      <c r="M198" s="4">
        <v>6.8990138999999999</v>
      </c>
      <c r="N198" s="4">
        <v>36.325939593054734</v>
      </c>
      <c r="O198" s="4">
        <v>0.58567989144505805</v>
      </c>
      <c r="P198" s="1" t="str">
        <f>HYPERLINK(".\sm_car_250825_2318\sm_car_250825_2318_197_Ca228TrN_MaSKD_DrSt_ode23t_1.png","figure")</f>
        <v>figure</v>
      </c>
      <c r="Q198" t="s">
        <v>15</v>
      </c>
      <c r="U198">
        <f>L198-'2022a_250824_2329'!L198</f>
        <v>192</v>
      </c>
      <c r="V198" s="12">
        <f>U198/'2022a_250824_2329'!L198</f>
        <v>0.11455847255369929</v>
      </c>
      <c r="W198">
        <f>M198-'2022a_250824_2329'!M198</f>
        <v>-8.7290199999999984E-2</v>
      </c>
      <c r="X198" s="12">
        <f>W198/'2022a_250824_2329'!M198</f>
        <v>-1.2494474725198405E-2</v>
      </c>
    </row>
    <row r="199" spans="1:24" x14ac:dyDescent="0.25">
      <c r="A199">
        <v>198</v>
      </c>
      <c r="B199">
        <v>228</v>
      </c>
      <c r="C199" t="s">
        <v>160</v>
      </c>
      <c r="D199" t="s">
        <v>35</v>
      </c>
      <c r="E199" t="s">
        <v>107</v>
      </c>
      <c r="F199" t="s">
        <v>19</v>
      </c>
      <c r="G199" t="s">
        <v>26</v>
      </c>
      <c r="H199" t="s">
        <v>21</v>
      </c>
      <c r="I199" t="s">
        <v>71</v>
      </c>
      <c r="J199" t="s">
        <v>148</v>
      </c>
      <c r="K199" t="s">
        <v>23</v>
      </c>
      <c r="L199">
        <v>908</v>
      </c>
      <c r="M199" s="4">
        <v>3.6385632000000001</v>
      </c>
      <c r="N199" s="4">
        <v>6.9867729028258481</v>
      </c>
      <c r="O199" s="4">
        <v>19.409861606045968</v>
      </c>
      <c r="P199" s="1" t="str">
        <f>HYPERLINK(".\sm_car_250825_2318\sm_car_250825_2318_198_Ca228TrN_MaRAD_DrSt_ode23t_1.png","figure")</f>
        <v>figure</v>
      </c>
      <c r="Q199" t="s">
        <v>15</v>
      </c>
      <c r="U199">
        <f>L199-'2022a_250824_2329'!L199</f>
        <v>160</v>
      </c>
      <c r="V199" s="12">
        <f>U199/'2022a_250824_2329'!L199</f>
        <v>0.21390374331550802</v>
      </c>
      <c r="W199">
        <f>M199-'2022a_250824_2329'!M199</f>
        <v>0.39434879999999994</v>
      </c>
      <c r="X199" s="12">
        <f>W199/'2022a_250824_2329'!M199</f>
        <v>0.12155448172599194</v>
      </c>
    </row>
    <row r="200" spans="1:24" x14ac:dyDescent="0.25">
      <c r="A200">
        <v>199</v>
      </c>
      <c r="B200">
        <v>230</v>
      </c>
      <c r="C200" t="s">
        <v>160</v>
      </c>
      <c r="D200" t="s">
        <v>161</v>
      </c>
      <c r="E200" t="s">
        <v>162</v>
      </c>
      <c r="F200" t="s">
        <v>19</v>
      </c>
      <c r="G200" t="s">
        <v>26</v>
      </c>
      <c r="H200" t="s">
        <v>21</v>
      </c>
      <c r="I200" t="s">
        <v>70</v>
      </c>
      <c r="J200" t="s">
        <v>148</v>
      </c>
      <c r="K200" t="s">
        <v>23</v>
      </c>
      <c r="L200">
        <v>3902</v>
      </c>
      <c r="M200" s="4">
        <v>44.058615199999998</v>
      </c>
      <c r="N200" s="4">
        <v>36.419367771848954</v>
      </c>
      <c r="O200" s="4">
        <v>0.18849053855153414</v>
      </c>
      <c r="P200" s="1" t="str">
        <f>HYPERLINK(".\sm_car_250825_2318\sm_car_250825_2318_199_Ca230TrN_MaSKD_DrSt_ode23t_1.png","figure")</f>
        <v>figure</v>
      </c>
      <c r="Q200" t="s">
        <v>15</v>
      </c>
      <c r="U200">
        <f>L200-'2022a_250824_2329'!L200</f>
        <v>2527</v>
      </c>
      <c r="V200" s="12">
        <f>U200/'2022a_250824_2329'!L200</f>
        <v>1.8378181818181818</v>
      </c>
      <c r="W200">
        <f>M200-'2022a_250824_2329'!M200</f>
        <v>18.663683599999999</v>
      </c>
      <c r="X200" s="12">
        <f>W200/'2022a_250824_2329'!M200</f>
        <v>0.73493734474165695</v>
      </c>
    </row>
    <row r="201" spans="1:24" x14ac:dyDescent="0.25">
      <c r="A201">
        <v>200</v>
      </c>
      <c r="B201">
        <v>230</v>
      </c>
      <c r="C201" t="s">
        <v>160</v>
      </c>
      <c r="D201" t="s">
        <v>161</v>
      </c>
      <c r="E201" t="s">
        <v>162</v>
      </c>
      <c r="F201" t="s">
        <v>19</v>
      </c>
      <c r="G201" t="s">
        <v>26</v>
      </c>
      <c r="H201" t="s">
        <v>21</v>
      </c>
      <c r="I201" t="s">
        <v>71</v>
      </c>
      <c r="J201" t="s">
        <v>148</v>
      </c>
      <c r="K201" t="s">
        <v>23</v>
      </c>
      <c r="L201">
        <v>1543</v>
      </c>
      <c r="M201" s="4">
        <v>20.157329799999999</v>
      </c>
      <c r="N201" s="4">
        <v>5.4416163927578616</v>
      </c>
      <c r="O201" s="4">
        <v>14.296782196680322</v>
      </c>
      <c r="P201" s="1" t="str">
        <f>HYPERLINK(".\sm_car_250825_2318\sm_car_250825_2318_200_Ca230TrN_MaRAD_DrSt_ode23t_1.png","figure")</f>
        <v>figure</v>
      </c>
      <c r="Q201" t="s">
        <v>15</v>
      </c>
      <c r="U201">
        <f>L201-'2022a_250824_2329'!L201</f>
        <v>842</v>
      </c>
      <c r="V201" s="12">
        <f>U201/'2022a_250824_2329'!L201</f>
        <v>1.2011412268188302</v>
      </c>
      <c r="W201">
        <f>M201-'2022a_250824_2329'!M201</f>
        <v>7.4873070999999989</v>
      </c>
      <c r="X201" s="12">
        <f>W201/'2022a_250824_2329'!M201</f>
        <v>0.59094662079808258</v>
      </c>
    </row>
    <row r="202" spans="1:24" x14ac:dyDescent="0.25">
      <c r="A202">
        <v>201</v>
      </c>
      <c r="B202">
        <v>231</v>
      </c>
      <c r="C202" t="s">
        <v>160</v>
      </c>
      <c r="D202" t="s">
        <v>172</v>
      </c>
      <c r="E202" t="s">
        <v>162</v>
      </c>
      <c r="F202" t="s">
        <v>19</v>
      </c>
      <c r="G202" t="s">
        <v>26</v>
      </c>
      <c r="H202" t="s">
        <v>21</v>
      </c>
      <c r="I202" t="s">
        <v>70</v>
      </c>
      <c r="J202" t="s">
        <v>148</v>
      </c>
      <c r="K202" t="s">
        <v>23</v>
      </c>
      <c r="L202">
        <v>4375</v>
      </c>
      <c r="M202" s="4">
        <v>49.007022999999997</v>
      </c>
      <c r="N202" s="4">
        <v>36.386753124055112</v>
      </c>
      <c r="O202" s="4">
        <v>-0.10411750756884643</v>
      </c>
      <c r="P202" s="1" t="str">
        <f>HYPERLINK(".\sm_car_250825_2318\sm_car_250825_2318_201_Ca231TrN_MaSKD_DrSt_ode23t_1.png","figure")</f>
        <v>figure</v>
      </c>
      <c r="Q202" t="s">
        <v>15</v>
      </c>
      <c r="U202">
        <f>L202-'2022a_250824_2329'!L202</f>
        <v>2708</v>
      </c>
      <c r="V202" s="12">
        <f>U202/'2022a_250824_2329'!L202</f>
        <v>1.6244751049790043</v>
      </c>
      <c r="W202">
        <f>M202-'2022a_250824_2329'!M202</f>
        <v>32.621133099999994</v>
      </c>
      <c r="X202" s="12">
        <f>W202/'2022a_250824_2329'!M202</f>
        <v>1.9908063156215883</v>
      </c>
    </row>
    <row r="203" spans="1:24" x14ac:dyDescent="0.25">
      <c r="A203">
        <v>202</v>
      </c>
      <c r="B203">
        <v>231</v>
      </c>
      <c r="C203" t="s">
        <v>160</v>
      </c>
      <c r="D203" t="s">
        <v>172</v>
      </c>
      <c r="E203" t="s">
        <v>162</v>
      </c>
      <c r="F203" t="s">
        <v>19</v>
      </c>
      <c r="G203" t="s">
        <v>26</v>
      </c>
      <c r="H203" t="s">
        <v>21</v>
      </c>
      <c r="I203" t="s">
        <v>71</v>
      </c>
      <c r="J203" t="s">
        <v>148</v>
      </c>
      <c r="K203" t="s">
        <v>23</v>
      </c>
      <c r="L203">
        <v>1942</v>
      </c>
      <c r="M203" s="4">
        <v>31.383896400000001</v>
      </c>
      <c r="N203" s="4">
        <v>6.5739188547057488</v>
      </c>
      <c r="O203" s="4">
        <v>3.6755604641202035</v>
      </c>
      <c r="P203" s="1" t="str">
        <f>HYPERLINK(".\sm_car_250825_2318\sm_car_250825_2318_202_Ca231TrN_MaRAD_DrSt_ode23t_1.png","figure")</f>
        <v>figure</v>
      </c>
      <c r="Q203" t="s">
        <v>15</v>
      </c>
      <c r="U203">
        <f>L203-'2022a_250824_2329'!L203</f>
        <v>1144</v>
      </c>
      <c r="V203" s="12">
        <f>U203/'2022a_250824_2329'!L203</f>
        <v>1.4335839598997493</v>
      </c>
      <c r="W203">
        <f>M203-'2022a_250824_2329'!M203</f>
        <v>21.809667000000001</v>
      </c>
      <c r="X203" s="12">
        <f>W203/'2022a_250824_2329'!M203</f>
        <v>2.2779553412413538</v>
      </c>
    </row>
    <row r="204" spans="1:24" x14ac:dyDescent="0.25">
      <c r="A204">
        <v>203</v>
      </c>
      <c r="B204">
        <v>198</v>
      </c>
      <c r="C204" t="s">
        <v>105</v>
      </c>
      <c r="D204" t="s">
        <v>120</v>
      </c>
      <c r="E204" t="s">
        <v>107</v>
      </c>
      <c r="F204" t="s">
        <v>19</v>
      </c>
      <c r="G204" t="s">
        <v>20</v>
      </c>
      <c r="H204" t="s">
        <v>21</v>
      </c>
      <c r="I204" t="s">
        <v>70</v>
      </c>
      <c r="J204" t="s">
        <v>148</v>
      </c>
      <c r="K204" t="s">
        <v>23</v>
      </c>
      <c r="L204">
        <v>2673</v>
      </c>
      <c r="M204" s="4">
        <v>58.953826599999999</v>
      </c>
      <c r="N204" s="4">
        <v>36.430105329493045</v>
      </c>
      <c r="O204" s="4">
        <v>0.15972962852277139</v>
      </c>
      <c r="P204" s="1" t="str">
        <f>HYPERLINK(".\sm_car_250825_2318\sm_car_250825_2318_203_Ca198TrN_MaSKD_DrSt_ode23t_1.png","figure")</f>
        <v>figure</v>
      </c>
      <c r="Q204" t="s">
        <v>15</v>
      </c>
      <c r="U204">
        <f>L204-'2022a_250824_2329'!L204</f>
        <v>1272</v>
      </c>
      <c r="V204" s="12">
        <f>U204/'2022a_250824_2329'!L204</f>
        <v>0.90792291220556742</v>
      </c>
      <c r="W204">
        <f>M204-'2022a_250824_2329'!M204</f>
        <v>29.175502299999998</v>
      </c>
      <c r="X204" s="12">
        <f>W204/'2022a_250824_2329'!M204</f>
        <v>0.9797563491509157</v>
      </c>
    </row>
    <row r="205" spans="1:24" x14ac:dyDescent="0.25">
      <c r="A205">
        <v>204</v>
      </c>
      <c r="B205">
        <v>198</v>
      </c>
      <c r="C205" t="s">
        <v>105</v>
      </c>
      <c r="D205" t="s">
        <v>120</v>
      </c>
      <c r="E205" t="s">
        <v>107</v>
      </c>
      <c r="F205" t="s">
        <v>19</v>
      </c>
      <c r="G205" t="s">
        <v>20</v>
      </c>
      <c r="H205" t="s">
        <v>21</v>
      </c>
      <c r="I205" t="s">
        <v>71</v>
      </c>
      <c r="J205" t="s">
        <v>148</v>
      </c>
      <c r="K205" t="s">
        <v>23</v>
      </c>
      <c r="L205">
        <v>1477</v>
      </c>
      <c r="M205" s="4">
        <v>27.100039500000001</v>
      </c>
      <c r="N205" s="4">
        <v>7.5201477207676071</v>
      </c>
      <c r="O205" s="4">
        <v>10.327292812519566</v>
      </c>
      <c r="P205" s="1" t="str">
        <f>HYPERLINK(".\sm_car_250825_2318\sm_car_250825_2318_204_Ca198TrN_MaRAD_DrSt_ode23t_1.png","figure")</f>
        <v>figure</v>
      </c>
      <c r="Q205" t="s">
        <v>15</v>
      </c>
      <c r="U205">
        <f>L205-'2022a_250824_2329'!L205</f>
        <v>792</v>
      </c>
      <c r="V205" s="12">
        <f>U205/'2022a_250824_2329'!L205</f>
        <v>1.1562043795620438</v>
      </c>
      <c r="W205">
        <f>M205-'2022a_250824_2329'!M205</f>
        <v>12.826769000000001</v>
      </c>
      <c r="X205" s="12">
        <f>W205/'2022a_250824_2329'!M205</f>
        <v>0.8986566183272432</v>
      </c>
    </row>
    <row r="206" spans="1:24" x14ac:dyDescent="0.25">
      <c r="A206">
        <v>205</v>
      </c>
      <c r="B206">
        <v>189</v>
      </c>
      <c r="C206" t="s">
        <v>45</v>
      </c>
      <c r="D206" t="s">
        <v>17</v>
      </c>
      <c r="E206" t="s">
        <v>107</v>
      </c>
      <c r="F206" t="s">
        <v>19</v>
      </c>
      <c r="G206" t="s">
        <v>26</v>
      </c>
      <c r="H206" t="s">
        <v>21</v>
      </c>
      <c r="I206" t="s">
        <v>132</v>
      </c>
      <c r="J206" t="s">
        <v>148</v>
      </c>
      <c r="K206" t="s">
        <v>23</v>
      </c>
      <c r="L206">
        <v>1081</v>
      </c>
      <c r="M206" s="4">
        <v>11.8446909</v>
      </c>
      <c r="N206" s="4">
        <v>137.46810688586405</v>
      </c>
      <c r="O206" s="4">
        <v>-13.078465524059657</v>
      </c>
      <c r="P206" s="1" t="str">
        <f>HYPERLINK(".\sm_car_250825_2318\sm_car_250825_2318_205_Ca189TrN_MaFSH_DrSt_ode23t_1.png","figure")</f>
        <v>figure</v>
      </c>
      <c r="Q206" t="s">
        <v>15</v>
      </c>
      <c r="U206">
        <f>L206-'2022a_250824_2329'!L206</f>
        <v>508</v>
      </c>
      <c r="V206" s="12">
        <f>U206/'2022a_250824_2329'!L206</f>
        <v>0.88656195462478182</v>
      </c>
      <c r="W206">
        <f>M206-'2022a_250824_2329'!M206</f>
        <v>2.7604097999999997</v>
      </c>
      <c r="X206" s="12">
        <f>W206/'2022a_250824_2329'!M206</f>
        <v>0.30386662077200577</v>
      </c>
    </row>
    <row r="207" spans="1:24" x14ac:dyDescent="0.25">
      <c r="A207">
        <v>206</v>
      </c>
      <c r="B207">
        <v>189</v>
      </c>
      <c r="C207" t="s">
        <v>45</v>
      </c>
      <c r="D207" t="s">
        <v>17</v>
      </c>
      <c r="E207" t="s">
        <v>107</v>
      </c>
      <c r="F207" t="s">
        <v>19</v>
      </c>
      <c r="G207" t="s">
        <v>26</v>
      </c>
      <c r="H207" t="s">
        <v>21</v>
      </c>
      <c r="I207" t="s">
        <v>133</v>
      </c>
      <c r="J207" t="s">
        <v>148</v>
      </c>
      <c r="K207" t="s">
        <v>23</v>
      </c>
      <c r="L207">
        <v>838</v>
      </c>
      <c r="M207" s="4">
        <v>9.2915466999999996</v>
      </c>
      <c r="N207" s="4">
        <v>129.49626439890008</v>
      </c>
      <c r="O207" s="4">
        <v>-8.8094234399743225</v>
      </c>
      <c r="P207" s="1" t="str">
        <f>HYPERLINK(".\sm_car_250825_2318\sm_car_250825_2318_206_Ca189TrN_MaSWD_DrSt_ode23t_1.png","figure")</f>
        <v>figure</v>
      </c>
      <c r="Q207" t="s">
        <v>15</v>
      </c>
      <c r="U207">
        <f>L207-'2022a_250824_2329'!L207</f>
        <v>402</v>
      </c>
      <c r="V207" s="12">
        <f>U207/'2022a_250824_2329'!L207</f>
        <v>0.92201834862385323</v>
      </c>
      <c r="W207">
        <f>M207-'2022a_250824_2329'!M207</f>
        <v>2.4696175</v>
      </c>
      <c r="X207" s="12">
        <f>W207/'2022a_250824_2329'!M207</f>
        <v>0.3620115992995061</v>
      </c>
    </row>
    <row r="208" spans="1:24" x14ac:dyDescent="0.25">
      <c r="A208">
        <v>207</v>
      </c>
      <c r="B208">
        <v>189</v>
      </c>
      <c r="C208" t="s">
        <v>45</v>
      </c>
      <c r="D208" t="s">
        <v>17</v>
      </c>
      <c r="E208" t="s">
        <v>107</v>
      </c>
      <c r="F208" t="s">
        <v>19</v>
      </c>
      <c r="G208" t="s">
        <v>26</v>
      </c>
      <c r="H208" t="s">
        <v>21</v>
      </c>
      <c r="I208" t="s">
        <v>134</v>
      </c>
      <c r="J208" t="s">
        <v>148</v>
      </c>
      <c r="K208" t="s">
        <v>23</v>
      </c>
      <c r="L208">
        <v>871</v>
      </c>
      <c r="M208" s="4">
        <v>9.8402443999999996</v>
      </c>
      <c r="N208" s="4">
        <v>113.3611620258185</v>
      </c>
      <c r="O208" s="4">
        <v>17.952288675451996</v>
      </c>
      <c r="P208" s="1" t="str">
        <f>HYPERLINK(".\sm_car_250825_2318\sm_car_250825_2318_207_Ca189TrN_MaRST_DrSt_ode23t_1.png","figure")</f>
        <v>figure</v>
      </c>
      <c r="Q208" t="s">
        <v>15</v>
      </c>
      <c r="U208">
        <f>L208-'2022a_250824_2329'!L208</f>
        <v>426</v>
      </c>
      <c r="V208" s="12">
        <f>U208/'2022a_250824_2329'!L208</f>
        <v>0.95730337078651684</v>
      </c>
      <c r="W208">
        <f>M208-'2022a_250824_2329'!M208</f>
        <v>1.7261270999999994</v>
      </c>
      <c r="X208" s="12">
        <f>W208/'2022a_250824_2329'!M208</f>
        <v>0.21273134663705187</v>
      </c>
    </row>
    <row r="209" spans="1:24" x14ac:dyDescent="0.25">
      <c r="A209">
        <v>208</v>
      </c>
      <c r="B209">
        <v>189</v>
      </c>
      <c r="C209" t="s">
        <v>45</v>
      </c>
      <c r="D209" t="s">
        <v>17</v>
      </c>
      <c r="E209" t="s">
        <v>107</v>
      </c>
      <c r="F209" t="s">
        <v>19</v>
      </c>
      <c r="G209" t="s">
        <v>26</v>
      </c>
      <c r="H209" t="s">
        <v>21</v>
      </c>
      <c r="I209" t="s">
        <v>135</v>
      </c>
      <c r="J209" t="s">
        <v>148</v>
      </c>
      <c r="K209" t="s">
        <v>23</v>
      </c>
      <c r="L209">
        <v>1010</v>
      </c>
      <c r="M209" s="4">
        <v>16.898774199999998</v>
      </c>
      <c r="N209" s="4">
        <v>224.03274276664325</v>
      </c>
      <c r="O209" s="4">
        <v>0.10775904831804384</v>
      </c>
      <c r="P209" s="1" t="str">
        <f>HYPERLINK(".\sm_car_250825_2318\sm_car_250825_2318_208_Ca189TrN_MaSLA_DrSt_ode23t_1.png","figure")</f>
        <v>figure</v>
      </c>
      <c r="Q209" t="s">
        <v>15</v>
      </c>
      <c r="U209">
        <f>L209-'2022a_250824_2329'!L209</f>
        <v>414</v>
      </c>
      <c r="V209" s="12">
        <f>U209/'2022a_250824_2329'!L209</f>
        <v>0.69463087248322153</v>
      </c>
      <c r="W209">
        <f>M209-'2022a_250824_2329'!M209</f>
        <v>-1.1254632000000022</v>
      </c>
      <c r="X209" s="12">
        <f>W209/'2022a_250824_2329'!M209</f>
        <v>-6.244165425828236E-2</v>
      </c>
    </row>
    <row r="210" spans="1:24" x14ac:dyDescent="0.25">
      <c r="A210">
        <v>209</v>
      </c>
      <c r="B210">
        <v>218</v>
      </c>
      <c r="C210" t="s">
        <v>16</v>
      </c>
      <c r="D210" t="s">
        <v>128</v>
      </c>
      <c r="E210" t="s">
        <v>107</v>
      </c>
      <c r="F210" t="s">
        <v>19</v>
      </c>
      <c r="G210" t="s">
        <v>26</v>
      </c>
      <c r="H210" t="s">
        <v>21</v>
      </c>
      <c r="I210" t="s">
        <v>132</v>
      </c>
      <c r="J210" t="s">
        <v>148</v>
      </c>
      <c r="K210" t="s">
        <v>23</v>
      </c>
      <c r="L210">
        <v>1471</v>
      </c>
      <c r="M210" s="4">
        <v>12.7260691</v>
      </c>
      <c r="N210" s="4">
        <v>102.02264726134284</v>
      </c>
      <c r="O210" s="4">
        <v>-21.924403133428086</v>
      </c>
      <c r="P210" s="1" t="str">
        <f>HYPERLINK(".\sm_car_250825_2318\sm_car_250825_2318_209_Ca218TrN_MaFSH_DrSt_ode23t_1.png","figure")</f>
        <v>figure</v>
      </c>
      <c r="Q210" t="s">
        <v>15</v>
      </c>
      <c r="U210">
        <f>L210-'2022a_250824_2329'!L210</f>
        <v>899</v>
      </c>
      <c r="V210" s="12">
        <f>U210/'2022a_250824_2329'!L210</f>
        <v>1.5716783216783217</v>
      </c>
      <c r="W210">
        <f>M210-'2022a_250824_2329'!M210</f>
        <v>4.9034103</v>
      </c>
      <c r="X210" s="12">
        <f>W210/'2022a_250824_2329'!M210</f>
        <v>0.62682144592577649</v>
      </c>
    </row>
    <row r="211" spans="1:24" x14ac:dyDescent="0.25">
      <c r="A211">
        <v>210</v>
      </c>
      <c r="B211">
        <v>218</v>
      </c>
      <c r="C211" t="s">
        <v>16</v>
      </c>
      <c r="D211" t="s">
        <v>128</v>
      </c>
      <c r="E211" t="s">
        <v>107</v>
      </c>
      <c r="F211" t="s">
        <v>19</v>
      </c>
      <c r="G211" t="s">
        <v>26</v>
      </c>
      <c r="H211" t="s">
        <v>21</v>
      </c>
      <c r="I211" t="s">
        <v>133</v>
      </c>
      <c r="J211" t="s">
        <v>148</v>
      </c>
      <c r="K211" t="s">
        <v>23</v>
      </c>
      <c r="L211">
        <v>1083</v>
      </c>
      <c r="M211" s="4">
        <v>9.9780294999999999</v>
      </c>
      <c r="N211" s="4">
        <v>136.84095084710825</v>
      </c>
      <c r="O211" s="4">
        <v>-8.9088376083901384</v>
      </c>
      <c r="P211" s="1" t="str">
        <f>HYPERLINK(".\sm_car_250825_2318\sm_car_250825_2318_210_Ca218TrN_MaSWD_DrSt_ode23t_1.png","figure")</f>
        <v>figure</v>
      </c>
      <c r="Q211" t="s">
        <v>15</v>
      </c>
      <c r="U211">
        <f>L211-'2022a_250824_2329'!L211</f>
        <v>631</v>
      </c>
      <c r="V211" s="12">
        <f>U211/'2022a_250824_2329'!L211</f>
        <v>1.3960176991150441</v>
      </c>
      <c r="W211">
        <f>M211-'2022a_250824_2329'!M211</f>
        <v>3.9690772999999995</v>
      </c>
      <c r="X211" s="12">
        <f>W211/'2022a_250824_2329'!M211</f>
        <v>0.66052735450283651</v>
      </c>
    </row>
    <row r="212" spans="1:24" x14ac:dyDescent="0.25">
      <c r="A212">
        <v>211</v>
      </c>
      <c r="B212">
        <v>218</v>
      </c>
      <c r="C212" t="s">
        <v>16</v>
      </c>
      <c r="D212" t="s">
        <v>128</v>
      </c>
      <c r="E212" t="s">
        <v>107</v>
      </c>
      <c r="F212" t="s">
        <v>19</v>
      </c>
      <c r="G212" t="s">
        <v>26</v>
      </c>
      <c r="H212" t="s">
        <v>21</v>
      </c>
      <c r="I212" t="s">
        <v>134</v>
      </c>
      <c r="J212" t="s">
        <v>148</v>
      </c>
      <c r="K212" t="s">
        <v>23</v>
      </c>
      <c r="L212">
        <v>1023</v>
      </c>
      <c r="M212" s="4">
        <v>8.9555662999999992</v>
      </c>
      <c r="N212" s="4">
        <v>102.51449216724292</v>
      </c>
      <c r="O212" s="4">
        <v>29.405206947283276</v>
      </c>
      <c r="P212" s="1" t="str">
        <f>HYPERLINK(".\sm_car_250825_2318\sm_car_250825_2318_211_Ca218TrN_MaRST_DrSt_ode23t_1.png","figure")</f>
        <v>figure</v>
      </c>
      <c r="Q212" t="s">
        <v>15</v>
      </c>
      <c r="U212">
        <f>L212-'2022a_250824_2329'!L212</f>
        <v>640</v>
      </c>
      <c r="V212" s="12">
        <f>U212/'2022a_250824_2329'!L212</f>
        <v>1.671018276762402</v>
      </c>
      <c r="W212">
        <f>M212-'2022a_250824_2329'!M212</f>
        <v>3.6990371999999994</v>
      </c>
      <c r="X212" s="12">
        <f>W212/'2022a_250824_2329'!M212</f>
        <v>0.70370336197701244</v>
      </c>
    </row>
    <row r="213" spans="1:24" x14ac:dyDescent="0.25">
      <c r="A213">
        <v>212</v>
      </c>
      <c r="B213">
        <v>218</v>
      </c>
      <c r="C213" t="s">
        <v>16</v>
      </c>
      <c r="D213" t="s">
        <v>128</v>
      </c>
      <c r="E213" t="s">
        <v>107</v>
      </c>
      <c r="F213" t="s">
        <v>19</v>
      </c>
      <c r="G213" t="s">
        <v>26</v>
      </c>
      <c r="H213" t="s">
        <v>21</v>
      </c>
      <c r="I213" t="s">
        <v>135</v>
      </c>
      <c r="J213" t="s">
        <v>148</v>
      </c>
      <c r="K213" t="s">
        <v>23</v>
      </c>
      <c r="L213">
        <v>1586</v>
      </c>
      <c r="M213" s="4">
        <v>24.1762777</v>
      </c>
      <c r="N213" s="4">
        <v>222.41758146985666</v>
      </c>
      <c r="O213" s="4">
        <v>0.10632796069819291</v>
      </c>
      <c r="P213" s="1" t="str">
        <f>HYPERLINK(".\sm_car_250825_2318\sm_car_250825_2318_212_Ca218TrN_MaSLA_DrSt_ode23t_1.png","figure")</f>
        <v>figure</v>
      </c>
      <c r="Q213" t="s">
        <v>15</v>
      </c>
      <c r="U213">
        <f>L213-'2022a_250824_2329'!L213</f>
        <v>909</v>
      </c>
      <c r="V213" s="12">
        <f>U213/'2022a_250824_2329'!L213</f>
        <v>1.3426883308714919</v>
      </c>
      <c r="W213">
        <f>M213-'2022a_250824_2329'!M213</f>
        <v>7.687150299999999</v>
      </c>
      <c r="X213" s="12">
        <f>W213/'2022a_250824_2329'!M213</f>
        <v>0.46619509410789067</v>
      </c>
    </row>
    <row r="214" spans="1:24" x14ac:dyDescent="0.25">
      <c r="A214">
        <v>213</v>
      </c>
      <c r="B214">
        <v>156</v>
      </c>
      <c r="C214" t="s">
        <v>45</v>
      </c>
      <c r="D214" t="s">
        <v>17</v>
      </c>
      <c r="E214" t="s">
        <v>18</v>
      </c>
      <c r="F214" t="s">
        <v>19</v>
      </c>
      <c r="G214" t="s">
        <v>38</v>
      </c>
      <c r="H214" t="s">
        <v>21</v>
      </c>
      <c r="I214" t="s">
        <v>54</v>
      </c>
      <c r="J214" t="s">
        <v>148</v>
      </c>
      <c r="K214" t="s">
        <v>23</v>
      </c>
      <c r="L214">
        <v>48349</v>
      </c>
      <c r="M214" s="4">
        <v>483.52143289999998</v>
      </c>
      <c r="N214" s="4">
        <v>19.155487992967636</v>
      </c>
      <c r="O214" s="4">
        <v>2.6370102551575156</v>
      </c>
      <c r="P214" s="1" t="str">
        <f>HYPERLINK(".\sm_car_250825_2318\sm_car_250825_2318_213_Ca156TrN_MaIPA_DrSt_ode23t.png","figure")</f>
        <v>figure</v>
      </c>
      <c r="Q214" t="s">
        <v>15</v>
      </c>
      <c r="U214">
        <f>L214-'2022a_250824_2329'!L214</f>
        <v>22444</v>
      </c>
      <c r="V214" s="12">
        <f>U214/'2022a_250824_2329'!L214</f>
        <v>0.86639644856205367</v>
      </c>
      <c r="W214">
        <f>M214-'2022a_250824_2329'!M214</f>
        <v>145.45161400000001</v>
      </c>
      <c r="X214" s="12">
        <f>W214/'2022a_250824_2329'!M214</f>
        <v>0.43024134622033255</v>
      </c>
    </row>
    <row r="215" spans="1:24" x14ac:dyDescent="0.25">
      <c r="A215">
        <v>214</v>
      </c>
      <c r="B215">
        <v>130</v>
      </c>
      <c r="C215" t="s">
        <v>16</v>
      </c>
      <c r="D215" t="s">
        <v>17</v>
      </c>
      <c r="E215" t="s">
        <v>18</v>
      </c>
      <c r="F215" t="s">
        <v>19</v>
      </c>
      <c r="G215" t="s">
        <v>38</v>
      </c>
      <c r="H215" t="s">
        <v>21</v>
      </c>
      <c r="I215" t="s">
        <v>54</v>
      </c>
      <c r="J215" t="s">
        <v>148</v>
      </c>
      <c r="K215" t="s">
        <v>23</v>
      </c>
      <c r="L215">
        <v>31984</v>
      </c>
      <c r="M215" s="4">
        <v>351.74158419999998</v>
      </c>
      <c r="N215" s="4">
        <v>16.214296281032652</v>
      </c>
      <c r="O215" s="4">
        <v>0.54332476501678417</v>
      </c>
      <c r="P215" s="1" t="str">
        <f>HYPERLINK(".\sm_car_250825_2318\sm_car_250825_2318_214_Ca130TrN_MaIPA_DrSt_ode23t.png","figure")</f>
        <v>figure</v>
      </c>
      <c r="Q215" t="s">
        <v>15</v>
      </c>
      <c r="U215">
        <f>L215-'2022a_250824_2329'!L215</f>
        <v>13795</v>
      </c>
      <c r="V215" s="12">
        <f>U215/'2022a_250824_2329'!L215</f>
        <v>0.75842542195832641</v>
      </c>
      <c r="W215">
        <f>M215-'2022a_250824_2329'!M215</f>
        <v>99.361391199999986</v>
      </c>
      <c r="X215" s="12">
        <f>W215/'2022a_250824_2329'!M215</f>
        <v>0.39369726292268897</v>
      </c>
    </row>
    <row r="216" spans="1:24" x14ac:dyDescent="0.25">
      <c r="A216">
        <v>215</v>
      </c>
      <c r="B216">
        <v>171</v>
      </c>
      <c r="C216" t="s">
        <v>45</v>
      </c>
      <c r="D216" t="s">
        <v>17</v>
      </c>
      <c r="E216" t="s">
        <v>72</v>
      </c>
      <c r="F216" t="s">
        <v>19</v>
      </c>
      <c r="G216" t="s">
        <v>26</v>
      </c>
      <c r="H216" t="s">
        <v>21</v>
      </c>
      <c r="I216" t="s">
        <v>73</v>
      </c>
      <c r="J216" t="s">
        <v>148</v>
      </c>
      <c r="K216" t="s">
        <v>23</v>
      </c>
      <c r="L216">
        <v>4988</v>
      </c>
      <c r="M216" s="4">
        <v>44.557398800000001</v>
      </c>
      <c r="N216" s="4">
        <v>334.77495808825449</v>
      </c>
      <c r="O216" s="4">
        <v>0.66440365936301071</v>
      </c>
      <c r="P216" s="1" t="str">
        <f>HYPERLINK(".\sm_car_250825_2318\sm_car_250825_2318_215_Ca171TrN_MaRDP_DrSt_ode23t_1.png","figure")</f>
        <v>figure</v>
      </c>
      <c r="Q216" t="s">
        <v>15</v>
      </c>
      <c r="U216">
        <f>L216-'2022a_250824_2329'!L216</f>
        <v>3548</v>
      </c>
      <c r="V216" s="12">
        <f>U216/'2022a_250824_2329'!L216</f>
        <v>2.463888888888889</v>
      </c>
      <c r="W216">
        <f>M216-'2022a_250824_2329'!M216</f>
        <v>24.093064400000003</v>
      </c>
      <c r="X216" s="12">
        <f>W216/'2022a_250824_2329'!M216</f>
        <v>1.1773197177622354</v>
      </c>
    </row>
    <row r="217" spans="1:24" x14ac:dyDescent="0.25">
      <c r="A217">
        <v>216</v>
      </c>
      <c r="B217">
        <v>172</v>
      </c>
      <c r="C217" t="s">
        <v>46</v>
      </c>
      <c r="D217" t="s">
        <v>17</v>
      </c>
      <c r="E217" t="s">
        <v>72</v>
      </c>
      <c r="F217" t="s">
        <v>19</v>
      </c>
      <c r="G217" t="s">
        <v>26</v>
      </c>
      <c r="H217" t="s">
        <v>21</v>
      </c>
      <c r="I217" t="s">
        <v>73</v>
      </c>
      <c r="J217" t="s">
        <v>148</v>
      </c>
      <c r="K217" t="s">
        <v>23</v>
      </c>
      <c r="L217">
        <v>4992</v>
      </c>
      <c r="M217" s="4">
        <v>37.177803099999998</v>
      </c>
      <c r="N217" s="4">
        <v>136.14289933601032</v>
      </c>
      <c r="O217" s="4">
        <v>3.6327080448012243E-2</v>
      </c>
      <c r="P217" s="1" t="str">
        <f>HYPERLINK(".\sm_car_250825_2318\sm_car_250825_2318_216_Ca172TrN_MaRDP_DrSt_ode23t_1.png","figure")</f>
        <v>figure</v>
      </c>
      <c r="Q217" t="s">
        <v>15</v>
      </c>
      <c r="U217">
        <f>L217-'2022a_250824_2329'!L217</f>
        <v>3751</v>
      </c>
      <c r="V217" s="12">
        <f>U217/'2022a_250824_2329'!L217</f>
        <v>3.0225624496373893</v>
      </c>
      <c r="W217">
        <f>M217-'2022a_250824_2329'!M217</f>
        <v>26.156380999999996</v>
      </c>
      <c r="X217" s="12">
        <f>W217/'2022a_250824_2329'!M217</f>
        <v>2.3732310370364997</v>
      </c>
    </row>
    <row r="218" spans="1:24" x14ac:dyDescent="0.25">
      <c r="A218">
        <v>217</v>
      </c>
      <c r="B218">
        <v>139</v>
      </c>
      <c r="C218" t="s">
        <v>45</v>
      </c>
      <c r="D218" t="s">
        <v>17</v>
      </c>
      <c r="E218" t="s">
        <v>18</v>
      </c>
      <c r="F218" t="s">
        <v>19</v>
      </c>
      <c r="G218" t="s">
        <v>26</v>
      </c>
      <c r="H218" t="s">
        <v>21</v>
      </c>
      <c r="I218" t="s">
        <v>74</v>
      </c>
      <c r="J218" t="s">
        <v>148</v>
      </c>
      <c r="K218" t="s">
        <v>23</v>
      </c>
      <c r="L218">
        <v>4532</v>
      </c>
      <c r="M218" s="4">
        <v>32.005586600000001</v>
      </c>
      <c r="N218" s="4">
        <v>361.23284723159878</v>
      </c>
      <c r="O218" s="4">
        <v>0.73946242931180506</v>
      </c>
      <c r="P218" s="1" t="str">
        <f>HYPERLINK(".\sm_car_250825_2318\sm_car_250825_2318_217_Ca139TrN_MaZPL_DrSt_ode23t_1.png","figure")</f>
        <v>figure</v>
      </c>
      <c r="Q218" t="s">
        <v>15</v>
      </c>
      <c r="U218">
        <f>L218-'2022a_250824_2329'!L218</f>
        <v>2976</v>
      </c>
      <c r="V218" s="12">
        <f>U218/'2022a_250824_2329'!L218</f>
        <v>1.9125964010282777</v>
      </c>
      <c r="W218">
        <f>M218-'2022a_250824_2329'!M218</f>
        <v>14.677081400000002</v>
      </c>
      <c r="X218" s="12">
        <f>W218/'2022a_250824_2329'!M218</f>
        <v>0.84699062213398557</v>
      </c>
    </row>
    <row r="219" spans="1:24" x14ac:dyDescent="0.25">
      <c r="A219">
        <v>218</v>
      </c>
      <c r="B219">
        <v>165</v>
      </c>
      <c r="C219" t="s">
        <v>45</v>
      </c>
      <c r="D219" t="s">
        <v>35</v>
      </c>
      <c r="E219" t="s">
        <v>49</v>
      </c>
      <c r="F219" t="s">
        <v>19</v>
      </c>
      <c r="G219" t="s">
        <v>26</v>
      </c>
      <c r="H219" t="s">
        <v>21</v>
      </c>
      <c r="I219" t="s">
        <v>74</v>
      </c>
      <c r="J219" t="s">
        <v>148</v>
      </c>
      <c r="K219" t="s">
        <v>23</v>
      </c>
      <c r="L219">
        <v>2089</v>
      </c>
      <c r="M219" s="4">
        <v>10.3434726</v>
      </c>
      <c r="N219" s="4">
        <v>397.45444682923721</v>
      </c>
      <c r="O219" s="4">
        <v>0.33987310015126931</v>
      </c>
      <c r="P219" s="1" t="str">
        <f>HYPERLINK(".\sm_car_250825_2318\sm_car_250825_2318_218_Ca165TrN_MaZPL_DrSt_ode23t_1.png","figure")</f>
        <v>figure</v>
      </c>
      <c r="Q219" t="s">
        <v>15</v>
      </c>
      <c r="U219">
        <f>L219-'2022a_250824_2329'!L219</f>
        <v>119</v>
      </c>
      <c r="V219" s="12">
        <f>U219/'2022a_250824_2329'!L219</f>
        <v>6.0406091370558378E-2</v>
      </c>
      <c r="W219">
        <f>M219-'2022a_250824_2329'!M219</f>
        <v>0.19839540000000078</v>
      </c>
      <c r="X219" s="12">
        <f>W219/'2022a_250824_2329'!M219</f>
        <v>1.9555829501228517E-2</v>
      </c>
    </row>
    <row r="220" spans="1:24" x14ac:dyDescent="0.25">
      <c r="A220">
        <v>219</v>
      </c>
      <c r="B220">
        <v>171</v>
      </c>
      <c r="C220" t="s">
        <v>45</v>
      </c>
      <c r="D220" t="s">
        <v>17</v>
      </c>
      <c r="E220" t="s">
        <v>72</v>
      </c>
      <c r="F220" t="s">
        <v>19</v>
      </c>
      <c r="G220" t="s">
        <v>26</v>
      </c>
      <c r="H220" t="s">
        <v>21</v>
      </c>
      <c r="I220" t="s">
        <v>74</v>
      </c>
      <c r="J220" t="s">
        <v>148</v>
      </c>
      <c r="K220" t="s">
        <v>23</v>
      </c>
      <c r="L220">
        <v>4502</v>
      </c>
      <c r="M220" s="4">
        <v>40.833212899999999</v>
      </c>
      <c r="N220" s="4">
        <v>361.15037056661174</v>
      </c>
      <c r="O220" s="4">
        <v>0.73842912058343768</v>
      </c>
      <c r="P220" s="1" t="str">
        <f>HYPERLINK(".\sm_car_250825_2318\sm_car_250825_2318_219_Ca171TrN_MaZPL_DrSt_ode23t_1.png","figure")</f>
        <v>figure</v>
      </c>
      <c r="Q220" t="s">
        <v>15</v>
      </c>
      <c r="U220">
        <f>L220-'2022a_250824_2329'!L220</f>
        <v>2933</v>
      </c>
      <c r="V220" s="12">
        <f>U220/'2022a_250824_2329'!L220</f>
        <v>1.8693435309114086</v>
      </c>
      <c r="W220">
        <f>M220-'2022a_250824_2329'!M220</f>
        <v>17.0892628</v>
      </c>
      <c r="X220" s="12">
        <f>W220/'2022a_250824_2329'!M220</f>
        <v>0.71973124640284691</v>
      </c>
    </row>
    <row r="221" spans="1:24" x14ac:dyDescent="0.25">
      <c r="A221">
        <v>220</v>
      </c>
      <c r="B221">
        <v>165</v>
      </c>
      <c r="C221" t="s">
        <v>45</v>
      </c>
      <c r="D221" t="s">
        <v>35</v>
      </c>
      <c r="E221" t="s">
        <v>49</v>
      </c>
      <c r="F221" t="s">
        <v>19</v>
      </c>
      <c r="G221" t="s">
        <v>26</v>
      </c>
      <c r="H221" t="s">
        <v>21</v>
      </c>
      <c r="I221" t="s">
        <v>75</v>
      </c>
      <c r="J221" t="s">
        <v>148</v>
      </c>
      <c r="K221" t="s">
        <v>23</v>
      </c>
      <c r="L221">
        <v>630</v>
      </c>
      <c r="M221" s="4">
        <v>4.7987693</v>
      </c>
      <c r="N221" s="4">
        <v>378.08259412399758</v>
      </c>
      <c r="O221" s="4">
        <v>0.32703093622698759</v>
      </c>
      <c r="P221" s="1" t="str">
        <f>HYPERLINK(".\sm_car_250825_2318\sm_car_250825_2318_220_Ca165TrN_MaCPL_DrSt_ode23t_1.png","figure")</f>
        <v>figure</v>
      </c>
      <c r="Q221" t="s">
        <v>15</v>
      </c>
      <c r="U221">
        <f>L221-'2022a_250824_2329'!L221</f>
        <v>145</v>
      </c>
      <c r="V221" s="12">
        <f>U221/'2022a_250824_2329'!L221</f>
        <v>0.29896907216494845</v>
      </c>
      <c r="W221">
        <f>M221-'2022a_250824_2329'!M221</f>
        <v>0.57642080000000018</v>
      </c>
      <c r="X221" s="12">
        <f>W221/'2022a_250824_2329'!M221</f>
        <v>0.1365166328643882</v>
      </c>
    </row>
    <row r="222" spans="1:24" x14ac:dyDescent="0.25">
      <c r="A222">
        <v>221</v>
      </c>
      <c r="B222">
        <v>170</v>
      </c>
      <c r="C222" t="s">
        <v>45</v>
      </c>
      <c r="D222" t="s">
        <v>35</v>
      </c>
      <c r="E222" t="s">
        <v>49</v>
      </c>
      <c r="F222" t="s">
        <v>19</v>
      </c>
      <c r="G222" t="s">
        <v>20</v>
      </c>
      <c r="H222" t="s">
        <v>21</v>
      </c>
      <c r="I222" t="s">
        <v>75</v>
      </c>
      <c r="J222" t="s">
        <v>148</v>
      </c>
      <c r="K222" t="s">
        <v>23</v>
      </c>
      <c r="L222">
        <v>617</v>
      </c>
      <c r="M222" s="4">
        <v>3.6127842999999999</v>
      </c>
      <c r="N222" s="4">
        <v>381.295043306607</v>
      </c>
      <c r="O222" s="4">
        <v>0.33396223113354118</v>
      </c>
      <c r="P222" s="1" t="str">
        <f>HYPERLINK(".\sm_car_250825_2318\sm_car_250825_2318_221_Ca170TrN_MaCPL_DrSt_ode23t_1.png","figure")</f>
        <v>figure</v>
      </c>
      <c r="Q222" t="s">
        <v>15</v>
      </c>
      <c r="U222">
        <f>L222-'2022a_250824_2329'!L222</f>
        <v>147</v>
      </c>
      <c r="V222" s="12">
        <f>U222/'2022a_250824_2329'!L222</f>
        <v>0.31276595744680852</v>
      </c>
      <c r="W222">
        <f>M222-'2022a_250824_2329'!M222</f>
        <v>-5.6090000000001972E-3</v>
      </c>
      <c r="X222" s="12">
        <f>W222/'2022a_250824_2329'!M222</f>
        <v>-1.5501355256213295E-3</v>
      </c>
    </row>
    <row r="223" spans="1:24" x14ac:dyDescent="0.25">
      <c r="A223">
        <v>222</v>
      </c>
      <c r="B223">
        <v>171</v>
      </c>
      <c r="C223" t="s">
        <v>45</v>
      </c>
      <c r="D223" t="s">
        <v>17</v>
      </c>
      <c r="E223" t="s">
        <v>72</v>
      </c>
      <c r="F223" t="s">
        <v>19</v>
      </c>
      <c r="G223" t="s">
        <v>26</v>
      </c>
      <c r="H223" t="s">
        <v>21</v>
      </c>
      <c r="I223" t="s">
        <v>76</v>
      </c>
      <c r="J223" t="s">
        <v>148</v>
      </c>
      <c r="K223" t="s">
        <v>23</v>
      </c>
      <c r="L223">
        <v>5168</v>
      </c>
      <c r="M223" s="4">
        <v>60.428453300000001</v>
      </c>
      <c r="N223" s="4">
        <v>165.07642181421139</v>
      </c>
      <c r="O223" s="4">
        <v>1.0997955086637012E-3</v>
      </c>
      <c r="P223" s="1" t="str">
        <f>HYPERLINK(".\sm_car_250825_2318\sm_car_250825_2318_222_Ca171TrN_MaRDR_DrSt_ode23t_1.png","figure")</f>
        <v>figure</v>
      </c>
      <c r="Q223" t="s">
        <v>15</v>
      </c>
      <c r="U223">
        <f>L223-'2022a_250824_2329'!L223</f>
        <v>2343</v>
      </c>
      <c r="V223" s="12">
        <f>U223/'2022a_250824_2329'!L223</f>
        <v>0.82938053097345132</v>
      </c>
      <c r="W223">
        <f>M223-'2022a_250824_2329'!M223</f>
        <v>17.311776100000003</v>
      </c>
      <c r="X223" s="12">
        <f>W223/'2022a_250824_2329'!M223</f>
        <v>0.40150997767518143</v>
      </c>
    </row>
    <row r="224" spans="1:24" x14ac:dyDescent="0.25">
      <c r="A224">
        <v>223</v>
      </c>
      <c r="B224">
        <v>172</v>
      </c>
      <c r="C224" t="s">
        <v>46</v>
      </c>
      <c r="D224" t="s">
        <v>17</v>
      </c>
      <c r="E224" t="s">
        <v>72</v>
      </c>
      <c r="F224" t="s">
        <v>19</v>
      </c>
      <c r="G224" t="s">
        <v>26</v>
      </c>
      <c r="H224" t="s">
        <v>21</v>
      </c>
      <c r="I224" t="s">
        <v>76</v>
      </c>
      <c r="J224" t="s">
        <v>148</v>
      </c>
      <c r="K224" t="s">
        <v>23</v>
      </c>
      <c r="L224">
        <v>7900</v>
      </c>
      <c r="M224" s="4">
        <v>63.878051800000001</v>
      </c>
      <c r="N224" s="4">
        <v>162.25737333966663</v>
      </c>
      <c r="O224" s="4">
        <v>3.6976295569500749E-4</v>
      </c>
      <c r="P224" s="1" t="str">
        <f>HYPERLINK(".\sm_car_250825_2318\sm_car_250825_2318_223_Ca172TrN_MaRDR_DrSt_ode23t_1.png","figure")</f>
        <v>figure</v>
      </c>
      <c r="Q224" t="s">
        <v>15</v>
      </c>
      <c r="U224">
        <f>L224-'2022a_250824_2329'!L224</f>
        <v>4628</v>
      </c>
      <c r="V224" s="12">
        <f>U224/'2022a_250824_2329'!L224</f>
        <v>1.4144254278728607</v>
      </c>
      <c r="W224">
        <f>M224-'2022a_250824_2329'!M224</f>
        <v>37.338879200000001</v>
      </c>
      <c r="X224" s="12">
        <f>W224/'2022a_250824_2329'!M224</f>
        <v>1.4069345628356176</v>
      </c>
    </row>
    <row r="225" spans="1:24" x14ac:dyDescent="0.25">
      <c r="A225">
        <v>224</v>
      </c>
      <c r="B225">
        <v>139</v>
      </c>
      <c r="C225" t="s">
        <v>45</v>
      </c>
      <c r="D225" t="s">
        <v>17</v>
      </c>
      <c r="E225" t="s">
        <v>18</v>
      </c>
      <c r="F225" t="s">
        <v>19</v>
      </c>
      <c r="G225" t="s">
        <v>26</v>
      </c>
      <c r="H225" t="s">
        <v>21</v>
      </c>
      <c r="I225" t="s">
        <v>77</v>
      </c>
      <c r="J225" t="s">
        <v>148</v>
      </c>
      <c r="K225" t="s">
        <v>23</v>
      </c>
      <c r="L225">
        <v>5463</v>
      </c>
      <c r="M225" s="4">
        <v>42.497849299999999</v>
      </c>
      <c r="N225" s="4">
        <v>189.27019575241383</v>
      </c>
      <c r="O225" s="4">
        <v>7.1155892614858517E-4</v>
      </c>
      <c r="P225" s="1" t="str">
        <f>HYPERLINK(".\sm_car_250825_2318\sm_car_250825_2318_224_Ca139TrN_MaZRR_DrSt_ode23t_1.png","figure")</f>
        <v>figure</v>
      </c>
      <c r="Q225" t="s">
        <v>15</v>
      </c>
      <c r="U225">
        <f>L225-'2022a_250824_2329'!L225</f>
        <v>2480</v>
      </c>
      <c r="V225" s="12">
        <f>U225/'2022a_250824_2329'!L225</f>
        <v>0.83137780757626556</v>
      </c>
      <c r="W225">
        <f>M225-'2022a_250824_2329'!M225</f>
        <v>12.4262926</v>
      </c>
      <c r="X225" s="12">
        <f>W225/'2022a_250824_2329'!M225</f>
        <v>0.41322412151679533</v>
      </c>
    </row>
    <row r="226" spans="1:24" x14ac:dyDescent="0.25">
      <c r="A226">
        <v>225</v>
      </c>
      <c r="B226">
        <v>165</v>
      </c>
      <c r="C226" t="s">
        <v>45</v>
      </c>
      <c r="D226" t="s">
        <v>35</v>
      </c>
      <c r="E226" t="s">
        <v>49</v>
      </c>
      <c r="F226" t="s">
        <v>19</v>
      </c>
      <c r="G226" t="s">
        <v>26</v>
      </c>
      <c r="H226" t="s">
        <v>21</v>
      </c>
      <c r="I226" t="s">
        <v>77</v>
      </c>
      <c r="J226" t="s">
        <v>148</v>
      </c>
      <c r="K226" t="s">
        <v>23</v>
      </c>
      <c r="L226">
        <v>3498</v>
      </c>
      <c r="M226" s="4">
        <v>20.874841499999999</v>
      </c>
      <c r="N226" s="4">
        <v>189.41133213600361</v>
      </c>
      <c r="O226" s="4">
        <v>5.3878343520607157E-5</v>
      </c>
      <c r="P226" s="1" t="str">
        <f>HYPERLINK(".\sm_car_250825_2318\sm_car_250825_2318_225_Ca165TrN_MaZRR_DrSt_ode23t_1.png","figure")</f>
        <v>figure</v>
      </c>
      <c r="Q226" t="s">
        <v>15</v>
      </c>
      <c r="U226">
        <f>L226-'2022a_250824_2329'!L226</f>
        <v>213</v>
      </c>
      <c r="V226" s="12">
        <f>U226/'2022a_250824_2329'!L226</f>
        <v>6.4840182648401828E-2</v>
      </c>
      <c r="W226">
        <f>M226-'2022a_250824_2329'!M226</f>
        <v>1.1345641999999998</v>
      </c>
      <c r="X226" s="12">
        <f>W226/'2022a_250824_2329'!M226</f>
        <v>5.7474582689879428E-2</v>
      </c>
    </row>
    <row r="227" spans="1:24" x14ac:dyDescent="0.25">
      <c r="A227">
        <v>226</v>
      </c>
      <c r="B227">
        <v>171</v>
      </c>
      <c r="C227" t="s">
        <v>45</v>
      </c>
      <c r="D227" t="s">
        <v>17</v>
      </c>
      <c r="E227" t="s">
        <v>72</v>
      </c>
      <c r="F227" t="s">
        <v>19</v>
      </c>
      <c r="G227" t="s">
        <v>26</v>
      </c>
      <c r="H227" t="s">
        <v>21</v>
      </c>
      <c r="I227" t="s">
        <v>77</v>
      </c>
      <c r="J227" t="s">
        <v>148</v>
      </c>
      <c r="K227" t="s">
        <v>23</v>
      </c>
      <c r="L227">
        <v>5497</v>
      </c>
      <c r="M227" s="4">
        <v>60.3806102</v>
      </c>
      <c r="N227" s="4">
        <v>189.26914566933951</v>
      </c>
      <c r="O227" s="4">
        <v>7.1470091528357481E-4</v>
      </c>
      <c r="P227" s="1" t="str">
        <f>HYPERLINK(".\sm_car_250825_2318\sm_car_250825_2318_226_Ca171TrN_MaZRR_DrSt_ode23t_1.png","figure")</f>
        <v>figure</v>
      </c>
      <c r="Q227" t="s">
        <v>15</v>
      </c>
      <c r="U227">
        <f>L227-'2022a_250824_2329'!L227</f>
        <v>2471</v>
      </c>
      <c r="V227" s="12">
        <f>U227/'2022a_250824_2329'!L227</f>
        <v>0.81658955717118309</v>
      </c>
      <c r="W227">
        <f>M227-'2022a_250824_2329'!M227</f>
        <v>14.332913499999997</v>
      </c>
      <c r="X227" s="12">
        <f>W227/'2022a_250824_2329'!M227</f>
        <v>0.31126233291056216</v>
      </c>
    </row>
    <row r="228" spans="1:24" x14ac:dyDescent="0.25">
      <c r="A228">
        <v>227</v>
      </c>
      <c r="B228">
        <v>170</v>
      </c>
      <c r="C228" t="s">
        <v>45</v>
      </c>
      <c r="D228" t="s">
        <v>35</v>
      </c>
      <c r="E228" t="s">
        <v>49</v>
      </c>
      <c r="F228" t="s">
        <v>19</v>
      </c>
      <c r="G228" t="s">
        <v>20</v>
      </c>
      <c r="H228" t="s">
        <v>21</v>
      </c>
      <c r="I228" t="s">
        <v>78</v>
      </c>
      <c r="J228" t="s">
        <v>148</v>
      </c>
      <c r="K228" t="s">
        <v>23</v>
      </c>
      <c r="L228">
        <v>6699</v>
      </c>
      <c r="M228" s="4">
        <v>24.2401436</v>
      </c>
      <c r="N228" s="4">
        <v>-5.9966835238038909</v>
      </c>
      <c r="O228" s="4">
        <v>-6.1967276904182546E-3</v>
      </c>
      <c r="P228" s="1" t="str">
        <f>HYPERLINK(".\sm_car_250825_2318\sm_car_250825_2318_227_Ca170TrN_MaCMP_DrSt_ode23t_1.png","figure")</f>
        <v>figure</v>
      </c>
      <c r="Q228" t="s">
        <v>15</v>
      </c>
      <c r="U228">
        <f>L228-'2022a_250824_2329'!L228</f>
        <v>537</v>
      </c>
      <c r="V228" s="12">
        <f>U228/'2022a_250824_2329'!L228</f>
        <v>8.7147030185004873E-2</v>
      </c>
      <c r="W228">
        <f>M228-'2022a_250824_2329'!M228</f>
        <v>3.9577163000000013</v>
      </c>
      <c r="X228" s="12">
        <f>W228/'2022a_250824_2329'!M228</f>
        <v>0.19513030868844783</v>
      </c>
    </row>
    <row r="229" spans="1:24" x14ac:dyDescent="0.25">
      <c r="A229">
        <v>228</v>
      </c>
      <c r="B229">
        <v>170</v>
      </c>
      <c r="C229" t="s">
        <v>45</v>
      </c>
      <c r="D229" t="s">
        <v>35</v>
      </c>
      <c r="E229" t="s">
        <v>49</v>
      </c>
      <c r="F229" t="s">
        <v>19</v>
      </c>
      <c r="G229" t="s">
        <v>20</v>
      </c>
      <c r="H229" t="s">
        <v>21</v>
      </c>
      <c r="I229" t="s">
        <v>79</v>
      </c>
      <c r="J229" t="s">
        <v>148</v>
      </c>
      <c r="K229" t="s">
        <v>23</v>
      </c>
      <c r="L229">
        <v>1925</v>
      </c>
      <c r="M229" s="4">
        <v>12.037441899999999</v>
      </c>
      <c r="N229" s="4">
        <v>-5.9977027395042963</v>
      </c>
      <c r="O229" s="4">
        <v>-6.1358698450662249E-3</v>
      </c>
      <c r="P229" s="1" t="str">
        <f>HYPERLINK(".\sm_car_250825_2318\sm_car_250825_2318_228_Ca170TrN_MaCMF_DrSt_ode23t_1.png","figure")</f>
        <v>figure</v>
      </c>
      <c r="Q229" t="s">
        <v>15</v>
      </c>
      <c r="U229">
        <f>L229-'2022a_250824_2329'!L229</f>
        <v>297</v>
      </c>
      <c r="V229" s="12">
        <f>U229/'2022a_250824_2329'!L229</f>
        <v>0.18243243243243243</v>
      </c>
      <c r="W229">
        <f>M229-'2022a_250824_2329'!M229</f>
        <v>1.3729911999999995</v>
      </c>
      <c r="X229" s="12">
        <f>W229/'2022a_250824_2329'!M229</f>
        <v>0.12874467130313608</v>
      </c>
    </row>
    <row r="230" spans="1:24" x14ac:dyDescent="0.25">
      <c r="A230">
        <v>229</v>
      </c>
      <c r="B230">
        <v>170</v>
      </c>
      <c r="C230" t="s">
        <v>45</v>
      </c>
      <c r="D230" t="s">
        <v>35</v>
      </c>
      <c r="E230" t="s">
        <v>49</v>
      </c>
      <c r="F230" t="s">
        <v>19</v>
      </c>
      <c r="G230" t="s">
        <v>20</v>
      </c>
      <c r="H230" t="s">
        <v>21</v>
      </c>
      <c r="I230" t="s">
        <v>80</v>
      </c>
      <c r="J230" t="s">
        <v>148</v>
      </c>
      <c r="K230" t="s">
        <v>23</v>
      </c>
      <c r="L230">
        <v>8595</v>
      </c>
      <c r="M230" s="4">
        <v>53.504021999999999</v>
      </c>
      <c r="N230" s="4">
        <v>-217.31492428614303</v>
      </c>
      <c r="O230" s="4">
        <v>5.8310867257424084</v>
      </c>
      <c r="P230" s="1" t="str">
        <f>HYPERLINK(".\sm_car_250825_2318\sm_car_250825_2318_229_Ca170TrN_MaMPO_DrSt_ode23t_1.png","figure")</f>
        <v>figure</v>
      </c>
      <c r="Q230" t="s">
        <v>15</v>
      </c>
      <c r="U230">
        <f>L230-'2022a_250824_2329'!L230</f>
        <v>3191</v>
      </c>
      <c r="V230" s="12">
        <f>U230/'2022a_250824_2329'!L230</f>
        <v>0.59048852701702448</v>
      </c>
      <c r="W230">
        <f>M230-'2022a_250824_2329'!M230</f>
        <v>12.8927999</v>
      </c>
      <c r="X230" s="12">
        <f>W230/'2022a_250824_2329'!M230</f>
        <v>0.31746889734697248</v>
      </c>
    </row>
    <row r="231" spans="1:24" x14ac:dyDescent="0.25">
      <c r="A231">
        <v>230</v>
      </c>
      <c r="B231">
        <v>170</v>
      </c>
      <c r="C231" t="s">
        <v>45</v>
      </c>
      <c r="D231" t="s">
        <v>35</v>
      </c>
      <c r="E231" t="s">
        <v>49</v>
      </c>
      <c r="F231" t="s">
        <v>19</v>
      </c>
      <c r="G231" t="s">
        <v>20</v>
      </c>
      <c r="H231" t="s">
        <v>21</v>
      </c>
      <c r="I231" t="s">
        <v>81</v>
      </c>
      <c r="J231" t="s">
        <v>148</v>
      </c>
      <c r="K231" t="s">
        <v>23</v>
      </c>
      <c r="L231">
        <v>1533</v>
      </c>
      <c r="M231" s="4">
        <v>21.983177000000001</v>
      </c>
      <c r="N231" s="4">
        <v>-14.235697637230317</v>
      </c>
      <c r="O231" s="4">
        <v>-1.0880290077238897E-2</v>
      </c>
      <c r="P231" s="1" t="str">
        <f>HYPERLINK(".\sm_car_250825_2318\sm_car_250825_2318_230_Ca170TrN_MaMCI_DrSt_ode23t_1.png","figure")</f>
        <v>figure</v>
      </c>
      <c r="Q231" t="s">
        <v>15</v>
      </c>
      <c r="U231">
        <f>L231-'2022a_250824_2329'!L231</f>
        <v>327</v>
      </c>
      <c r="V231" s="12">
        <f>U231/'2022a_250824_2329'!L231</f>
        <v>0.27114427860696516</v>
      </c>
      <c r="W231">
        <f>M231-'2022a_250824_2329'!M231</f>
        <v>2.3915271000000011</v>
      </c>
      <c r="X231" s="12">
        <f>W231/'2022a_250824_2329'!M231</f>
        <v>0.12206869315279062</v>
      </c>
    </row>
    <row r="232" spans="1:24" x14ac:dyDescent="0.25">
      <c r="A232">
        <v>231</v>
      </c>
      <c r="B232">
        <v>170</v>
      </c>
      <c r="C232" t="s">
        <v>45</v>
      </c>
      <c r="D232" t="s">
        <v>35</v>
      </c>
      <c r="E232" t="s">
        <v>49</v>
      </c>
      <c r="F232" t="s">
        <v>19</v>
      </c>
      <c r="G232" t="s">
        <v>20</v>
      </c>
      <c r="H232" t="s">
        <v>21</v>
      </c>
      <c r="I232" t="s">
        <v>110</v>
      </c>
      <c r="J232" t="s">
        <v>148</v>
      </c>
      <c r="K232" t="s">
        <v>23</v>
      </c>
      <c r="L232">
        <v>8786</v>
      </c>
      <c r="M232" s="4">
        <v>34.221041399999997</v>
      </c>
      <c r="N232" s="4">
        <v>-5.9991017908890196</v>
      </c>
      <c r="O232" s="4">
        <v>-4.6644785346073841E-3</v>
      </c>
      <c r="P232" s="1" t="str">
        <f>HYPERLINK(".\sm_car_250825_2318\sm_car_250825_2318_231_Ca170TrN_MaCHO_DrSt_ode23t_1.png","figure")</f>
        <v>figure</v>
      </c>
      <c r="Q232" t="s">
        <v>15</v>
      </c>
      <c r="U232">
        <f>L232-'2022a_250824_2329'!L232</f>
        <v>4727</v>
      </c>
      <c r="V232" s="12">
        <f>U232/'2022a_250824_2329'!L232</f>
        <v>1.1645725548164572</v>
      </c>
      <c r="W232">
        <f>M232-'2022a_250824_2329'!M232</f>
        <v>10.373973899999996</v>
      </c>
      <c r="X232" s="12">
        <f>W232/'2022a_250824_2329'!M232</f>
        <v>0.43502094754417897</v>
      </c>
    </row>
    <row r="233" spans="1:24" x14ac:dyDescent="0.25">
      <c r="A233">
        <v>232</v>
      </c>
      <c r="B233">
        <v>170</v>
      </c>
      <c r="C233" t="s">
        <v>45</v>
      </c>
      <c r="D233" t="s">
        <v>35</v>
      </c>
      <c r="E233" t="s">
        <v>49</v>
      </c>
      <c r="F233" t="s">
        <v>19</v>
      </c>
      <c r="G233" t="s">
        <v>20</v>
      </c>
      <c r="H233" t="s">
        <v>21</v>
      </c>
      <c r="I233" t="s">
        <v>111</v>
      </c>
      <c r="J233" t="s">
        <v>148</v>
      </c>
      <c r="K233" t="s">
        <v>23</v>
      </c>
      <c r="L233">
        <v>3717</v>
      </c>
      <c r="M233" s="4">
        <v>26.0353341</v>
      </c>
      <c r="N233" s="4">
        <v>-5.9992168325118342</v>
      </c>
      <c r="O233" s="4">
        <v>-4.6798281126607883E-3</v>
      </c>
      <c r="P233" s="1" t="str">
        <f>HYPERLINK(".\sm_car_250825_2318\sm_car_250825_2318_232_Ca170TrN_MaCHF_DrSt_ode23t_1.png","figure")</f>
        <v>figure</v>
      </c>
      <c r="Q233" t="s">
        <v>15</v>
      </c>
      <c r="U233">
        <f>L233-'2022a_250824_2329'!L233</f>
        <v>1112</v>
      </c>
      <c r="V233" s="12">
        <f>U233/'2022a_250824_2329'!L233</f>
        <v>0.42687140115163147</v>
      </c>
      <c r="W233">
        <f>M233-'2022a_250824_2329'!M233</f>
        <v>3.5859561999999983</v>
      </c>
      <c r="X233" s="12">
        <f>W233/'2022a_250824_2329'!M233</f>
        <v>0.15973521475621816</v>
      </c>
    </row>
    <row r="234" spans="1:24" x14ac:dyDescent="0.25">
      <c r="A234">
        <v>233</v>
      </c>
      <c r="B234">
        <v>170</v>
      </c>
      <c r="C234" t="s">
        <v>45</v>
      </c>
      <c r="D234" t="s">
        <v>35</v>
      </c>
      <c r="E234" t="s">
        <v>49</v>
      </c>
      <c r="F234" t="s">
        <v>19</v>
      </c>
      <c r="G234" t="s">
        <v>20</v>
      </c>
      <c r="H234" t="s">
        <v>21</v>
      </c>
      <c r="I234" t="s">
        <v>82</v>
      </c>
      <c r="J234" t="s">
        <v>148</v>
      </c>
      <c r="K234" t="s">
        <v>23</v>
      </c>
      <c r="L234">
        <v>9697</v>
      </c>
      <c r="M234" s="4">
        <v>43.555160600000001</v>
      </c>
      <c r="N234" s="4">
        <v>-768.71770822389772</v>
      </c>
      <c r="O234" s="4">
        <v>638.64406541763879</v>
      </c>
      <c r="P234" s="1" t="str">
        <f>HYPERLINK(".\sm_car_250825_2318\sm_car_250825_2318_233_Ca170TrN_MaCKY_DrSt_ode23t_1.png","figure")</f>
        <v>figure</v>
      </c>
      <c r="Q234" t="s">
        <v>15</v>
      </c>
      <c r="U234">
        <f>L234-'2022a_250824_2329'!L234</f>
        <v>326</v>
      </c>
      <c r="V234" s="12">
        <f>U234/'2022a_250824_2329'!L234</f>
        <v>3.4788176288549778E-2</v>
      </c>
      <c r="W234">
        <f>M234-'2022a_250824_2329'!M234</f>
        <v>5.1403370000000024</v>
      </c>
      <c r="X234" s="12">
        <f>W234/'2022a_250824_2329'!M234</f>
        <v>0.13381128736980594</v>
      </c>
    </row>
    <row r="235" spans="1:24" x14ac:dyDescent="0.25">
      <c r="A235">
        <v>234</v>
      </c>
      <c r="B235">
        <v>170</v>
      </c>
      <c r="C235" t="s">
        <v>45</v>
      </c>
      <c r="D235" t="s">
        <v>35</v>
      </c>
      <c r="E235" t="s">
        <v>49</v>
      </c>
      <c r="F235" t="s">
        <v>19</v>
      </c>
      <c r="G235" t="s">
        <v>20</v>
      </c>
      <c r="H235" t="s">
        <v>21</v>
      </c>
      <c r="I235" t="s">
        <v>83</v>
      </c>
      <c r="J235" t="s">
        <v>148</v>
      </c>
      <c r="K235" t="s">
        <v>23</v>
      </c>
      <c r="L235">
        <v>2245</v>
      </c>
      <c r="M235" s="4">
        <v>16.874306399999998</v>
      </c>
      <c r="N235" s="4">
        <v>-772.68159246615903</v>
      </c>
      <c r="O235" s="4">
        <v>640.74795786183199</v>
      </c>
      <c r="P235" s="1" t="str">
        <f>HYPERLINK(".\sm_car_250825_2318\sm_car_250825_2318_234_Ca170TrN_MaCKF_DrSt_ode23t_1.png","figure")</f>
        <v>figure</v>
      </c>
      <c r="Q235" t="s">
        <v>15</v>
      </c>
      <c r="U235">
        <f>L235-'2022a_250824_2329'!L235</f>
        <v>550</v>
      </c>
      <c r="V235" s="12">
        <f>U235/'2022a_250824_2329'!L235</f>
        <v>0.32448377581120946</v>
      </c>
      <c r="W235">
        <f>M235-'2022a_250824_2329'!M235</f>
        <v>3.7546542999999986</v>
      </c>
      <c r="X235" s="12">
        <f>W235/'2022a_250824_2329'!M235</f>
        <v>0.28618550792211928</v>
      </c>
    </row>
    <row r="236" spans="1:24" x14ac:dyDescent="0.25">
      <c r="A236">
        <v>235</v>
      </c>
      <c r="B236">
        <v>170</v>
      </c>
      <c r="C236" t="s">
        <v>45</v>
      </c>
      <c r="D236" t="s">
        <v>35</v>
      </c>
      <c r="E236" t="s">
        <v>49</v>
      </c>
      <c r="F236" t="s">
        <v>19</v>
      </c>
      <c r="G236" t="s">
        <v>20</v>
      </c>
      <c r="H236" t="s">
        <v>21</v>
      </c>
      <c r="I236" t="s">
        <v>84</v>
      </c>
      <c r="J236" t="s">
        <v>148</v>
      </c>
      <c r="K236" t="s">
        <v>23</v>
      </c>
      <c r="L236">
        <v>2281</v>
      </c>
      <c r="M236" s="4">
        <v>33.618699800000002</v>
      </c>
      <c r="N236" s="4">
        <v>189.31430380457329</v>
      </c>
      <c r="O236" s="4">
        <v>308.88807857264004</v>
      </c>
      <c r="P236" s="1" t="str">
        <f>HYPERLINK(".\sm_car_250825_2318\sm_car_250825_2318_235_Ca170TrN_MaCNN_DrSt_ode23t_1.png","figure")</f>
        <v>figure</v>
      </c>
      <c r="Q236" t="s">
        <v>15</v>
      </c>
      <c r="U236">
        <f>L236-'2022a_250824_2329'!L236</f>
        <v>-70</v>
      </c>
      <c r="V236" s="12">
        <f>U236/'2022a_250824_2329'!L236</f>
        <v>-2.9774564015312633E-2</v>
      </c>
      <c r="W236">
        <f>M236-'2022a_250824_2329'!M236</f>
        <v>5.0288266000000021</v>
      </c>
      <c r="X236" s="12">
        <f>W236/'2022a_250824_2329'!M236</f>
        <v>0.17589537962693735</v>
      </c>
    </row>
    <row r="237" spans="1:24" x14ac:dyDescent="0.25">
      <c r="A237">
        <v>236</v>
      </c>
      <c r="B237">
        <v>170</v>
      </c>
      <c r="C237" t="s">
        <v>45</v>
      </c>
      <c r="D237" t="s">
        <v>35</v>
      </c>
      <c r="E237" t="s">
        <v>49</v>
      </c>
      <c r="F237" t="s">
        <v>19</v>
      </c>
      <c r="G237" t="s">
        <v>20</v>
      </c>
      <c r="H237" t="s">
        <v>21</v>
      </c>
      <c r="I237" t="s">
        <v>85</v>
      </c>
      <c r="J237" t="s">
        <v>148</v>
      </c>
      <c r="K237" t="s">
        <v>23</v>
      </c>
      <c r="L237">
        <v>5661</v>
      </c>
      <c r="M237" s="4">
        <v>183.8680631</v>
      </c>
      <c r="N237" s="4">
        <v>2981.6427995013828</v>
      </c>
      <c r="O237" s="4">
        <v>-3077.8296071853811</v>
      </c>
      <c r="P237" s="1" t="str">
        <f>HYPERLINK(".\sm_car_250825_2318\sm_car_250825_2318_236_Ca170TrN_MaCNF_DrSt_ode23t_1.png","figure")</f>
        <v>figure</v>
      </c>
      <c r="Q237" t="s">
        <v>15</v>
      </c>
      <c r="U237">
        <f>L237-'2022a_250824_2329'!L237</f>
        <v>2104</v>
      </c>
      <c r="V237" s="12">
        <f>U237/'2022a_250824_2329'!L237</f>
        <v>0.59150969918470619</v>
      </c>
      <c r="W237">
        <f>M237-'2022a_250824_2329'!M237</f>
        <v>44.57623670000001</v>
      </c>
      <c r="X237" s="12">
        <f>W237/'2022a_250824_2329'!M237</f>
        <v>0.32002047680810664</v>
      </c>
    </row>
    <row r="238" spans="1:24" x14ac:dyDescent="0.25">
      <c r="A238">
        <v>237</v>
      </c>
      <c r="B238">
        <v>170</v>
      </c>
      <c r="C238" t="s">
        <v>45</v>
      </c>
      <c r="D238" t="s">
        <v>35</v>
      </c>
      <c r="E238" t="s">
        <v>49</v>
      </c>
      <c r="F238" t="s">
        <v>19</v>
      </c>
      <c r="G238" t="s">
        <v>20</v>
      </c>
      <c r="H238" t="s">
        <v>21</v>
      </c>
      <c r="I238" t="s">
        <v>86</v>
      </c>
      <c r="J238" t="s">
        <v>148</v>
      </c>
      <c r="K238" t="s">
        <v>23</v>
      </c>
      <c r="L238">
        <v>3611</v>
      </c>
      <c r="M238" s="4">
        <v>21.9502302</v>
      </c>
      <c r="N238" s="4">
        <v>497.86288373819787</v>
      </c>
      <c r="O238" s="4">
        <v>-175.70287714636288</v>
      </c>
      <c r="P238" s="1" t="str">
        <f>HYPERLINK(".\sm_car_250825_2318\sm_car_250825_2318_237_Ca170TrN_MaCSZ_DrSt_ode23t_1.png","figure")</f>
        <v>figure</v>
      </c>
      <c r="Q238" t="s">
        <v>15</v>
      </c>
      <c r="U238">
        <f>L238-'2022a_250824_2329'!L238</f>
        <v>603</v>
      </c>
      <c r="V238" s="12">
        <f>U238/'2022a_250824_2329'!L238</f>
        <v>0.2004654255319149</v>
      </c>
      <c r="W238">
        <f>M238-'2022a_250824_2329'!M238</f>
        <v>2.5981677999999988</v>
      </c>
      <c r="X238" s="12">
        <f>W238/'2022a_250824_2329'!M238</f>
        <v>0.13425792798187747</v>
      </c>
    </row>
    <row r="239" spans="1:24" x14ac:dyDescent="0.25">
      <c r="A239">
        <v>238</v>
      </c>
      <c r="B239">
        <v>170</v>
      </c>
      <c r="C239" t="s">
        <v>45</v>
      </c>
      <c r="D239" t="s">
        <v>35</v>
      </c>
      <c r="E239" t="s">
        <v>49</v>
      </c>
      <c r="F239" t="s">
        <v>19</v>
      </c>
      <c r="G239" t="s">
        <v>20</v>
      </c>
      <c r="H239" t="s">
        <v>21</v>
      </c>
      <c r="I239" t="s">
        <v>87</v>
      </c>
      <c r="J239" t="s">
        <v>148</v>
      </c>
      <c r="K239" t="s">
        <v>23</v>
      </c>
      <c r="L239">
        <v>6403</v>
      </c>
      <c r="M239" s="4">
        <v>125.50391399999999</v>
      </c>
      <c r="N239" s="4">
        <v>-8.9893929081377237</v>
      </c>
      <c r="O239" s="4">
        <v>8.138818167536397E-3</v>
      </c>
      <c r="P239" s="1" t="str">
        <f>HYPERLINK(".\sm_car_250825_2318\sm_car_250825_2318_238_Ca170TrN_MaCSF_DrSt_ode23t_1.png","figure")</f>
        <v>figure</v>
      </c>
      <c r="Q239" t="s">
        <v>15</v>
      </c>
      <c r="U239">
        <f>L239-'2022a_250824_2329'!L239</f>
        <v>1260</v>
      </c>
      <c r="V239" s="12">
        <f>U239/'2022a_250824_2329'!L239</f>
        <v>0.2449931946334824</v>
      </c>
      <c r="W239">
        <f>M239-'2022a_250824_2329'!M239</f>
        <v>12.544820999999999</v>
      </c>
      <c r="X239" s="12">
        <f>W239/'2022a_250824_2329'!M239</f>
        <v>0.11105631841431304</v>
      </c>
    </row>
    <row r="240" spans="1:24" x14ac:dyDescent="0.25">
      <c r="A240">
        <v>239</v>
      </c>
      <c r="B240">
        <v>170</v>
      </c>
      <c r="C240" t="s">
        <v>45</v>
      </c>
      <c r="D240" t="s">
        <v>35</v>
      </c>
      <c r="E240" t="s">
        <v>49</v>
      </c>
      <c r="F240" t="s">
        <v>19</v>
      </c>
      <c r="G240" t="s">
        <v>20</v>
      </c>
      <c r="H240" t="s">
        <v>21</v>
      </c>
      <c r="I240" t="s">
        <v>88</v>
      </c>
      <c r="J240" t="s">
        <v>148</v>
      </c>
      <c r="K240" t="s">
        <v>23</v>
      </c>
      <c r="L240">
        <v>2209</v>
      </c>
      <c r="M240" s="4">
        <v>44.5555308</v>
      </c>
      <c r="N240" s="4">
        <v>247.79755682176057</v>
      </c>
      <c r="O240" s="4">
        <v>391.37745186282973</v>
      </c>
      <c r="P240" s="1" t="str">
        <f>HYPERLINK(".\sm_car_250825_2318\sm_car_250825_2318_239_Ca170TrN_MaCPU_DrSt_ode23t_1.png","figure")</f>
        <v>figure</v>
      </c>
      <c r="Q240" t="s">
        <v>15</v>
      </c>
      <c r="U240">
        <f>L240-'2022a_250824_2329'!L240</f>
        <v>340</v>
      </c>
      <c r="V240" s="12">
        <f>U240/'2022a_250824_2329'!L240</f>
        <v>0.18191546281433921</v>
      </c>
      <c r="W240">
        <f>M240-'2022a_250824_2329'!M240</f>
        <v>9.0912025000000014</v>
      </c>
      <c r="X240" s="12">
        <f>W240/'2022a_250824_2329'!M240</f>
        <v>0.25634779892334802</v>
      </c>
    </row>
    <row r="241" spans="1:24" x14ac:dyDescent="0.25">
      <c r="A241">
        <v>240</v>
      </c>
      <c r="B241">
        <v>170</v>
      </c>
      <c r="C241" t="s">
        <v>45</v>
      </c>
      <c r="D241" t="s">
        <v>35</v>
      </c>
      <c r="E241" t="s">
        <v>49</v>
      </c>
      <c r="F241" t="s">
        <v>19</v>
      </c>
      <c r="G241" t="s">
        <v>20</v>
      </c>
      <c r="H241" t="s">
        <v>21</v>
      </c>
      <c r="I241" t="s">
        <v>89</v>
      </c>
      <c r="J241" t="s">
        <v>148</v>
      </c>
      <c r="K241" t="s">
        <v>23</v>
      </c>
      <c r="L241">
        <v>2644</v>
      </c>
      <c r="M241" s="4">
        <v>31.526055199999998</v>
      </c>
      <c r="N241" s="4">
        <v>179.5900312051001</v>
      </c>
      <c r="O241" s="4">
        <v>-180.28319801201724</v>
      </c>
      <c r="P241" s="1" t="str">
        <f>HYPERLINK(".\sm_car_250825_2318\sm_car_250825_2318_240_Ca170TrN_MaCPD_DrSt_ode23t_1.png","figure")</f>
        <v>figure</v>
      </c>
      <c r="Q241" t="s">
        <v>15</v>
      </c>
      <c r="U241">
        <f>L241-'2022a_250824_2329'!L241</f>
        <v>177</v>
      </c>
      <c r="V241" s="12">
        <f>U241/'2022a_250824_2329'!L241</f>
        <v>7.1747061207944871E-2</v>
      </c>
      <c r="W241">
        <f>M241-'2022a_250824_2329'!M241</f>
        <v>4.8814902999999994</v>
      </c>
      <c r="X241" s="12">
        <f>W241/'2022a_250824_2329'!M241</f>
        <v>0.18320773179523753</v>
      </c>
    </row>
    <row r="242" spans="1:24" x14ac:dyDescent="0.25">
      <c r="A242">
        <v>241</v>
      </c>
      <c r="B242">
        <v>202</v>
      </c>
      <c r="C242" t="s">
        <v>45</v>
      </c>
      <c r="D242" t="s">
        <v>35</v>
      </c>
      <c r="E242" t="s">
        <v>107</v>
      </c>
      <c r="F242" t="s">
        <v>19</v>
      </c>
      <c r="G242" t="s">
        <v>20</v>
      </c>
      <c r="H242" t="s">
        <v>21</v>
      </c>
      <c r="I242" t="s">
        <v>79</v>
      </c>
      <c r="J242" t="s">
        <v>148</v>
      </c>
      <c r="K242" t="s">
        <v>23</v>
      </c>
      <c r="L242">
        <v>1924</v>
      </c>
      <c r="M242" s="4">
        <v>4.9761218999999999</v>
      </c>
      <c r="N242" s="4">
        <v>-5.9991491100024019</v>
      </c>
      <c r="O242" s="4">
        <v>-6.1262560009389833E-3</v>
      </c>
      <c r="P242" s="1" t="str">
        <f>HYPERLINK(".\sm_car_250825_2318\sm_car_250825_2318_241_Ca202TrN_MaCMF_DrSt_ode23t_1.png","figure")</f>
        <v>figure</v>
      </c>
      <c r="Q242" t="s">
        <v>15</v>
      </c>
      <c r="U242">
        <f>L242-'2022a_250824_2329'!L242</f>
        <v>302</v>
      </c>
      <c r="V242" s="12">
        <f>U242/'2022a_250824_2329'!L242</f>
        <v>0.18618988902589395</v>
      </c>
      <c r="W242">
        <f>M242-'2022a_250824_2329'!M242</f>
        <v>0.69413280000000022</v>
      </c>
      <c r="X242" s="12">
        <f>W242/'2022a_250824_2329'!M242</f>
        <v>0.16210522348130224</v>
      </c>
    </row>
    <row r="243" spans="1:24" x14ac:dyDescent="0.25">
      <c r="A243">
        <v>242</v>
      </c>
      <c r="B243">
        <v>202</v>
      </c>
      <c r="C243" t="s">
        <v>45</v>
      </c>
      <c r="D243" t="s">
        <v>35</v>
      </c>
      <c r="E243" t="s">
        <v>107</v>
      </c>
      <c r="F243" t="s">
        <v>19</v>
      </c>
      <c r="G243" t="s">
        <v>20</v>
      </c>
      <c r="H243" t="s">
        <v>21</v>
      </c>
      <c r="I243" t="s">
        <v>80</v>
      </c>
      <c r="J243" t="s">
        <v>148</v>
      </c>
      <c r="K243" t="s">
        <v>23</v>
      </c>
      <c r="L243">
        <v>9267</v>
      </c>
      <c r="M243" s="4">
        <v>41.775384799999998</v>
      </c>
      <c r="N243" s="4">
        <v>-217.12629795019024</v>
      </c>
      <c r="O243" s="4">
        <v>5.8013359057057459</v>
      </c>
      <c r="P243" s="1" t="str">
        <f>HYPERLINK(".\sm_car_250825_2318\sm_car_250825_2318_242_Ca202TrN_MaMPO_DrSt_ode23t_1.png","figure")</f>
        <v>figure</v>
      </c>
      <c r="Q243" t="s">
        <v>15</v>
      </c>
      <c r="U243">
        <f>L243-'2022a_250824_2329'!L243</f>
        <v>3903</v>
      </c>
      <c r="V243" s="12">
        <f>U243/'2022a_250824_2329'!L243</f>
        <v>0.72762863534675615</v>
      </c>
      <c r="W243">
        <f>M243-'2022a_250824_2329'!M243</f>
        <v>14.229084299999997</v>
      </c>
      <c r="X243" s="12">
        <f>W243/'2022a_250824_2329'!M243</f>
        <v>0.51655155290272081</v>
      </c>
    </row>
    <row r="244" spans="1:24" x14ac:dyDescent="0.25">
      <c r="A244">
        <v>243</v>
      </c>
      <c r="B244">
        <v>202</v>
      </c>
      <c r="C244" t="s">
        <v>45</v>
      </c>
      <c r="D244" t="s">
        <v>35</v>
      </c>
      <c r="E244" t="s">
        <v>107</v>
      </c>
      <c r="F244" t="s">
        <v>19</v>
      </c>
      <c r="G244" t="s">
        <v>20</v>
      </c>
      <c r="H244" t="s">
        <v>21</v>
      </c>
      <c r="I244" t="s">
        <v>81</v>
      </c>
      <c r="J244" t="s">
        <v>148</v>
      </c>
      <c r="K244" t="s">
        <v>23</v>
      </c>
      <c r="L244">
        <v>1524</v>
      </c>
      <c r="M244" s="4">
        <v>12.7474072</v>
      </c>
      <c r="N244" s="4">
        <v>-14.23534168941331</v>
      </c>
      <c r="O244" s="4">
        <v>-1.0454426583493159E-2</v>
      </c>
      <c r="P244" s="1" t="str">
        <f>HYPERLINK(".\sm_car_250825_2318\sm_car_250825_2318_243_Ca202TrN_MaMCI_DrSt_ode23t_1.png","figure")</f>
        <v>figure</v>
      </c>
      <c r="Q244" t="s">
        <v>15</v>
      </c>
      <c r="U244">
        <f>L244-'2022a_250824_2329'!L244</f>
        <v>321</v>
      </c>
      <c r="V244" s="12">
        <f>U244/'2022a_250824_2329'!L244</f>
        <v>0.26683291770573564</v>
      </c>
      <c r="W244">
        <f>M244-'2022a_250824_2329'!M244</f>
        <v>1.9830270999999993</v>
      </c>
      <c r="X244" s="12">
        <f>W244/'2022a_250824_2329'!M244</f>
        <v>0.18422120749898074</v>
      </c>
    </row>
    <row r="245" spans="1:24" x14ac:dyDescent="0.25">
      <c r="A245">
        <v>244</v>
      </c>
      <c r="B245">
        <v>202</v>
      </c>
      <c r="C245" t="s">
        <v>45</v>
      </c>
      <c r="D245" t="s">
        <v>35</v>
      </c>
      <c r="E245" t="s">
        <v>107</v>
      </c>
      <c r="F245" t="s">
        <v>19</v>
      </c>
      <c r="G245" t="s">
        <v>20</v>
      </c>
      <c r="H245" t="s">
        <v>21</v>
      </c>
      <c r="I245" t="s">
        <v>83</v>
      </c>
      <c r="J245" t="s">
        <v>148</v>
      </c>
      <c r="K245" t="s">
        <v>23</v>
      </c>
      <c r="L245">
        <v>3861</v>
      </c>
      <c r="M245" s="4">
        <v>13.057885499999999</v>
      </c>
      <c r="N245" s="4">
        <v>-5.997749841540756</v>
      </c>
      <c r="O245" s="4">
        <v>-2.6107499618968803E-2</v>
      </c>
      <c r="P245" s="1" t="str">
        <f>HYPERLINK(".\sm_car_250825_2318\sm_car_250825_2318_244_Ca202TrN_MaCKF_DrSt_ode23t_1.png","figure")</f>
        <v>figure</v>
      </c>
      <c r="Q245" t="s">
        <v>15</v>
      </c>
      <c r="U245">
        <f>L245-'2022a_250824_2329'!L245</f>
        <v>932</v>
      </c>
      <c r="V245" s="12">
        <f>U245/'2022a_250824_2329'!L245</f>
        <v>0.31819733697507679</v>
      </c>
      <c r="W245">
        <f>M245-'2022a_250824_2329'!M245</f>
        <v>2.603917899999999</v>
      </c>
      <c r="X245" s="12">
        <f>W245/'2022a_250824_2329'!M245</f>
        <v>0.24908417546654715</v>
      </c>
    </row>
    <row r="246" spans="1:24" x14ac:dyDescent="0.25">
      <c r="A246">
        <v>245</v>
      </c>
      <c r="B246">
        <v>202</v>
      </c>
      <c r="C246" t="s">
        <v>45</v>
      </c>
      <c r="D246" t="s">
        <v>35</v>
      </c>
      <c r="E246" t="s">
        <v>107</v>
      </c>
      <c r="F246" t="s">
        <v>19</v>
      </c>
      <c r="G246" t="s">
        <v>20</v>
      </c>
      <c r="H246" t="s">
        <v>21</v>
      </c>
      <c r="I246" t="s">
        <v>85</v>
      </c>
      <c r="J246" t="s">
        <v>148</v>
      </c>
      <c r="K246" t="s">
        <v>23</v>
      </c>
      <c r="L246">
        <v>13590</v>
      </c>
      <c r="M246" s="4">
        <v>296.1001038</v>
      </c>
      <c r="N246" s="4">
        <v>-8.999444421910427</v>
      </c>
      <c r="O246" s="4">
        <v>2.4312880645068518E-2</v>
      </c>
      <c r="P246" s="1" t="str">
        <f>HYPERLINK(".\sm_car_250825_2318\sm_car_250825_2318_245_Ca202TrN_MaCNF_DrSt_ode23t_1.png","figure")</f>
        <v>figure</v>
      </c>
      <c r="Q246" t="s">
        <v>15</v>
      </c>
      <c r="U246">
        <f>L246-'2022a_250824_2329'!L246</f>
        <v>5152</v>
      </c>
      <c r="V246" s="12">
        <f>U246/'2022a_250824_2329'!L246</f>
        <v>0.61057122540886466</v>
      </c>
      <c r="W246">
        <f>M246-'2022a_250824_2329'!M246</f>
        <v>74.499008800000013</v>
      </c>
      <c r="X246" s="12">
        <f>W246/'2022a_250824_2329'!M246</f>
        <v>0.33618520161193255</v>
      </c>
    </row>
    <row r="247" spans="1:24" x14ac:dyDescent="0.25">
      <c r="A247">
        <v>246</v>
      </c>
      <c r="B247">
        <v>202</v>
      </c>
      <c r="C247" t="s">
        <v>45</v>
      </c>
      <c r="D247" t="s">
        <v>35</v>
      </c>
      <c r="E247" t="s">
        <v>107</v>
      </c>
      <c r="F247" t="s">
        <v>19</v>
      </c>
      <c r="G247" t="s">
        <v>20</v>
      </c>
      <c r="H247" t="s">
        <v>21</v>
      </c>
      <c r="I247" t="s">
        <v>87</v>
      </c>
      <c r="J247" t="s">
        <v>148</v>
      </c>
      <c r="K247" t="s">
        <v>23</v>
      </c>
      <c r="L247">
        <v>6390</v>
      </c>
      <c r="M247" s="4">
        <v>71.754126099999993</v>
      </c>
      <c r="N247" s="4">
        <v>-8.9972066299307123</v>
      </c>
      <c r="O247" s="4">
        <v>8.1807747064574186E-3</v>
      </c>
      <c r="P247" s="1" t="str">
        <f>HYPERLINK(".\sm_car_250825_2318\sm_car_250825_2318_246_Ca202TrN_MaCSF_DrSt_ode23t_1.png","figure")</f>
        <v>figure</v>
      </c>
      <c r="Q247" t="s">
        <v>15</v>
      </c>
      <c r="U247">
        <f>L247-'2022a_250824_2329'!L247</f>
        <v>1228</v>
      </c>
      <c r="V247" s="12">
        <f>U247/'2022a_250824_2329'!L247</f>
        <v>0.23789228981015109</v>
      </c>
      <c r="W247">
        <f>M247-'2022a_250824_2329'!M247</f>
        <v>8.8900238999999956</v>
      </c>
      <c r="X247" s="12">
        <f>W247/'2022a_250824_2329'!M247</f>
        <v>0.14141654121960873</v>
      </c>
    </row>
    <row r="248" spans="1:24" x14ac:dyDescent="0.25">
      <c r="A248">
        <v>247</v>
      </c>
      <c r="B248">
        <v>202</v>
      </c>
      <c r="C248" t="s">
        <v>45</v>
      </c>
      <c r="D248" t="s">
        <v>35</v>
      </c>
      <c r="E248" t="s">
        <v>107</v>
      </c>
      <c r="F248" t="s">
        <v>19</v>
      </c>
      <c r="G248" t="s">
        <v>20</v>
      </c>
      <c r="H248" t="s">
        <v>21</v>
      </c>
      <c r="I248" t="s">
        <v>78</v>
      </c>
      <c r="J248" t="s">
        <v>148</v>
      </c>
      <c r="K248" t="s">
        <v>23</v>
      </c>
      <c r="L248">
        <v>7538</v>
      </c>
      <c r="M248" s="4">
        <v>26.420767000000001</v>
      </c>
      <c r="N248" s="4">
        <v>-5.999407827386892</v>
      </c>
      <c r="O248" s="4">
        <v>-6.0862281105173504E-3</v>
      </c>
      <c r="P248" s="1" t="str">
        <f>HYPERLINK(".\sm_car_250825_2318\sm_car_250825_2318_247_Ca202TrN_MaCMP_DrSt_ode23t_1.png","figure")</f>
        <v>figure</v>
      </c>
      <c r="Q248" t="s">
        <v>15</v>
      </c>
      <c r="U248">
        <f>L248-'2022a_250824_2329'!L248</f>
        <v>395</v>
      </c>
      <c r="V248" s="12">
        <f>U248/'2022a_250824_2329'!L248</f>
        <v>5.5298894022119557E-2</v>
      </c>
      <c r="W248">
        <f>M248-'2022a_250824_2329'!M248</f>
        <v>2.4435824000000004</v>
      </c>
      <c r="X248" s="12">
        <f>W248/'2022a_250824_2329'!M248</f>
        <v>0.10191281590249759</v>
      </c>
    </row>
    <row r="249" spans="1:24" x14ac:dyDescent="0.25">
      <c r="A249">
        <v>248</v>
      </c>
      <c r="B249">
        <v>202</v>
      </c>
      <c r="C249" t="s">
        <v>45</v>
      </c>
      <c r="D249" t="s">
        <v>35</v>
      </c>
      <c r="E249" t="s">
        <v>107</v>
      </c>
      <c r="F249" t="s">
        <v>19</v>
      </c>
      <c r="G249" t="s">
        <v>20</v>
      </c>
      <c r="H249" t="s">
        <v>21</v>
      </c>
      <c r="I249" t="s">
        <v>82</v>
      </c>
      <c r="J249" t="s">
        <v>148</v>
      </c>
      <c r="K249" t="s">
        <v>23</v>
      </c>
      <c r="L249">
        <v>20788</v>
      </c>
      <c r="M249" s="4">
        <v>80.995953499999999</v>
      </c>
      <c r="N249" s="4">
        <v>-5.9975188192004989</v>
      </c>
      <c r="O249" s="4">
        <v>-2.7898866638366066E-2</v>
      </c>
      <c r="P249" s="1" t="str">
        <f>HYPERLINK(".\sm_car_250825_2318\sm_car_250825_2318_248_Ca202TrN_MaCKY_DrSt_ode23t_1.png","figure")</f>
        <v>figure</v>
      </c>
      <c r="Q249" t="s">
        <v>15</v>
      </c>
      <c r="U249">
        <f>L249-'2022a_250824_2329'!L249</f>
        <v>558</v>
      </c>
      <c r="V249" s="12">
        <f>U249/'2022a_250824_2329'!L249</f>
        <v>2.7582797825012356E-2</v>
      </c>
      <c r="W249">
        <f>M249-'2022a_250824_2329'!M249</f>
        <v>5.8043389000000047</v>
      </c>
      <c r="X249" s="12">
        <f>W249/'2022a_250824_2329'!M249</f>
        <v>7.7193965455823646E-2</v>
      </c>
    </row>
    <row r="250" spans="1:24" x14ac:dyDescent="0.25">
      <c r="A250">
        <v>249</v>
      </c>
      <c r="B250">
        <v>202</v>
      </c>
      <c r="C250" t="s">
        <v>45</v>
      </c>
      <c r="D250" t="s">
        <v>35</v>
      </c>
      <c r="E250" t="s">
        <v>107</v>
      </c>
      <c r="F250" t="s">
        <v>19</v>
      </c>
      <c r="G250" t="s">
        <v>20</v>
      </c>
      <c r="H250" t="s">
        <v>21</v>
      </c>
      <c r="I250" t="s">
        <v>75</v>
      </c>
      <c r="J250" t="s">
        <v>148</v>
      </c>
      <c r="K250" t="s">
        <v>23</v>
      </c>
      <c r="L250">
        <v>611</v>
      </c>
      <c r="M250" s="4">
        <v>2.8891472999999999</v>
      </c>
      <c r="N250" s="4">
        <v>380.97829025172786</v>
      </c>
      <c r="O250" s="4">
        <v>0.33363623125107222</v>
      </c>
      <c r="P250" s="1" t="str">
        <f>HYPERLINK(".\sm_car_250825_2318\sm_car_250825_2318_249_Ca202TrN_MaCPL_DrSt_ode23t_1.png","figure")</f>
        <v>figure</v>
      </c>
      <c r="Q250" t="s">
        <v>15</v>
      </c>
      <c r="U250">
        <f>L250-'2022a_250824_2329'!L250</f>
        <v>156</v>
      </c>
      <c r="V250" s="12">
        <f>U250/'2022a_250824_2329'!L250</f>
        <v>0.34285714285714286</v>
      </c>
      <c r="W250">
        <f>M250-'2022a_250824_2329'!M250</f>
        <v>0.25758619999999999</v>
      </c>
      <c r="X250" s="12">
        <f>W250/'2022a_250824_2329'!M250</f>
        <v>9.7883419845353398E-2</v>
      </c>
    </row>
    <row r="251" spans="1:24" x14ac:dyDescent="0.25">
      <c r="A251">
        <v>250</v>
      </c>
      <c r="B251">
        <v>140</v>
      </c>
      <c r="C251" t="s">
        <v>45</v>
      </c>
      <c r="D251" t="s">
        <v>17</v>
      </c>
      <c r="E251" t="s">
        <v>49</v>
      </c>
      <c r="F251" t="s">
        <v>19</v>
      </c>
      <c r="G251" t="s">
        <v>26</v>
      </c>
      <c r="H251" t="s">
        <v>21</v>
      </c>
      <c r="I251" t="s">
        <v>112</v>
      </c>
      <c r="J251" t="s">
        <v>148</v>
      </c>
      <c r="K251" t="s">
        <v>23</v>
      </c>
      <c r="L251">
        <v>6178</v>
      </c>
      <c r="M251" s="4">
        <v>54.241747799999999</v>
      </c>
      <c r="N251" s="4">
        <v>189.15456629899401</v>
      </c>
      <c r="O251" s="4">
        <v>7.0516397321230238E-4</v>
      </c>
      <c r="P251" s="1" t="str">
        <f>HYPERLINK(".\sm_car_250825_2318\sm_car_250825_2318_250_Ca140TrN_MaCRR_DrSt_ode23t_1.png","figure")</f>
        <v>figure</v>
      </c>
      <c r="Q251" t="s">
        <v>15</v>
      </c>
      <c r="U251">
        <f>L251-'2022a_250824_2329'!L251</f>
        <v>3494</v>
      </c>
      <c r="V251" s="12">
        <f>U251/'2022a_250824_2329'!L251</f>
        <v>1.3017883755588673</v>
      </c>
      <c r="W251">
        <f>M251-'2022a_250824_2329'!M251</f>
        <v>17.895442599999996</v>
      </c>
      <c r="X251" s="12">
        <f>W251/'2022a_250824_2329'!M251</f>
        <v>0.49235933340481591</v>
      </c>
    </row>
    <row r="252" spans="1:24" x14ac:dyDescent="0.25">
      <c r="A252">
        <v>251</v>
      </c>
      <c r="B252">
        <v>189</v>
      </c>
      <c r="C252" t="s">
        <v>45</v>
      </c>
      <c r="D252" t="s">
        <v>17</v>
      </c>
      <c r="E252" t="s">
        <v>107</v>
      </c>
      <c r="F252" t="s">
        <v>19</v>
      </c>
      <c r="G252" t="s">
        <v>26</v>
      </c>
      <c r="H252" t="s">
        <v>21</v>
      </c>
      <c r="I252" t="s">
        <v>112</v>
      </c>
      <c r="J252" t="s">
        <v>148</v>
      </c>
      <c r="K252" t="s">
        <v>23</v>
      </c>
      <c r="L252">
        <v>7325</v>
      </c>
      <c r="M252" s="4">
        <v>53.046259599999999</v>
      </c>
      <c r="N252" s="4">
        <v>189.18224265436049</v>
      </c>
      <c r="O252" s="4">
        <v>7.0425260537907168E-4</v>
      </c>
      <c r="P252" s="1" t="str">
        <f>HYPERLINK(".\sm_car_250825_2318\sm_car_250825_2318_251_Ca189TrN_MaCRR_DrSt_ode23t_1.png","figure")</f>
        <v>figure</v>
      </c>
      <c r="Q252" t="s">
        <v>15</v>
      </c>
      <c r="U252">
        <f>L252-'2022a_250824_2329'!L252</f>
        <v>4007</v>
      </c>
      <c r="V252" s="12">
        <f>U252/'2022a_250824_2329'!L252</f>
        <v>1.207655213984328</v>
      </c>
      <c r="W252">
        <f>M252-'2022a_250824_2329'!M252</f>
        <v>20.5710646</v>
      </c>
      <c r="X252" s="12">
        <f>W252/'2022a_250824_2329'!M252</f>
        <v>0.63343929420593159</v>
      </c>
    </row>
    <row r="253" spans="1:24" x14ac:dyDescent="0.25">
      <c r="A253">
        <v>252</v>
      </c>
      <c r="B253">
        <v>173</v>
      </c>
      <c r="C253" t="s">
        <v>45</v>
      </c>
      <c r="D253" t="s">
        <v>35</v>
      </c>
      <c r="E253" t="s">
        <v>49</v>
      </c>
      <c r="F253" t="s">
        <v>19</v>
      </c>
      <c r="G253" t="s">
        <v>90</v>
      </c>
      <c r="H253" t="s">
        <v>21</v>
      </c>
      <c r="I253" t="s">
        <v>91</v>
      </c>
      <c r="J253" t="s">
        <v>148</v>
      </c>
      <c r="K253" t="s">
        <v>92</v>
      </c>
      <c r="L253">
        <v>1555</v>
      </c>
      <c r="M253" s="4">
        <v>57.8831463</v>
      </c>
      <c r="N253" s="4">
        <v>51.299849018494214</v>
      </c>
      <c r="O253" s="4">
        <v>9.1607683074956432E-3</v>
      </c>
      <c r="P253" s="1" t="str">
        <f>HYPERLINK(".\sm_car_250825_2318\sm_car_250825_2318_252_Ca173TrN_MaDCA_DrSt_daessc_1.png","figure")</f>
        <v>figure</v>
      </c>
      <c r="Q253" t="s">
        <v>15</v>
      </c>
      <c r="U253">
        <f>L253-'2022a_250824_2329'!L253</f>
        <v>-32</v>
      </c>
      <c r="V253" s="12">
        <f>U253/'2022a_250824_2329'!L253</f>
        <v>-2.0163831127914304E-2</v>
      </c>
      <c r="W253">
        <f>M253-'2022a_250824_2329'!M253</f>
        <v>1.0635325000000009</v>
      </c>
      <c r="X253" s="12">
        <f>W253/'2022a_250824_2329'!M253</f>
        <v>1.8717700260046485E-2</v>
      </c>
    </row>
    <row r="254" spans="1:24" x14ac:dyDescent="0.25">
      <c r="A254">
        <v>253</v>
      </c>
      <c r="B254">
        <v>173</v>
      </c>
      <c r="C254" t="s">
        <v>45</v>
      </c>
      <c r="D254" t="s">
        <v>35</v>
      </c>
      <c r="E254" t="s">
        <v>49</v>
      </c>
      <c r="F254" t="s">
        <v>19</v>
      </c>
      <c r="G254" t="s">
        <v>90</v>
      </c>
      <c r="H254" t="s">
        <v>21</v>
      </c>
      <c r="I254" t="s">
        <v>93</v>
      </c>
      <c r="J254" t="s">
        <v>148</v>
      </c>
      <c r="K254" t="s">
        <v>92</v>
      </c>
      <c r="L254">
        <v>4128</v>
      </c>
      <c r="M254" s="4">
        <v>97.350935300000003</v>
      </c>
      <c r="N254" s="4">
        <v>980.45789493221343</v>
      </c>
      <c r="O254" s="4">
        <v>0.73524090076390214</v>
      </c>
      <c r="P254" s="1" t="str">
        <f>HYPERLINK(".\sm_car_250825_2318\sm_car_250825_2318_253_Ca173TrN_MaDC1_DrSt_daessc_1.png","figure")</f>
        <v>figure</v>
      </c>
      <c r="Q254" t="s">
        <v>15</v>
      </c>
      <c r="U254">
        <f>L254-'2022a_250824_2329'!L254</f>
        <v>-3</v>
      </c>
      <c r="V254" s="12">
        <f>U254/'2022a_250824_2329'!L254</f>
        <v>-7.2621641249092229E-4</v>
      </c>
      <c r="W254">
        <f>M254-'2022a_250824_2329'!M254</f>
        <v>-2.4966311999999959</v>
      </c>
      <c r="X254" s="12">
        <f>W254/'2022a_250824_2329'!M254</f>
        <v>-2.5004427123419135E-2</v>
      </c>
    </row>
    <row r="255" spans="1:24" x14ac:dyDescent="0.25">
      <c r="A255">
        <v>254</v>
      </c>
      <c r="B255">
        <v>165</v>
      </c>
      <c r="C255" t="s">
        <v>45</v>
      </c>
      <c r="D255" t="s">
        <v>35</v>
      </c>
      <c r="E255" t="s">
        <v>49</v>
      </c>
      <c r="F255" t="s">
        <v>19</v>
      </c>
      <c r="G255" t="s">
        <v>26</v>
      </c>
      <c r="H255" t="s">
        <v>21</v>
      </c>
      <c r="I255" t="s">
        <v>91</v>
      </c>
      <c r="J255" t="s">
        <v>148</v>
      </c>
      <c r="K255" t="s">
        <v>23</v>
      </c>
      <c r="L255">
        <v>385</v>
      </c>
      <c r="M255" s="4">
        <v>3.8595468999999998</v>
      </c>
      <c r="N255" s="4">
        <v>53.506322380663363</v>
      </c>
      <c r="O255" s="4">
        <v>1.0027683135077261E-2</v>
      </c>
      <c r="P255" s="1" t="str">
        <f>HYPERLINK(".\sm_car_250825_2318\sm_car_250825_2318_254_Ca165TrN_MaDCA_DrSt_ode23t_1.png","figure")</f>
        <v>figure</v>
      </c>
      <c r="Q255" t="s">
        <v>15</v>
      </c>
      <c r="U255">
        <f>L255-'2022a_250824_2329'!L255</f>
        <v>66</v>
      </c>
      <c r="V255" s="12">
        <f>U255/'2022a_250824_2329'!L255</f>
        <v>0.20689655172413793</v>
      </c>
      <c r="W255">
        <f>M255-'2022a_250824_2329'!M255</f>
        <v>0.36492859999999983</v>
      </c>
      <c r="X255" s="12">
        <f>W255/'2022a_250824_2329'!M255</f>
        <v>0.1044258825062525</v>
      </c>
    </row>
    <row r="256" spans="1:24" x14ac:dyDescent="0.25">
      <c r="A256">
        <v>255</v>
      </c>
      <c r="B256">
        <v>165</v>
      </c>
      <c r="C256" t="s">
        <v>45</v>
      </c>
      <c r="D256" t="s">
        <v>35</v>
      </c>
      <c r="E256" t="s">
        <v>49</v>
      </c>
      <c r="F256" t="s">
        <v>19</v>
      </c>
      <c r="G256" t="s">
        <v>26</v>
      </c>
      <c r="H256" t="s">
        <v>21</v>
      </c>
      <c r="I256" t="s">
        <v>93</v>
      </c>
      <c r="J256" t="s">
        <v>148</v>
      </c>
      <c r="K256" t="s">
        <v>23</v>
      </c>
      <c r="L256">
        <v>1594</v>
      </c>
      <c r="M256" s="4">
        <v>8.7835850000000004</v>
      </c>
      <c r="N256" s="4">
        <v>992.65446001334124</v>
      </c>
      <c r="O256" s="4">
        <v>0.76881765531116419</v>
      </c>
      <c r="P256" s="1" t="str">
        <f>HYPERLINK(".\sm_car_250825_2318\sm_car_250825_2318_255_Ca165TrN_MaDC1_DrSt_ode23t_1.png","figure")</f>
        <v>figure</v>
      </c>
      <c r="Q256" t="s">
        <v>15</v>
      </c>
      <c r="U256">
        <f>L256-'2022a_250824_2329'!L256</f>
        <v>407</v>
      </c>
      <c r="V256" s="12">
        <f>U256/'2022a_250824_2329'!L256</f>
        <v>0.34288121314237574</v>
      </c>
      <c r="W256">
        <f>M256-'2022a_250824_2329'!M256</f>
        <v>1.0242548000000005</v>
      </c>
      <c r="X256" s="12">
        <f>W256/'2022a_250824_2329'!M256</f>
        <v>0.13200299170152605</v>
      </c>
    </row>
    <row r="257" spans="1:24" x14ac:dyDescent="0.25">
      <c r="A257">
        <v>256</v>
      </c>
      <c r="B257">
        <v>196</v>
      </c>
      <c r="C257" t="s">
        <v>45</v>
      </c>
      <c r="D257" t="s">
        <v>35</v>
      </c>
      <c r="E257" t="s">
        <v>107</v>
      </c>
      <c r="F257" t="s">
        <v>19</v>
      </c>
      <c r="G257" t="s">
        <v>90</v>
      </c>
      <c r="H257" t="s">
        <v>21</v>
      </c>
      <c r="I257" t="s">
        <v>93</v>
      </c>
      <c r="J257" t="s">
        <v>148</v>
      </c>
      <c r="K257" t="s">
        <v>92</v>
      </c>
      <c r="L257">
        <v>4148</v>
      </c>
      <c r="M257" s="4">
        <v>49.255714699999999</v>
      </c>
      <c r="N257" s="4">
        <v>980.45344847203842</v>
      </c>
      <c r="O257" s="4">
        <v>0.73499946024265495</v>
      </c>
      <c r="P257" s="1" t="str">
        <f>HYPERLINK(".\sm_car_250825_2318\sm_car_250825_2318_256_Ca196TrN_MaDC1_DrSt_daessc_1.png","figure")</f>
        <v>figure</v>
      </c>
      <c r="Q257" t="s">
        <v>15</v>
      </c>
      <c r="U257">
        <f>L257-'2022a_250824_2329'!L257</f>
        <v>215</v>
      </c>
      <c r="V257" s="12">
        <f>U257/'2022a_250824_2329'!L257</f>
        <v>5.4665649631324691E-2</v>
      </c>
      <c r="W257">
        <f>M257-'2022a_250824_2329'!M257</f>
        <v>7.4252269999999996</v>
      </c>
      <c r="X257" s="12">
        <f>W257/'2022a_250824_2329'!M257</f>
        <v>0.17750754074999703</v>
      </c>
    </row>
    <row r="258" spans="1:24" x14ac:dyDescent="0.25">
      <c r="A258">
        <v>257</v>
      </c>
      <c r="B258">
        <v>179</v>
      </c>
      <c r="C258" t="s">
        <v>45</v>
      </c>
      <c r="D258" t="s">
        <v>57</v>
      </c>
      <c r="E258" t="s">
        <v>18</v>
      </c>
      <c r="F258" t="s">
        <v>19</v>
      </c>
      <c r="G258" t="s">
        <v>26</v>
      </c>
      <c r="H258" t="s">
        <v>21</v>
      </c>
      <c r="I258" t="s">
        <v>22</v>
      </c>
      <c r="J258" t="s">
        <v>148</v>
      </c>
      <c r="K258" t="s">
        <v>23</v>
      </c>
      <c r="L258">
        <v>646</v>
      </c>
      <c r="M258" s="4">
        <v>5.6899775999999997</v>
      </c>
      <c r="N258" s="4">
        <v>147.82961668595968</v>
      </c>
      <c r="O258" s="4">
        <v>9.6565236783045336E-2</v>
      </c>
      <c r="P258" s="1" t="str">
        <f>HYPERLINK(".\sm_car_250825_2318\sm_car_250825_2318_257_Ca179TrN_MaWOT_DrSt_ode23t_1.png","figure")</f>
        <v>figure</v>
      </c>
      <c r="Q258" t="s">
        <v>15</v>
      </c>
      <c r="U258">
        <f>L258-'2022a_250824_2329'!L258</f>
        <v>174</v>
      </c>
      <c r="V258" s="12">
        <f>U258/'2022a_250824_2329'!L258</f>
        <v>0.36864406779661019</v>
      </c>
      <c r="W258">
        <f>M258-'2022a_250824_2329'!M258</f>
        <v>0.78332599999999974</v>
      </c>
      <c r="X258" s="12">
        <f>W258/'2022a_250824_2329'!M258</f>
        <v>0.15964573478173991</v>
      </c>
    </row>
    <row r="259" spans="1:24" x14ac:dyDescent="0.25">
      <c r="A259">
        <v>258</v>
      </c>
      <c r="B259">
        <v>180</v>
      </c>
      <c r="C259" t="s">
        <v>45</v>
      </c>
      <c r="D259" t="s">
        <v>57</v>
      </c>
      <c r="E259" t="s">
        <v>49</v>
      </c>
      <c r="F259" t="s">
        <v>19</v>
      </c>
      <c r="G259" t="s">
        <v>26</v>
      </c>
      <c r="H259" t="s">
        <v>21</v>
      </c>
      <c r="I259" t="s">
        <v>22</v>
      </c>
      <c r="J259" t="s">
        <v>148</v>
      </c>
      <c r="K259" t="s">
        <v>23</v>
      </c>
      <c r="L259">
        <v>683</v>
      </c>
      <c r="M259" s="4">
        <v>7.1599690000000002</v>
      </c>
      <c r="N259" s="4">
        <v>147.84981332892718</v>
      </c>
      <c r="O259" s="4">
        <v>9.6072467289421981E-2</v>
      </c>
      <c r="P259" s="1" t="str">
        <f>HYPERLINK(".\sm_car_250825_2318\sm_car_250825_2318_258_Ca180TrN_MaWOT_DrSt_ode23t_1.png","figure")</f>
        <v>figure</v>
      </c>
      <c r="Q259" t="s">
        <v>15</v>
      </c>
      <c r="U259">
        <f>L259-'2022a_250824_2329'!L259</f>
        <v>173</v>
      </c>
      <c r="V259" s="12">
        <f>U259/'2022a_250824_2329'!L259</f>
        <v>0.33921568627450982</v>
      </c>
      <c r="W259">
        <f>M259-'2022a_250824_2329'!M259</f>
        <v>0.12008880000000044</v>
      </c>
      <c r="X259" s="12">
        <f>W259/'2022a_250824_2329'!M259</f>
        <v>1.7058358464679617E-2</v>
      </c>
    </row>
    <row r="260" spans="1:24" x14ac:dyDescent="0.25">
      <c r="A260">
        <v>259</v>
      </c>
      <c r="B260">
        <v>197</v>
      </c>
      <c r="C260" t="s">
        <v>45</v>
      </c>
      <c r="D260" t="s">
        <v>57</v>
      </c>
      <c r="E260" t="s">
        <v>107</v>
      </c>
      <c r="F260" t="s">
        <v>19</v>
      </c>
      <c r="G260" t="s">
        <v>26</v>
      </c>
      <c r="H260" t="s">
        <v>21</v>
      </c>
      <c r="I260" t="s">
        <v>22</v>
      </c>
      <c r="J260" t="s">
        <v>148</v>
      </c>
      <c r="K260" t="s">
        <v>23</v>
      </c>
      <c r="L260">
        <v>611</v>
      </c>
      <c r="M260" s="4">
        <v>2.4300453000000002</v>
      </c>
      <c r="N260" s="4">
        <v>147.81299080963339</v>
      </c>
      <c r="O260" s="4">
        <v>9.594559187344151E-2</v>
      </c>
      <c r="P260" s="1" t="str">
        <f>HYPERLINK(".\sm_car_250825_2318\sm_car_250825_2318_259_Ca197TrN_MaWOT_DrSt_ode23t_1.png","figure")</f>
        <v>figure</v>
      </c>
      <c r="Q260" t="s">
        <v>15</v>
      </c>
      <c r="U260">
        <f>L260-'2022a_250824_2329'!L260</f>
        <v>170</v>
      </c>
      <c r="V260" s="12">
        <f>U260/'2022a_250824_2329'!L260</f>
        <v>0.3854875283446712</v>
      </c>
      <c r="W260">
        <f>M260-'2022a_250824_2329'!M260</f>
        <v>0.46645390000000009</v>
      </c>
      <c r="X260" s="12">
        <f>W260/'2022a_250824_2329'!M260</f>
        <v>0.23755140707990474</v>
      </c>
    </row>
    <row r="261" spans="1:24" x14ac:dyDescent="0.25">
      <c r="A261">
        <v>260</v>
      </c>
      <c r="B261">
        <v>182</v>
      </c>
      <c r="C261" t="s">
        <v>45</v>
      </c>
      <c r="D261" t="s">
        <v>17</v>
      </c>
      <c r="E261" t="s">
        <v>49</v>
      </c>
      <c r="F261" t="s">
        <v>19</v>
      </c>
      <c r="G261" t="s">
        <v>26</v>
      </c>
      <c r="H261" t="s">
        <v>21</v>
      </c>
      <c r="I261" t="s">
        <v>64</v>
      </c>
      <c r="J261" t="s">
        <v>148</v>
      </c>
      <c r="K261" t="s">
        <v>23</v>
      </c>
      <c r="L261">
        <v>814</v>
      </c>
      <c r="M261" s="4">
        <v>13.580625899999999</v>
      </c>
      <c r="N261" s="4">
        <v>61.849991872002363</v>
      </c>
      <c r="O261" s="4">
        <v>-24.155034373826666</v>
      </c>
      <c r="P261" s="1" t="str">
        <f>HYPERLINK(".\sm_car_250825_2318\sm_car_250825_2318_260_Ca182TrN_MaTUR_DrSt_ode23t_1.png","figure")</f>
        <v>figure</v>
      </c>
      <c r="Q261" t="s">
        <v>15</v>
      </c>
      <c r="U261">
        <f>L261-'2022a_250824_2329'!L261</f>
        <v>382</v>
      </c>
      <c r="V261" s="12">
        <f>U261/'2022a_250824_2329'!L261</f>
        <v>0.8842592592592593</v>
      </c>
      <c r="W261">
        <f>M261-'2022a_250824_2329'!M261</f>
        <v>1.6817571999999998</v>
      </c>
      <c r="X261" s="12">
        <f>W261/'2022a_250824_2329'!M261</f>
        <v>0.14133757102471431</v>
      </c>
    </row>
    <row r="262" spans="1:24" x14ac:dyDescent="0.25">
      <c r="A262">
        <v>261</v>
      </c>
      <c r="B262">
        <v>203</v>
      </c>
      <c r="C262" t="s">
        <v>45</v>
      </c>
      <c r="D262" t="s">
        <v>17</v>
      </c>
      <c r="E262" t="s">
        <v>107</v>
      </c>
      <c r="F262" t="s">
        <v>19</v>
      </c>
      <c r="G262" t="s">
        <v>26</v>
      </c>
      <c r="H262" t="s">
        <v>21</v>
      </c>
      <c r="I262" t="s">
        <v>64</v>
      </c>
      <c r="J262" t="s">
        <v>148</v>
      </c>
      <c r="K262" t="s">
        <v>23</v>
      </c>
      <c r="L262">
        <v>738</v>
      </c>
      <c r="M262" s="4">
        <v>5.3853308999999996</v>
      </c>
      <c r="N262" s="4">
        <v>61.85416176157436</v>
      </c>
      <c r="O262" s="4">
        <v>-24.16924451632126</v>
      </c>
      <c r="P262" s="1" t="str">
        <f>HYPERLINK(".\sm_car_250825_2318\sm_car_250825_2318_261_Ca203TrN_MaTUR_DrSt_ode23t_1.png","figure")</f>
        <v>figure</v>
      </c>
      <c r="Q262" t="s">
        <v>15</v>
      </c>
      <c r="U262">
        <f>L262-'2022a_250824_2329'!L262</f>
        <v>369</v>
      </c>
      <c r="V262" s="12">
        <f>U262/'2022a_250824_2329'!L262</f>
        <v>1</v>
      </c>
      <c r="W262">
        <f>M262-'2022a_250824_2329'!M262</f>
        <v>1.2158856999999994</v>
      </c>
      <c r="X262" s="12">
        <f>W262/'2022a_250824_2329'!M262</f>
        <v>0.29161810305121633</v>
      </c>
    </row>
    <row r="263" spans="1:24" x14ac:dyDescent="0.25">
      <c r="A263">
        <v>262</v>
      </c>
      <c r="B263">
        <v>185</v>
      </c>
      <c r="C263" t="s">
        <v>45</v>
      </c>
      <c r="D263" t="s">
        <v>17</v>
      </c>
      <c r="E263" t="s">
        <v>18</v>
      </c>
      <c r="F263" t="s">
        <v>19</v>
      </c>
      <c r="G263" t="s">
        <v>26</v>
      </c>
      <c r="H263" t="s">
        <v>21</v>
      </c>
      <c r="I263" t="s">
        <v>64</v>
      </c>
      <c r="J263" t="s">
        <v>148</v>
      </c>
      <c r="K263" t="s">
        <v>23</v>
      </c>
      <c r="L263">
        <v>848</v>
      </c>
      <c r="M263" s="4">
        <v>18.9610694</v>
      </c>
      <c r="N263" s="4">
        <v>111.95845490894519</v>
      </c>
      <c r="O263" s="4">
        <v>-78.455974453428951</v>
      </c>
      <c r="P263" s="1" t="str">
        <f>HYPERLINK(".\sm_car_250825_2318\sm_car_250825_2318_262_Ca185TrN_MaTUR_DrSt_ode23t_1.png","figure")</f>
        <v>figure</v>
      </c>
      <c r="Q263" t="s">
        <v>15</v>
      </c>
      <c r="U263">
        <f>L263-'2022a_250824_2329'!L263</f>
        <v>323</v>
      </c>
      <c r="V263" s="12">
        <f>U263/'2022a_250824_2329'!L263</f>
        <v>0.61523809523809525</v>
      </c>
      <c r="W263">
        <f>M263-'2022a_250824_2329'!M263</f>
        <v>-0.3666337999999989</v>
      </c>
      <c r="X263" s="12">
        <f>W263/'2022a_250824_2329'!M263</f>
        <v>-1.896934137523381E-2</v>
      </c>
    </row>
    <row r="264" spans="1:24" x14ac:dyDescent="0.25">
      <c r="A264">
        <v>263</v>
      </c>
      <c r="B264">
        <v>188</v>
      </c>
      <c r="C264" t="s">
        <v>45</v>
      </c>
      <c r="D264" t="s">
        <v>113</v>
      </c>
      <c r="E264" t="s">
        <v>49</v>
      </c>
      <c r="F264" t="s">
        <v>19</v>
      </c>
      <c r="G264" t="s">
        <v>26</v>
      </c>
      <c r="H264" t="s">
        <v>21</v>
      </c>
      <c r="I264" t="s">
        <v>64</v>
      </c>
      <c r="J264" t="s">
        <v>148</v>
      </c>
      <c r="K264" t="s">
        <v>23</v>
      </c>
      <c r="L264">
        <v>607</v>
      </c>
      <c r="M264" s="4">
        <v>6.7376551999999998</v>
      </c>
      <c r="N264" s="4">
        <v>140.59810310862707</v>
      </c>
      <c r="O264" s="4">
        <v>-71.736218026054686</v>
      </c>
      <c r="P264" s="1" t="str">
        <f>HYPERLINK(".\sm_car_250825_2318\sm_car_250825_2318_263_Ca188TrN_MaTUR_DrSt_ode23t_1.png","figure")</f>
        <v>figure</v>
      </c>
      <c r="Q264" t="s">
        <v>15</v>
      </c>
      <c r="U264">
        <f>L264-'2022a_250824_2329'!L264</f>
        <v>79</v>
      </c>
      <c r="V264" s="12">
        <f>U264/'2022a_250824_2329'!L264</f>
        <v>0.14962121212121213</v>
      </c>
      <c r="W264">
        <f>M264-'2022a_250824_2329'!M264</f>
        <v>2.4518299999999549E-2</v>
      </c>
      <c r="X264" s="12">
        <f>W264/'2022a_250824_2329'!M264</f>
        <v>3.6522866083662838E-3</v>
      </c>
    </row>
    <row r="265" spans="1:24" x14ac:dyDescent="0.25">
      <c r="A265">
        <v>264</v>
      </c>
      <c r="B265" t="s">
        <v>94</v>
      </c>
      <c r="C265" t="s">
        <v>95</v>
      </c>
      <c r="D265" t="s">
        <v>35</v>
      </c>
      <c r="E265" t="s">
        <v>18</v>
      </c>
      <c r="F265" t="s">
        <v>19</v>
      </c>
      <c r="G265" t="s">
        <v>96</v>
      </c>
      <c r="H265" t="s">
        <v>21</v>
      </c>
      <c r="I265" t="s">
        <v>22</v>
      </c>
      <c r="J265" t="s">
        <v>148</v>
      </c>
      <c r="K265" t="s">
        <v>23</v>
      </c>
      <c r="L265">
        <v>484</v>
      </c>
      <c r="M265" s="4">
        <v>14.040521399999999</v>
      </c>
      <c r="N265" s="4">
        <v>79.153315460150807</v>
      </c>
      <c r="O265" s="4">
        <v>-0.33283980234380284</v>
      </c>
      <c r="P265" s="1" t="str">
        <f>HYPERLINK(".\sm_car_250825_2318\sm_car_Axle3_250825_2318_264_CaAxle3_000TrN_MaWOT_DrSt_ode23t_1.png","figure")</f>
        <v>figure</v>
      </c>
      <c r="Q265" t="s">
        <v>15</v>
      </c>
      <c r="U265">
        <f>L265-'2022a_250824_2329'!L265</f>
        <v>43</v>
      </c>
      <c r="V265" s="12">
        <f>U265/'2022a_250824_2329'!L265</f>
        <v>9.7505668934240369E-2</v>
      </c>
      <c r="W265">
        <f>M265-'2022a_250824_2329'!M265</f>
        <v>-0.22261740000000074</v>
      </c>
      <c r="X265" s="12">
        <f>W265/'2022a_250824_2329'!M265</f>
        <v>-1.5607882887601203E-2</v>
      </c>
    </row>
    <row r="266" spans="1:24" x14ac:dyDescent="0.25">
      <c r="A266">
        <v>265</v>
      </c>
      <c r="B266" t="s">
        <v>99</v>
      </c>
      <c r="C266" t="s">
        <v>100</v>
      </c>
      <c r="D266" t="s">
        <v>35</v>
      </c>
      <c r="E266" t="s">
        <v>18</v>
      </c>
      <c r="F266" t="s">
        <v>19</v>
      </c>
      <c r="G266" t="s">
        <v>96</v>
      </c>
      <c r="H266" t="s">
        <v>21</v>
      </c>
      <c r="I266" t="s">
        <v>22</v>
      </c>
      <c r="J266" t="s">
        <v>148</v>
      </c>
      <c r="K266" t="s">
        <v>23</v>
      </c>
      <c r="L266">
        <v>671</v>
      </c>
      <c r="M266" s="4">
        <v>16.813497999999999</v>
      </c>
      <c r="N266" s="4">
        <v>61.808071824053513</v>
      </c>
      <c r="O266" s="4">
        <v>-7.8421266841550263E-2</v>
      </c>
      <c r="P266" s="1" t="str">
        <f>HYPERLINK(".\sm_car_250825_2318\sm_car_Axle3_250825_2318_265_CaAxle3_008TrN_MaWOT_DrSt_ode23t_1.png","figure")</f>
        <v>figure</v>
      </c>
      <c r="Q266" t="s">
        <v>15</v>
      </c>
      <c r="U266">
        <f>L266-'2022a_250824_2329'!L266</f>
        <v>123</v>
      </c>
      <c r="V266" s="12">
        <f>U266/'2022a_250824_2329'!L266</f>
        <v>0.22445255474452555</v>
      </c>
      <c r="W266">
        <f>M266-'2022a_250824_2329'!M266</f>
        <v>0.46581409999999934</v>
      </c>
      <c r="X266" s="12">
        <f>W266/'2022a_250824_2329'!M266</f>
        <v>2.8494195437679056E-2</v>
      </c>
    </row>
    <row r="267" spans="1:24" x14ac:dyDescent="0.25">
      <c r="A267">
        <v>266</v>
      </c>
      <c r="B267" t="s">
        <v>97</v>
      </c>
      <c r="C267" t="s">
        <v>95</v>
      </c>
      <c r="D267" t="s">
        <v>35</v>
      </c>
      <c r="E267" t="s">
        <v>49</v>
      </c>
      <c r="F267" t="s">
        <v>19</v>
      </c>
      <c r="G267" t="s">
        <v>98</v>
      </c>
      <c r="H267" t="s">
        <v>21</v>
      </c>
      <c r="I267" t="s">
        <v>22</v>
      </c>
      <c r="J267" t="s">
        <v>148</v>
      </c>
      <c r="K267" t="s">
        <v>23</v>
      </c>
      <c r="L267">
        <v>503</v>
      </c>
      <c r="M267" s="4">
        <v>13.926339499999999</v>
      </c>
      <c r="N267" s="4">
        <v>79.266764730011261</v>
      </c>
      <c r="O267" s="4">
        <v>-0.31330432099666661</v>
      </c>
      <c r="P267" s="1" t="str">
        <f>HYPERLINK(".\sm_car_250825_2318\sm_car_Axle3_250825_2318_266_CaAxle3_003TrN_MaWOT_DrSt_ode23t_1.png","figure")</f>
        <v>figure</v>
      </c>
      <c r="Q267" t="s">
        <v>15</v>
      </c>
      <c r="U267">
        <f>L267-'2022a_250824_2329'!L267</f>
        <v>78</v>
      </c>
      <c r="V267" s="12">
        <f>U267/'2022a_250824_2329'!L267</f>
        <v>0.18352941176470589</v>
      </c>
      <c r="W267">
        <f>M267-'2022a_250824_2329'!M267</f>
        <v>1.1546666999999999</v>
      </c>
      <c r="X267" s="12">
        <f>W267/'2022a_250824_2329'!M267</f>
        <v>9.0408415411331239E-2</v>
      </c>
    </row>
    <row r="268" spans="1:24" x14ac:dyDescent="0.25">
      <c r="A268">
        <v>267</v>
      </c>
      <c r="B268" t="s">
        <v>114</v>
      </c>
      <c r="C268" t="s">
        <v>95</v>
      </c>
      <c r="D268" t="s">
        <v>35</v>
      </c>
      <c r="E268" t="s">
        <v>107</v>
      </c>
      <c r="F268" t="s">
        <v>19</v>
      </c>
      <c r="G268" t="s">
        <v>98</v>
      </c>
      <c r="H268" t="s">
        <v>21</v>
      </c>
      <c r="I268" t="s">
        <v>22</v>
      </c>
      <c r="J268" t="s">
        <v>148</v>
      </c>
      <c r="K268" t="s">
        <v>23</v>
      </c>
      <c r="L268">
        <v>516</v>
      </c>
      <c r="M268" s="4">
        <v>2.4901051000000001</v>
      </c>
      <c r="N268" s="4">
        <v>80.142415319990278</v>
      </c>
      <c r="O268" s="4">
        <v>-0.3194369303630003</v>
      </c>
      <c r="P268" s="1" t="str">
        <f>HYPERLINK(".\sm_car_250825_2318\sm_car_Axle3_250825_2318_267_CaAxle3_017TrN_MaWOT_DrSt_ode23t_1.png","figure")</f>
        <v>figure</v>
      </c>
      <c r="Q268" t="s">
        <v>15</v>
      </c>
      <c r="U268">
        <f>L268-'2022a_250824_2329'!L268</f>
        <v>89</v>
      </c>
      <c r="V268" s="12">
        <f>U268/'2022a_250824_2329'!L268</f>
        <v>0.20843091334894615</v>
      </c>
      <c r="W268">
        <f>M268-'2022a_250824_2329'!M268</f>
        <v>0.54916070000000006</v>
      </c>
      <c r="X268" s="12">
        <f>W268/'2022a_250824_2329'!M268</f>
        <v>0.28293479194973337</v>
      </c>
    </row>
    <row r="269" spans="1:24" x14ac:dyDescent="0.25">
      <c r="A269">
        <v>268</v>
      </c>
      <c r="B269" t="s">
        <v>101</v>
      </c>
      <c r="C269" t="s">
        <v>100</v>
      </c>
      <c r="D269" t="s">
        <v>35</v>
      </c>
      <c r="E269" t="s">
        <v>49</v>
      </c>
      <c r="F269" t="s">
        <v>19</v>
      </c>
      <c r="G269" t="s">
        <v>96</v>
      </c>
      <c r="H269" t="s">
        <v>102</v>
      </c>
      <c r="I269" t="s">
        <v>22</v>
      </c>
      <c r="J269" t="s">
        <v>148</v>
      </c>
      <c r="K269" t="s">
        <v>23</v>
      </c>
      <c r="L269">
        <v>464</v>
      </c>
      <c r="M269" s="4">
        <v>35.874323500000003</v>
      </c>
      <c r="N269" s="4">
        <v>44.256246952361167</v>
      </c>
      <c r="O269" s="4">
        <v>2.2754192615034023E-2</v>
      </c>
      <c r="P269" s="1" t="str">
        <f>HYPERLINK(".\sm_car_250825_2318\sm_car_Axle3_250825_2318_268_CaAxle3_010TrK_MaWOT_DrSt_ode23t_1.png","figure")</f>
        <v>figure</v>
      </c>
      <c r="Q269" t="s">
        <v>15</v>
      </c>
      <c r="U269">
        <f>L269-'2022a_250824_2329'!L269</f>
        <v>71</v>
      </c>
      <c r="V269" s="12">
        <f>U269/'2022a_250824_2329'!L269</f>
        <v>0.1806615776081425</v>
      </c>
      <c r="W269">
        <f>M269-'2022a_250824_2329'!M269</f>
        <v>3.1054252000000062</v>
      </c>
      <c r="X269" s="12">
        <f>W269/'2022a_250824_2329'!M269</f>
        <v>9.4767458202890106E-2</v>
      </c>
    </row>
    <row r="270" spans="1:24" x14ac:dyDescent="0.25">
      <c r="A270">
        <v>269</v>
      </c>
      <c r="B270" t="s">
        <v>101</v>
      </c>
      <c r="C270" t="s">
        <v>100</v>
      </c>
      <c r="D270" t="s">
        <v>35</v>
      </c>
      <c r="E270" t="s">
        <v>49</v>
      </c>
      <c r="F270" t="s">
        <v>19</v>
      </c>
      <c r="G270" t="s">
        <v>96</v>
      </c>
      <c r="H270" t="s">
        <v>102</v>
      </c>
      <c r="I270" t="s">
        <v>22</v>
      </c>
      <c r="J270" t="s">
        <v>148</v>
      </c>
      <c r="K270" t="s">
        <v>23</v>
      </c>
      <c r="L270">
        <v>458</v>
      </c>
      <c r="M270" s="4">
        <v>36.410642500000002</v>
      </c>
      <c r="N270" s="4">
        <v>44.074981549498297</v>
      </c>
      <c r="O270" s="4">
        <v>2.2513487235494969E-2</v>
      </c>
      <c r="P270" s="1" t="str">
        <f>HYPERLINK(".\sm_car_250825_2318\sm_car_Axle3_250825_2318_269_CaAxle3_010TrK_MaWOT_DrSt_ode23t_1.png","figure")</f>
        <v>figure</v>
      </c>
      <c r="Q270" t="s">
        <v>15</v>
      </c>
      <c r="U270">
        <f>L270-'2022a_250824_2329'!L270</f>
        <v>52</v>
      </c>
      <c r="V270" s="12">
        <f>U270/'2022a_250824_2329'!L270</f>
        <v>0.12807881773399016</v>
      </c>
      <c r="W270">
        <f>M270-'2022a_250824_2329'!M270</f>
        <v>3.3029380999999987</v>
      </c>
      <c r="X270" s="12">
        <f>W270/'2022a_250824_2329'!M270</f>
        <v>9.9763428478599023E-2</v>
      </c>
    </row>
    <row r="271" spans="1:24" x14ac:dyDescent="0.25">
      <c r="A271">
        <v>270</v>
      </c>
      <c r="B271" t="s">
        <v>115</v>
      </c>
      <c r="C271" t="s">
        <v>100</v>
      </c>
      <c r="D271" t="s">
        <v>35</v>
      </c>
      <c r="E271" t="s">
        <v>107</v>
      </c>
      <c r="F271" t="s">
        <v>19</v>
      </c>
      <c r="G271" t="s">
        <v>96</v>
      </c>
      <c r="H271" t="s">
        <v>102</v>
      </c>
      <c r="I271" t="s">
        <v>22</v>
      </c>
      <c r="J271" t="s">
        <v>148</v>
      </c>
      <c r="K271" t="s">
        <v>23</v>
      </c>
      <c r="L271">
        <v>455</v>
      </c>
      <c r="M271" s="4">
        <v>3.2922742</v>
      </c>
      <c r="N271" s="4">
        <v>48.111366982271122</v>
      </c>
      <c r="O271" s="4">
        <v>2.6377145274550158E-2</v>
      </c>
      <c r="P271" s="1" t="str">
        <f>HYPERLINK(".\sm_car_250825_2318\sm_car_Axle3_250825_2318_270_CaAxle3_019TrK_MaWOT_DrSt_ode23t_1.png","figure")</f>
        <v>figure</v>
      </c>
      <c r="Q271" t="s">
        <v>15</v>
      </c>
      <c r="U271">
        <f>L271-'2022a_250824_2329'!L271</f>
        <v>57</v>
      </c>
      <c r="V271" s="12">
        <f>U271/'2022a_250824_2329'!L271</f>
        <v>0.14321608040201006</v>
      </c>
      <c r="W271">
        <f>M271-'2022a_250824_2329'!M271</f>
        <v>0.44743680000000019</v>
      </c>
      <c r="X271" s="12">
        <f>W271/'2022a_250824_2329'!M271</f>
        <v>0.157280271976177</v>
      </c>
    </row>
    <row r="272" spans="1:24" x14ac:dyDescent="0.25">
      <c r="A272">
        <v>271</v>
      </c>
      <c r="B272" t="s">
        <v>115</v>
      </c>
      <c r="C272" t="s">
        <v>100</v>
      </c>
      <c r="D272" t="s">
        <v>35</v>
      </c>
      <c r="E272" t="s">
        <v>107</v>
      </c>
      <c r="F272" t="s">
        <v>19</v>
      </c>
      <c r="G272" t="s">
        <v>96</v>
      </c>
      <c r="H272" t="s">
        <v>102</v>
      </c>
      <c r="I272" t="s">
        <v>22</v>
      </c>
      <c r="J272" t="s">
        <v>148</v>
      </c>
      <c r="K272" t="s">
        <v>23</v>
      </c>
      <c r="L272">
        <v>456</v>
      </c>
      <c r="M272" s="4">
        <v>3.2110981999999999</v>
      </c>
      <c r="N272" s="4">
        <v>48.048135006863383</v>
      </c>
      <c r="O272" s="4">
        <v>2.628086685539574E-2</v>
      </c>
      <c r="P272" s="1" t="str">
        <f>HYPERLINK(".\sm_car_250825_2318\sm_car_Axle3_250825_2318_271_CaAxle3_019TrK_MaWOT_DrSt_ode23t_1.png","figure")</f>
        <v>figure</v>
      </c>
      <c r="Q272" t="s">
        <v>15</v>
      </c>
      <c r="U272">
        <f>L272-'2022a_250824_2329'!L272</f>
        <v>55</v>
      </c>
      <c r="V272" s="12">
        <f>U272/'2022a_250824_2329'!L272</f>
        <v>0.13715710723192021</v>
      </c>
      <c r="W272">
        <f>M272-'2022a_250824_2329'!M272</f>
        <v>0.32294009999999984</v>
      </c>
      <c r="X272" s="12">
        <f>W272/'2022a_250824_2329'!M272</f>
        <v>0.11181524307827879</v>
      </c>
    </row>
    <row r="273" spans="1:24" x14ac:dyDescent="0.25">
      <c r="A273">
        <v>272</v>
      </c>
      <c r="B273" t="s">
        <v>115</v>
      </c>
      <c r="C273" t="s">
        <v>100</v>
      </c>
      <c r="D273" t="s">
        <v>35</v>
      </c>
      <c r="E273" t="s">
        <v>107</v>
      </c>
      <c r="F273" t="s">
        <v>19</v>
      </c>
      <c r="G273" t="s">
        <v>96</v>
      </c>
      <c r="H273" t="s">
        <v>102</v>
      </c>
      <c r="I273" t="s">
        <v>53</v>
      </c>
      <c r="J273" t="s">
        <v>148</v>
      </c>
      <c r="K273" t="s">
        <v>23</v>
      </c>
      <c r="L273">
        <v>710</v>
      </c>
      <c r="M273" s="4">
        <v>4.8334954999999997</v>
      </c>
      <c r="N273" s="4">
        <v>255.27375159983501</v>
      </c>
      <c r="O273" s="4">
        <v>-0.11586018613495153</v>
      </c>
      <c r="P273" s="1" t="str">
        <f>HYPERLINK(".\sm_car_250825_2318\sm_car_Axle3_250825_2318_272_CaAxle3_019TrK_MaDLC_DrSt_ode23t_1.png","figure")</f>
        <v>figure</v>
      </c>
      <c r="Q273" t="s">
        <v>15</v>
      </c>
      <c r="U273">
        <f>L273-'2022a_250824_2329'!L273</f>
        <v>63</v>
      </c>
      <c r="V273" s="12">
        <f>U273/'2022a_250824_2329'!L273</f>
        <v>9.7372488408037097E-2</v>
      </c>
      <c r="W273">
        <f>M273-'2022a_250824_2329'!M273</f>
        <v>0.24512860000000014</v>
      </c>
      <c r="X273" s="12">
        <f>W273/'2022a_250824_2329'!M273</f>
        <v>5.3423931726122462E-2</v>
      </c>
    </row>
    <row r="274" spans="1:24" x14ac:dyDescent="0.25">
      <c r="A274">
        <v>273</v>
      </c>
      <c r="B274" t="s">
        <v>115</v>
      </c>
      <c r="C274" t="s">
        <v>100</v>
      </c>
      <c r="D274" t="s">
        <v>35</v>
      </c>
      <c r="E274" t="s">
        <v>107</v>
      </c>
      <c r="F274" t="s">
        <v>19</v>
      </c>
      <c r="G274" t="s">
        <v>96</v>
      </c>
      <c r="H274" t="s">
        <v>102</v>
      </c>
      <c r="I274" t="s">
        <v>53</v>
      </c>
      <c r="J274" t="s">
        <v>148</v>
      </c>
      <c r="K274" t="s">
        <v>23</v>
      </c>
      <c r="L274">
        <v>841</v>
      </c>
      <c r="M274" s="4">
        <v>4.7908713000000001</v>
      </c>
      <c r="N274" s="4">
        <v>254.14930153549636</v>
      </c>
      <c r="O274" s="4">
        <v>-0.11482650723980559</v>
      </c>
      <c r="P274" s="1" t="str">
        <f>HYPERLINK(".\sm_car_250825_2318\sm_car_Axle3_250825_2318_273_CaAxle3_019TrK_MaDLC_DrSt_ode23t_1.png","figure")</f>
        <v>figure</v>
      </c>
      <c r="Q274" t="s">
        <v>15</v>
      </c>
      <c r="U274">
        <f>L274-'2022a_250824_2329'!L274</f>
        <v>57</v>
      </c>
      <c r="V274" s="12">
        <f>U274/'2022a_250824_2329'!L274</f>
        <v>7.2704081632653059E-2</v>
      </c>
      <c r="W274">
        <f>M274-'2022a_250824_2329'!M274</f>
        <v>-6.8635999999999697E-3</v>
      </c>
      <c r="X274" s="12">
        <f>W274/'2022a_250824_2329'!M274</f>
        <v>-1.430591756955969E-3</v>
      </c>
    </row>
    <row r="275" spans="1:24" x14ac:dyDescent="0.25">
      <c r="A275">
        <v>274</v>
      </c>
      <c r="B275" t="s">
        <v>115</v>
      </c>
      <c r="C275" t="s">
        <v>100</v>
      </c>
      <c r="D275" t="s">
        <v>35</v>
      </c>
      <c r="E275" t="s">
        <v>107</v>
      </c>
      <c r="F275" t="s">
        <v>19</v>
      </c>
      <c r="G275" t="s">
        <v>96</v>
      </c>
      <c r="H275" t="s">
        <v>102</v>
      </c>
      <c r="I275" t="s">
        <v>53</v>
      </c>
      <c r="J275" t="s">
        <v>148</v>
      </c>
      <c r="K275" t="s">
        <v>23</v>
      </c>
      <c r="L275">
        <v>678</v>
      </c>
      <c r="M275" s="4">
        <v>4.6965531</v>
      </c>
      <c r="N275" s="4">
        <v>254.14998457845724</v>
      </c>
      <c r="O275" s="4">
        <v>-0.11187450214371175</v>
      </c>
      <c r="P275" s="1" t="str">
        <f>HYPERLINK(".\sm_car_250825_2318\sm_car_Axle3_250825_2318_274_CaAxle3_019TrK_MaDLC_DrSt_ode23t_1.png","figure")</f>
        <v>figure</v>
      </c>
      <c r="Q275" t="s">
        <v>15</v>
      </c>
      <c r="U275">
        <f>L275-'2022a_250824_2329'!L275</f>
        <v>54</v>
      </c>
      <c r="V275" s="12">
        <f>U275/'2022a_250824_2329'!L275</f>
        <v>8.6538461538461536E-2</v>
      </c>
      <c r="W275">
        <f>M275-'2022a_250824_2329'!M275</f>
        <v>0.25163750000000018</v>
      </c>
      <c r="X275" s="12">
        <f>W275/'2022a_250824_2329'!M275</f>
        <v>5.6612436015658026E-2</v>
      </c>
    </row>
    <row r="276" spans="1:24" x14ac:dyDescent="0.25">
      <c r="A276">
        <v>275</v>
      </c>
      <c r="B276" t="s">
        <v>115</v>
      </c>
      <c r="C276" t="s">
        <v>100</v>
      </c>
      <c r="D276" t="s">
        <v>35</v>
      </c>
      <c r="E276" t="s">
        <v>107</v>
      </c>
      <c r="F276" t="s">
        <v>19</v>
      </c>
      <c r="G276" t="s">
        <v>96</v>
      </c>
      <c r="H276" t="s">
        <v>102</v>
      </c>
      <c r="I276" t="s">
        <v>53</v>
      </c>
      <c r="J276" t="s">
        <v>148</v>
      </c>
      <c r="K276" t="s">
        <v>23</v>
      </c>
      <c r="L276">
        <v>894</v>
      </c>
      <c r="M276" s="4">
        <v>5.1787128999999998</v>
      </c>
      <c r="N276" s="4">
        <v>253.76433131607394</v>
      </c>
      <c r="O276" s="4">
        <v>-0.10659125020249771</v>
      </c>
      <c r="P276" s="1" t="str">
        <f>HYPERLINK(".\sm_car_250825_2318\sm_car_Axle3_250825_2318_275_CaAxle3_019TrK_MaDLC_DrSt_ode23t_1.png","figure")</f>
        <v>figure</v>
      </c>
      <c r="Q276" t="s">
        <v>15</v>
      </c>
      <c r="U276">
        <f>L276-'2022a_250824_2329'!L276</f>
        <v>59</v>
      </c>
      <c r="V276" s="12">
        <f>U276/'2022a_250824_2329'!L276</f>
        <v>7.0658682634730532E-2</v>
      </c>
      <c r="W276">
        <f>M276-'2022a_250824_2329'!M276</f>
        <v>0.34716089999999955</v>
      </c>
      <c r="X276" s="12">
        <f>W276/'2022a_250824_2329'!M276</f>
        <v>7.1852874604267841E-2</v>
      </c>
    </row>
    <row r="277" spans="1:24" x14ac:dyDescent="0.25">
      <c r="A277">
        <v>276</v>
      </c>
      <c r="B277" t="s">
        <v>138</v>
      </c>
      <c r="C277" t="s">
        <v>139</v>
      </c>
      <c r="D277" t="s">
        <v>35</v>
      </c>
      <c r="E277" t="s">
        <v>49</v>
      </c>
      <c r="F277" t="s">
        <v>19</v>
      </c>
      <c r="G277" t="s">
        <v>96</v>
      </c>
      <c r="H277" t="s">
        <v>102</v>
      </c>
      <c r="I277" t="s">
        <v>22</v>
      </c>
      <c r="J277" t="s">
        <v>148</v>
      </c>
      <c r="K277" t="s">
        <v>23</v>
      </c>
      <c r="L277">
        <v>434</v>
      </c>
      <c r="M277" s="4">
        <v>3.0694422000000001</v>
      </c>
      <c r="N277" s="4">
        <v>136.79261181188696</v>
      </c>
      <c r="O277" s="4">
        <v>0.19619672142879871</v>
      </c>
      <c r="P277" s="1" t="str">
        <f>HYPERLINK(".\sm_car_250825_2318\sm_car_Axle3_250825_2318_276_CaAxle3_023TrK_MaWOT_DrSt_ode23t_1.png","figure")</f>
        <v>figure</v>
      </c>
      <c r="Q277" t="s">
        <v>15</v>
      </c>
      <c r="U277">
        <f>L277-'2022a_250824_2329'!L277</f>
        <v>57</v>
      </c>
      <c r="V277" s="12">
        <f>U277/'2022a_250824_2329'!L277</f>
        <v>0.15119363395225463</v>
      </c>
      <c r="W277">
        <f>M277-'2022a_250824_2329'!M277</f>
        <v>0.17936880000000022</v>
      </c>
      <c r="X277" s="12">
        <f>W277/'2022a_250824_2329'!M277</f>
        <v>6.2063752429263638E-2</v>
      </c>
    </row>
  </sheetData>
  <autoFilter ref="A1:Q277" xr:uid="{4019E181-2C38-4D5F-9276-5D6C83FEED32}"/>
  <conditionalFormatting sqref="V2:V27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{40959481-276B-4B02-A768-5E19834F1D16}</x14:id>
        </ext>
      </extLst>
    </cfRule>
  </conditionalFormatting>
  <conditionalFormatting sqref="X2:X27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{F04C2E34-A801-4362-8AE7-5E835E33A8F8}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959481-276B-4B02-A768-5E19834F1D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V2:V277</xm:sqref>
        </x14:conditionalFormatting>
        <x14:conditionalFormatting xmlns:xm="http://schemas.microsoft.com/office/excel/2006/main">
          <x14:cfRule type="dataBar" id="{F04C2E34-A801-4362-8AE7-5E835E33A8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X2:X277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B0AA2-666F-48E8-BB12-587418F946AA}">
  <dimension ref="A1:S279"/>
  <sheetViews>
    <sheetView workbookViewId="0">
      <selection activeCell="M1" sqref="M1:M1048576"/>
    </sheetView>
  </sheetViews>
  <sheetFormatPr defaultRowHeight="15" x14ac:dyDescent="0.25"/>
  <cols>
    <col min="2" max="2" width="10" bestFit="1" customWidth="1"/>
    <col min="3" max="3" width="14" bestFit="1" customWidth="1"/>
    <col min="4" max="4" width="12.7109375" bestFit="1" customWidth="1"/>
    <col min="5" max="5" width="11.85546875" bestFit="1" customWidth="1"/>
    <col min="6" max="6" width="11.42578125" bestFit="1" customWidth="1"/>
    <col min="7" max="7" width="16.85546875" bestFit="1" customWidth="1"/>
    <col min="8" max="8" width="8.5703125" bestFit="1" customWidth="1"/>
    <col min="9" max="9" width="27.140625" bestFit="1" customWidth="1"/>
    <col min="10" max="10" width="12.42578125" bestFit="1" customWidth="1"/>
    <col min="11" max="11" width="7.140625" bestFit="1" customWidth="1"/>
    <col min="12" max="12" width="7.28515625" bestFit="1" customWidth="1"/>
    <col min="13" max="13" width="6.5703125" bestFit="1" customWidth="1"/>
    <col min="14" max="14" width="7.5703125" bestFit="1" customWidth="1"/>
    <col min="15" max="15" width="8.28515625" bestFit="1" customWidth="1"/>
    <col min="16" max="16" width="6.5703125" bestFit="1" customWidth="1"/>
    <col min="17" max="17" width="4.85546875" bestFit="1" customWidth="1"/>
  </cols>
  <sheetData>
    <row r="1" spans="1:19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6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S1" s="13" t="s">
        <v>180</v>
      </c>
    </row>
    <row r="2" spans="1:19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148</v>
      </c>
      <c r="K2" t="s">
        <v>23</v>
      </c>
      <c r="L2">
        <v>415</v>
      </c>
      <c r="M2" s="10">
        <v>7.0974159999999999</v>
      </c>
      <c r="N2" s="10">
        <v>230.06110401850631</v>
      </c>
      <c r="O2" s="10">
        <v>-7.7390488127199323E-3</v>
      </c>
      <c r="P2" s="1" t="str">
        <f>HYPERLINK(".\sm_car_250915_0045\sm_car_250915_0045_001_Ca000TrN_MaWOT_DrSt_ode23t.png","figure")</f>
        <v>figure</v>
      </c>
      <c r="Q2" t="s">
        <v>15</v>
      </c>
      <c r="S2" s="2" t="s">
        <v>116</v>
      </c>
    </row>
    <row r="3" spans="1:19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24</v>
      </c>
      <c r="J3" t="s">
        <v>148</v>
      </c>
      <c r="K3" t="s">
        <v>23</v>
      </c>
      <c r="L3">
        <v>518</v>
      </c>
      <c r="M3" s="10">
        <v>7.0833031999999996</v>
      </c>
      <c r="N3" s="10">
        <v>70.867045635634994</v>
      </c>
      <c r="O3" s="10">
        <v>-0.53370171597824634</v>
      </c>
      <c r="P3" s="1" t="str">
        <f>HYPERLINK(".\sm_car_250915_0045\sm_car_250915_0045_002_Ca000TrN_MaLSS_DrSt_ode23t.png","figure")</f>
        <v>figure</v>
      </c>
      <c r="Q3" t="s">
        <v>15</v>
      </c>
      <c r="S3" s="2" t="s">
        <v>117</v>
      </c>
    </row>
    <row r="4" spans="1:19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21</v>
      </c>
      <c r="I4" t="s">
        <v>22</v>
      </c>
      <c r="J4" t="s">
        <v>148</v>
      </c>
      <c r="K4" t="s">
        <v>23</v>
      </c>
      <c r="L4">
        <v>410</v>
      </c>
      <c r="M4" s="10">
        <v>7.2818503000000003</v>
      </c>
      <c r="N4" s="10">
        <v>228.77428506320737</v>
      </c>
      <c r="O4" s="10">
        <v>-1.9777422833945978E-2</v>
      </c>
      <c r="P4" s="1" t="str">
        <f>HYPERLINK(".\sm_car_250915_0045\sm_car_250915_0045_003_Ca001TrN_MaWOT_DrSt_ode23t.png","figure")</f>
        <v>figure</v>
      </c>
      <c r="Q4" t="s">
        <v>15</v>
      </c>
      <c r="S4" s="2" t="s">
        <v>164</v>
      </c>
    </row>
    <row r="5" spans="1:19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25</v>
      </c>
      <c r="H5" t="s">
        <v>21</v>
      </c>
      <c r="I5" t="s">
        <v>24</v>
      </c>
      <c r="J5" t="s">
        <v>148</v>
      </c>
      <c r="K5" t="s">
        <v>23</v>
      </c>
      <c r="L5">
        <v>528</v>
      </c>
      <c r="M5" s="10">
        <v>8.5758354000000008</v>
      </c>
      <c r="N5" s="10">
        <v>70.586466470151947</v>
      </c>
      <c r="O5" s="10">
        <v>-0.53087055111701098</v>
      </c>
      <c r="P5" s="1" t="str">
        <f>HYPERLINK(".\sm_car_250915_0045\sm_car_250915_0045_004_Ca001TrN_MaLSS_DrSt_ode23t.png","figure")</f>
        <v>figure</v>
      </c>
      <c r="Q5" t="s">
        <v>15</v>
      </c>
      <c r="S5" t="s">
        <v>181</v>
      </c>
    </row>
    <row r="6" spans="1:19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26</v>
      </c>
      <c r="H6" t="s">
        <v>21</v>
      </c>
      <c r="I6" t="s">
        <v>22</v>
      </c>
      <c r="J6" t="s">
        <v>148</v>
      </c>
      <c r="K6" t="s">
        <v>23</v>
      </c>
      <c r="L6">
        <v>450</v>
      </c>
      <c r="M6" s="10">
        <v>11.621012800000001</v>
      </c>
      <c r="N6" s="10">
        <v>229.04489247590635</v>
      </c>
      <c r="O6" s="10">
        <v>5.0433329842262536E-2</v>
      </c>
      <c r="P6" s="1" t="str">
        <f>HYPERLINK(".\sm_car_250915_0045\sm_car_250915_0045_005_Ca002TrN_MaWOT_DrSt_ode23t.png","figure")</f>
        <v>figure</v>
      </c>
      <c r="Q6" t="s">
        <v>15</v>
      </c>
    </row>
    <row r="7" spans="1:19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26</v>
      </c>
      <c r="H7" t="s">
        <v>21</v>
      </c>
      <c r="I7" t="s">
        <v>24</v>
      </c>
      <c r="J7" t="s">
        <v>148</v>
      </c>
      <c r="K7" t="s">
        <v>23</v>
      </c>
      <c r="L7">
        <v>532</v>
      </c>
      <c r="M7" s="10">
        <v>11.8234049</v>
      </c>
      <c r="N7" s="10">
        <v>70.58574625983799</v>
      </c>
      <c r="O7" s="10">
        <v>-0.52514553335058434</v>
      </c>
      <c r="P7" s="1" t="str">
        <f>HYPERLINK(".\sm_car_250915_0045\sm_car_250915_0045_006_Ca002TrN_MaLSS_DrSt_ode23t.png","figure")</f>
        <v>figure</v>
      </c>
      <c r="Q7" t="s">
        <v>15</v>
      </c>
    </row>
    <row r="8" spans="1:19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27</v>
      </c>
      <c r="H8" t="s">
        <v>21</v>
      </c>
      <c r="I8" t="s">
        <v>22</v>
      </c>
      <c r="J8" t="s">
        <v>148</v>
      </c>
      <c r="K8" t="s">
        <v>23</v>
      </c>
      <c r="L8">
        <v>465</v>
      </c>
      <c r="M8" s="10">
        <v>11.5856561</v>
      </c>
      <c r="N8" s="10">
        <v>228.50098544368885</v>
      </c>
      <c r="O8" s="10">
        <v>4.4147618957668229E-2</v>
      </c>
      <c r="P8" s="1" t="str">
        <f>HYPERLINK(".\sm_car_250915_0045\sm_car_250915_0045_007_Ca003TrN_MaWOT_DrSt_ode23t.png","figure")</f>
        <v>figure</v>
      </c>
      <c r="Q8" t="s">
        <v>15</v>
      </c>
    </row>
    <row r="9" spans="1:19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27</v>
      </c>
      <c r="H9" t="s">
        <v>21</v>
      </c>
      <c r="I9" t="s">
        <v>24</v>
      </c>
      <c r="J9" t="s">
        <v>148</v>
      </c>
      <c r="K9" t="s">
        <v>23</v>
      </c>
      <c r="L9">
        <v>542</v>
      </c>
      <c r="M9" s="10">
        <v>11.328674899999999</v>
      </c>
      <c r="N9" s="10">
        <v>70.449603149744661</v>
      </c>
      <c r="O9" s="10">
        <v>-0.520344278228144</v>
      </c>
      <c r="P9" s="1" t="str">
        <f>HYPERLINK(".\sm_car_250915_0045\sm_car_250915_0045_008_Ca003TrN_MaLSS_DrSt_ode23t.png","figure")</f>
        <v>figure</v>
      </c>
      <c r="Q9" t="s">
        <v>15</v>
      </c>
    </row>
    <row r="10" spans="1:19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20</v>
      </c>
      <c r="H10" t="s">
        <v>21</v>
      </c>
      <c r="I10" t="s">
        <v>22</v>
      </c>
      <c r="J10" t="s">
        <v>148</v>
      </c>
      <c r="K10" t="s">
        <v>23</v>
      </c>
      <c r="L10">
        <v>1109</v>
      </c>
      <c r="M10" s="10">
        <v>11.010206200000001</v>
      </c>
      <c r="N10" s="10">
        <v>230.10462016195655</v>
      </c>
      <c r="O10" s="10">
        <v>-8.093147685615254E-3</v>
      </c>
      <c r="P10" s="1" t="str">
        <f>HYPERLINK(".\sm_car_250915_0045\sm_car_250915_0045_009_Ca004TrN_MaWOT_DrSt_ode23t.png","figure")</f>
        <v>figure</v>
      </c>
      <c r="Q10" t="s">
        <v>15</v>
      </c>
    </row>
    <row r="11" spans="1:19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20</v>
      </c>
      <c r="H11" t="s">
        <v>21</v>
      </c>
      <c r="I11" t="s">
        <v>24</v>
      </c>
      <c r="J11" t="s">
        <v>148</v>
      </c>
      <c r="K11" t="s">
        <v>23</v>
      </c>
      <c r="L11">
        <v>1235</v>
      </c>
      <c r="M11" s="10">
        <v>12.5968342</v>
      </c>
      <c r="N11" s="10">
        <v>70.878885401069837</v>
      </c>
      <c r="O11" s="10">
        <v>-0.53647311138677611</v>
      </c>
      <c r="P11" s="1" t="str">
        <f>HYPERLINK(".\sm_car_250915_0045\sm_car_250915_0045_010_Ca004TrN_MaLSS_DrSt_ode23t.png","figure")</f>
        <v>figure</v>
      </c>
      <c r="Q11" t="s">
        <v>15</v>
      </c>
    </row>
    <row r="12" spans="1:19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25</v>
      </c>
      <c r="H12" t="s">
        <v>21</v>
      </c>
      <c r="I12" t="s">
        <v>22</v>
      </c>
      <c r="J12" t="s">
        <v>148</v>
      </c>
      <c r="K12" t="s">
        <v>23</v>
      </c>
      <c r="L12">
        <v>1087</v>
      </c>
      <c r="M12" s="10">
        <v>12.0353137</v>
      </c>
      <c r="N12" s="10">
        <v>229.06609425795125</v>
      </c>
      <c r="O12" s="10">
        <v>-1.7284026526695306E-2</v>
      </c>
      <c r="P12" s="1" t="str">
        <f>HYPERLINK(".\sm_car_250915_0045\sm_car_250915_0045_011_Ca005TrN_MaWOT_DrSt_ode23t.png","figure")</f>
        <v>figure</v>
      </c>
      <c r="Q12" t="s">
        <v>15</v>
      </c>
    </row>
    <row r="13" spans="1:19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25</v>
      </c>
      <c r="H13" t="s">
        <v>21</v>
      </c>
      <c r="I13" t="s">
        <v>24</v>
      </c>
      <c r="J13" t="s">
        <v>148</v>
      </c>
      <c r="K13" t="s">
        <v>23</v>
      </c>
      <c r="L13">
        <v>1227</v>
      </c>
      <c r="M13" s="10">
        <v>13.249831199999999</v>
      </c>
      <c r="N13" s="10">
        <v>70.595644045533476</v>
      </c>
      <c r="O13" s="10">
        <v>-0.53019226207293912</v>
      </c>
      <c r="P13" s="1" t="str">
        <f>HYPERLINK(".\sm_car_250915_0045\sm_car_250915_0045_012_Ca005TrN_MaLSS_DrSt_ode23t.png","figure")</f>
        <v>figure</v>
      </c>
      <c r="Q13" t="s">
        <v>15</v>
      </c>
    </row>
    <row r="14" spans="1:19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26</v>
      </c>
      <c r="H14" t="s">
        <v>21</v>
      </c>
      <c r="I14" t="s">
        <v>22</v>
      </c>
      <c r="J14" t="s">
        <v>148</v>
      </c>
      <c r="K14" t="s">
        <v>23</v>
      </c>
      <c r="L14">
        <v>1205</v>
      </c>
      <c r="M14" s="10">
        <v>14.743015700000001</v>
      </c>
      <c r="N14" s="10">
        <v>229.12763581184933</v>
      </c>
      <c r="O14" s="10">
        <v>4.638102679254559E-2</v>
      </c>
      <c r="P14" s="1" t="str">
        <f>HYPERLINK(".\sm_car_250915_0045\sm_car_250915_0045_013_Ca006TrN_MaWOT_DrSt_ode23t.png","figure")</f>
        <v>figure</v>
      </c>
      <c r="Q14" t="s">
        <v>15</v>
      </c>
    </row>
    <row r="15" spans="1:19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26</v>
      </c>
      <c r="H15" t="s">
        <v>21</v>
      </c>
      <c r="I15" t="s">
        <v>24</v>
      </c>
      <c r="J15" t="s">
        <v>148</v>
      </c>
      <c r="K15" t="s">
        <v>23</v>
      </c>
      <c r="L15">
        <v>1304</v>
      </c>
      <c r="M15" s="10">
        <v>15.251165200000001</v>
      </c>
      <c r="N15" s="10">
        <v>70.593626680372964</v>
      </c>
      <c r="O15" s="10">
        <v>-0.52889524811926758</v>
      </c>
      <c r="P15" s="1" t="str">
        <f>HYPERLINK(".\sm_car_250915_0045\sm_car_250915_0045_014_Ca006TrN_MaLSS_DrSt_ode23t.png","figure")</f>
        <v>figure</v>
      </c>
      <c r="Q15" t="s">
        <v>15</v>
      </c>
    </row>
    <row r="16" spans="1:19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27</v>
      </c>
      <c r="H16" t="s">
        <v>21</v>
      </c>
      <c r="I16" t="s">
        <v>22</v>
      </c>
      <c r="J16" t="s">
        <v>148</v>
      </c>
      <c r="K16" t="s">
        <v>23</v>
      </c>
      <c r="L16">
        <v>1195</v>
      </c>
      <c r="M16" s="10">
        <v>16.383898500000001</v>
      </c>
      <c r="N16" s="10">
        <v>228.71656022656805</v>
      </c>
      <c r="O16" s="10">
        <v>4.8619103506078822E-2</v>
      </c>
      <c r="P16" s="1" t="str">
        <f>HYPERLINK(".\sm_car_250915_0045\sm_car_250915_0045_015_Ca007TrN_MaWOT_DrSt_ode23t.png","figure")</f>
        <v>figure</v>
      </c>
      <c r="Q16" t="s">
        <v>15</v>
      </c>
    </row>
    <row r="17" spans="1:17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27</v>
      </c>
      <c r="H17" t="s">
        <v>21</v>
      </c>
      <c r="I17" t="s">
        <v>24</v>
      </c>
      <c r="J17" t="s">
        <v>148</v>
      </c>
      <c r="K17" t="s">
        <v>23</v>
      </c>
      <c r="L17">
        <v>1260</v>
      </c>
      <c r="M17" s="10">
        <v>15.9770959</v>
      </c>
      <c r="N17" s="10">
        <v>70.462916326953888</v>
      </c>
      <c r="O17" s="10">
        <v>-0.52380853237485692</v>
      </c>
      <c r="P17" s="1" t="str">
        <f>HYPERLINK(".\sm_car_250915_0045\sm_car_250915_0045_016_Ca007TrN_MaLSS_DrSt_ode23t.png","figure")</f>
        <v>figure</v>
      </c>
      <c r="Q17" t="s">
        <v>15</v>
      </c>
    </row>
    <row r="18" spans="1:17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148</v>
      </c>
      <c r="K18" t="s">
        <v>23</v>
      </c>
      <c r="L18">
        <v>426</v>
      </c>
      <c r="M18" s="10">
        <v>5.8857423000000004</v>
      </c>
      <c r="N18" s="10">
        <v>230.68439542009924</v>
      </c>
      <c r="O18" s="10">
        <v>-7.6640821119501587E-2</v>
      </c>
      <c r="P18" s="1" t="str">
        <f>HYPERLINK(".\sm_car_250915_0045\sm_car_250915_0045_017_Ca016TrN_MaWOT_DrSt_ode23t.png","figure")</f>
        <v>figure</v>
      </c>
      <c r="Q18" t="s">
        <v>15</v>
      </c>
    </row>
    <row r="19" spans="1:17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20</v>
      </c>
      <c r="H19" t="s">
        <v>21</v>
      </c>
      <c r="I19" t="s">
        <v>24</v>
      </c>
      <c r="J19" t="s">
        <v>148</v>
      </c>
      <c r="K19" t="s">
        <v>23</v>
      </c>
      <c r="L19">
        <v>493</v>
      </c>
      <c r="M19" s="10">
        <v>5.7399794000000002</v>
      </c>
      <c r="N19" s="10">
        <v>71.14000548608891</v>
      </c>
      <c r="O19" s="10">
        <v>-2.1729906981983984E-2</v>
      </c>
      <c r="P19" s="1" t="str">
        <f>HYPERLINK(".\sm_car_250915_0045\sm_car_250915_0045_018_Ca016TrN_MaLSS_DrSt_ode23t.png","figure")</f>
        <v>figure</v>
      </c>
      <c r="Q19" t="s">
        <v>15</v>
      </c>
    </row>
    <row r="20" spans="1:17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148</v>
      </c>
      <c r="K20" t="s">
        <v>23</v>
      </c>
      <c r="L20">
        <v>417</v>
      </c>
      <c r="M20" s="10">
        <v>7.0431181</v>
      </c>
      <c r="N20" s="10">
        <v>229.99843320463484</v>
      </c>
      <c r="O20" s="10">
        <v>3.2226905071039896E-2</v>
      </c>
      <c r="P20" s="1" t="str">
        <f>HYPERLINK(".\sm_car_250915_0045\sm_car_250915_0045_019_Ca032TrN_MaWOT_DrSt_ode23t.png","figure")</f>
        <v>figure</v>
      </c>
      <c r="Q20" t="s">
        <v>15</v>
      </c>
    </row>
    <row r="21" spans="1:17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20</v>
      </c>
      <c r="H21" t="s">
        <v>21</v>
      </c>
      <c r="I21" t="s">
        <v>24</v>
      </c>
      <c r="J21" t="s">
        <v>148</v>
      </c>
      <c r="K21" t="s">
        <v>23</v>
      </c>
      <c r="L21">
        <v>520</v>
      </c>
      <c r="M21" s="10">
        <v>7.7631249999999996</v>
      </c>
      <c r="N21" s="10">
        <v>70.887713259785215</v>
      </c>
      <c r="O21" s="10">
        <v>-0.51627078539884252</v>
      </c>
      <c r="P21" s="1" t="str">
        <f>HYPERLINK(".\sm_car_250915_0045\sm_car_250915_0045_020_Ca032TrN_MaLSS_DrSt_ode23t.png","figure")</f>
        <v>figure</v>
      </c>
      <c r="Q21" t="s">
        <v>15</v>
      </c>
    </row>
    <row r="22" spans="1:17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148</v>
      </c>
      <c r="K22" t="s">
        <v>23</v>
      </c>
      <c r="L22">
        <v>415</v>
      </c>
      <c r="M22" s="10">
        <v>7.3778439999999996</v>
      </c>
      <c r="N22" s="10">
        <v>230.02652145202666</v>
      </c>
      <c r="O22" s="10">
        <v>-2.0186740564017418E-2</v>
      </c>
      <c r="P22" s="1" t="str">
        <f>HYPERLINK(".\sm_car_250915_0045\sm_car_250915_0045_021_Ca048TrN_MaWOT_DrSt_ode23t.png","figure")</f>
        <v>figure</v>
      </c>
      <c r="Q22" t="s">
        <v>15</v>
      </c>
    </row>
    <row r="23" spans="1:17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20</v>
      </c>
      <c r="H23" t="s">
        <v>21</v>
      </c>
      <c r="I23" t="s">
        <v>24</v>
      </c>
      <c r="J23" t="s">
        <v>148</v>
      </c>
      <c r="K23" t="s">
        <v>23</v>
      </c>
      <c r="L23">
        <v>542</v>
      </c>
      <c r="M23" s="10">
        <v>8.9898773999999992</v>
      </c>
      <c r="N23" s="10">
        <v>70.879905994443504</v>
      </c>
      <c r="O23" s="10">
        <v>-0.52555182070837725</v>
      </c>
      <c r="P23" s="1" t="str">
        <f>HYPERLINK(".\sm_car_250915_0045\sm_car_250915_0045_022_Ca048TrN_MaLSS_DrSt_ode23t.png","figure")</f>
        <v>figure</v>
      </c>
      <c r="Q23" t="s">
        <v>15</v>
      </c>
    </row>
    <row r="24" spans="1:17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 t="s">
        <v>148</v>
      </c>
      <c r="K24" t="s">
        <v>23</v>
      </c>
      <c r="L24">
        <v>406</v>
      </c>
      <c r="M24" s="10">
        <v>7.7645885999999997</v>
      </c>
      <c r="N24" s="10">
        <v>230.20418825486104</v>
      </c>
      <c r="O24" s="10">
        <v>7.1719658950238144E-3</v>
      </c>
      <c r="P24" s="1" t="str">
        <f>HYPERLINK(".\sm_car_250915_0045\sm_car_250915_0045_023_Ca064TrN_MaWOT_DrSt_ode23t.png","figure")</f>
        <v>figure</v>
      </c>
      <c r="Q24" t="s">
        <v>15</v>
      </c>
    </row>
    <row r="25" spans="1:17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20</v>
      </c>
      <c r="H25" t="s">
        <v>21</v>
      </c>
      <c r="I25" t="s">
        <v>24</v>
      </c>
      <c r="J25" t="s">
        <v>148</v>
      </c>
      <c r="K25" t="s">
        <v>23</v>
      </c>
      <c r="L25">
        <v>511</v>
      </c>
      <c r="M25" s="10">
        <v>8.1715499999999999</v>
      </c>
      <c r="N25" s="10">
        <v>70.899515165016282</v>
      </c>
      <c r="O25" s="10">
        <v>-0.51134468671030042</v>
      </c>
      <c r="P25" s="1" t="str">
        <f>HYPERLINK(".\sm_car_250915_0045\sm_car_250915_0045_024_Ca064TrN_MaLSS_DrSt_ode23t.png","figure")</f>
        <v>figure</v>
      </c>
      <c r="Q25" t="s">
        <v>15</v>
      </c>
    </row>
    <row r="26" spans="1:17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148</v>
      </c>
      <c r="K26" t="s">
        <v>23</v>
      </c>
      <c r="L26">
        <v>420</v>
      </c>
      <c r="M26" s="10">
        <v>8.5866515999999997</v>
      </c>
      <c r="N26" s="10">
        <v>230.12134023461186</v>
      </c>
      <c r="O26" s="10">
        <v>-2.4421235909832032E-2</v>
      </c>
      <c r="P26" s="1" t="str">
        <f>HYPERLINK(".\sm_car_250915_0045\sm_car_250915_0045_025_Ca080TrN_MaWOT_DrSt_ode23t.png","figure")</f>
        <v>figure</v>
      </c>
      <c r="Q26" t="s">
        <v>15</v>
      </c>
    </row>
    <row r="27" spans="1:17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20</v>
      </c>
      <c r="H27" t="s">
        <v>21</v>
      </c>
      <c r="I27" t="s">
        <v>24</v>
      </c>
      <c r="J27" t="s">
        <v>148</v>
      </c>
      <c r="K27" t="s">
        <v>23</v>
      </c>
      <c r="L27">
        <v>518</v>
      </c>
      <c r="M27" s="10">
        <v>8.4410253999999991</v>
      </c>
      <c r="N27" s="10">
        <v>70.870706382377591</v>
      </c>
      <c r="O27" s="10">
        <v>-0.51777564224164296</v>
      </c>
      <c r="P27" s="1" t="str">
        <f>HYPERLINK(".\sm_car_250915_0045\sm_car_250915_0045_026_Ca080TrN_MaLSS_DrSt_ode23t.png","figure")</f>
        <v>figure</v>
      </c>
      <c r="Q27" t="s">
        <v>15</v>
      </c>
    </row>
    <row r="28" spans="1:17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148</v>
      </c>
      <c r="K28" t="s">
        <v>23</v>
      </c>
      <c r="L28">
        <v>406</v>
      </c>
      <c r="M28" s="10">
        <v>5.7567623000000001</v>
      </c>
      <c r="N28" s="10">
        <v>231.82277942553225</v>
      </c>
      <c r="O28" s="10">
        <v>1.6200880966250376E-2</v>
      </c>
      <c r="P28" s="1" t="str">
        <f>HYPERLINK(".\sm_car_250915_0045\sm_car_250915_0045_027_Ca096TrN_MaWOT_DrSt_ode23t.png","figure")</f>
        <v>figure</v>
      </c>
      <c r="Q28" t="s">
        <v>15</v>
      </c>
    </row>
    <row r="29" spans="1:17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20</v>
      </c>
      <c r="H29" t="s">
        <v>21</v>
      </c>
      <c r="I29" t="s">
        <v>24</v>
      </c>
      <c r="J29" t="s">
        <v>148</v>
      </c>
      <c r="K29" t="s">
        <v>23</v>
      </c>
      <c r="L29">
        <v>514</v>
      </c>
      <c r="M29" s="10">
        <v>6.5841795999999997</v>
      </c>
      <c r="N29" s="10">
        <v>71.375005676338304</v>
      </c>
      <c r="O29" s="10">
        <v>-0.52112412540679565</v>
      </c>
      <c r="P29" s="1" t="str">
        <f>HYPERLINK(".\sm_car_250915_0045\sm_car_250915_0045_028_Ca096TrN_MaLSS_DrSt_ode23t.png","figure")</f>
        <v>figure</v>
      </c>
      <c r="Q29" t="s">
        <v>15</v>
      </c>
    </row>
    <row r="30" spans="1:17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 t="s">
        <v>148</v>
      </c>
      <c r="K30" t="s">
        <v>23</v>
      </c>
      <c r="L30">
        <v>371</v>
      </c>
      <c r="M30" s="10">
        <v>2.6811525</v>
      </c>
      <c r="N30" s="10">
        <v>242.6385086934819</v>
      </c>
      <c r="O30" s="10">
        <v>0.23540517481115167</v>
      </c>
      <c r="P30" s="1" t="str">
        <f>HYPERLINK(".\sm_car_250915_0045\sm_car_250915_0045_029_Ca112TrN_MaWOT_DrSt_ode23t.png","figure")</f>
        <v>figure</v>
      </c>
      <c r="Q30" t="s">
        <v>15</v>
      </c>
    </row>
    <row r="31" spans="1:17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20</v>
      </c>
      <c r="H31" t="s">
        <v>21</v>
      </c>
      <c r="I31" t="s">
        <v>24</v>
      </c>
      <c r="J31" t="s">
        <v>148</v>
      </c>
      <c r="K31" t="s">
        <v>23</v>
      </c>
      <c r="L31">
        <v>484</v>
      </c>
      <c r="M31" s="10">
        <v>2.8804425</v>
      </c>
      <c r="N31" s="10">
        <v>74.671083334168515</v>
      </c>
      <c r="O31" s="10">
        <v>-0.3369934257717313</v>
      </c>
      <c r="P31" s="1" t="str">
        <f>HYPERLINK(".\sm_car_250915_0045\sm_car_250915_0045_030_Ca112TrN_MaLSS_DrSt_ode23t.png","figure")</f>
        <v>figure</v>
      </c>
      <c r="Q31" t="s">
        <v>15</v>
      </c>
    </row>
    <row r="32" spans="1:17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25</v>
      </c>
      <c r="H32" t="s">
        <v>21</v>
      </c>
      <c r="I32" t="s">
        <v>22</v>
      </c>
      <c r="J32" t="s">
        <v>148</v>
      </c>
      <c r="K32" t="s">
        <v>23</v>
      </c>
      <c r="L32">
        <v>376</v>
      </c>
      <c r="M32" s="10">
        <v>2.8352118000000002</v>
      </c>
      <c r="N32" s="10">
        <v>241.62953780953444</v>
      </c>
      <c r="O32" s="10">
        <v>0.23230223293694249</v>
      </c>
      <c r="P32" s="1" t="str">
        <f>HYPERLINK(".\sm_car_250915_0045\sm_car_250915_0045_031_Ca113TrN_MaWOT_DrSt_ode23t.png","figure")</f>
        <v>figure</v>
      </c>
      <c r="Q32" t="s">
        <v>15</v>
      </c>
    </row>
    <row r="33" spans="1:17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25</v>
      </c>
      <c r="H33" t="s">
        <v>21</v>
      </c>
      <c r="I33" t="s">
        <v>24</v>
      </c>
      <c r="J33" t="s">
        <v>148</v>
      </c>
      <c r="K33" t="s">
        <v>23</v>
      </c>
      <c r="L33">
        <v>484</v>
      </c>
      <c r="M33" s="10">
        <v>3.1176339999999998</v>
      </c>
      <c r="N33" s="10">
        <v>74.340098687509567</v>
      </c>
      <c r="O33" s="10">
        <v>-0.33372692734011278</v>
      </c>
      <c r="P33" s="1" t="str">
        <f>HYPERLINK(".\sm_car_250915_0045\sm_car_250915_0045_032_Ca113TrN_MaLSS_DrSt_ode23t.png","figure")</f>
        <v>figure</v>
      </c>
      <c r="Q33" t="s">
        <v>15</v>
      </c>
    </row>
    <row r="34" spans="1:17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26</v>
      </c>
      <c r="H34" t="s">
        <v>21</v>
      </c>
      <c r="I34" t="s">
        <v>22</v>
      </c>
      <c r="J34" t="s">
        <v>148</v>
      </c>
      <c r="K34" t="s">
        <v>23</v>
      </c>
      <c r="L34">
        <v>365</v>
      </c>
      <c r="M34" s="10">
        <v>3.0944940000000001</v>
      </c>
      <c r="N34" s="10">
        <v>241.54135549521669</v>
      </c>
      <c r="O34" s="10">
        <v>0.23257023722638706</v>
      </c>
      <c r="P34" s="1" t="str">
        <f>HYPERLINK(".\sm_car_250915_0045\sm_car_250915_0045_033_Ca114TrN_MaWOT_DrSt_ode23t.png","figure")</f>
        <v>figure</v>
      </c>
      <c r="Q34" t="s">
        <v>15</v>
      </c>
    </row>
    <row r="35" spans="1:17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26</v>
      </c>
      <c r="H35" t="s">
        <v>21</v>
      </c>
      <c r="I35" t="s">
        <v>24</v>
      </c>
      <c r="J35" t="s">
        <v>148</v>
      </c>
      <c r="K35" t="s">
        <v>23</v>
      </c>
      <c r="L35">
        <v>474</v>
      </c>
      <c r="M35" s="10">
        <v>3.4817490000000002</v>
      </c>
      <c r="N35" s="10">
        <v>74.357376080465997</v>
      </c>
      <c r="O35" s="10">
        <v>-0.33401217897315755</v>
      </c>
      <c r="P35" s="1" t="str">
        <f>HYPERLINK(".\sm_car_250915_0045\sm_car_250915_0045_034_Ca114TrN_MaLSS_DrSt_ode23t.png","figure")</f>
        <v>figure</v>
      </c>
      <c r="Q35" t="s">
        <v>15</v>
      </c>
    </row>
    <row r="36" spans="1:17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27</v>
      </c>
      <c r="H36" t="s">
        <v>21</v>
      </c>
      <c r="I36" t="s">
        <v>22</v>
      </c>
      <c r="J36" t="s">
        <v>148</v>
      </c>
      <c r="K36" t="s">
        <v>23</v>
      </c>
      <c r="L36">
        <v>402</v>
      </c>
      <c r="M36" s="10">
        <v>3.3148681999999998</v>
      </c>
      <c r="N36" s="10">
        <v>241.25491004899072</v>
      </c>
      <c r="O36" s="10">
        <v>0.23086755550324103</v>
      </c>
      <c r="P36" s="1" t="str">
        <f>HYPERLINK(".\sm_car_250915_0045\sm_car_250915_0045_035_Ca115TrN_MaWOT_DrSt_ode23t.png","figure")</f>
        <v>figure</v>
      </c>
      <c r="Q36" t="s">
        <v>15</v>
      </c>
    </row>
    <row r="37" spans="1:17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27</v>
      </c>
      <c r="H37" t="s">
        <v>21</v>
      </c>
      <c r="I37" t="s">
        <v>24</v>
      </c>
      <c r="J37" t="s">
        <v>148</v>
      </c>
      <c r="K37" t="s">
        <v>23</v>
      </c>
      <c r="L37">
        <v>505</v>
      </c>
      <c r="M37" s="10">
        <v>3.4168877000000002</v>
      </c>
      <c r="N37" s="10">
        <v>74.216397484708779</v>
      </c>
      <c r="O37" s="10">
        <v>-0.33149412046077237</v>
      </c>
      <c r="P37" s="1" t="str">
        <f>HYPERLINK(".\sm_car_250915_0045\sm_car_250915_0045_036_Ca115TrN_MaLSS_DrSt_ode23t.png","figure")</f>
        <v>figure</v>
      </c>
      <c r="Q37" t="s">
        <v>15</v>
      </c>
    </row>
    <row r="38" spans="1:17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20</v>
      </c>
      <c r="H38" t="s">
        <v>21</v>
      </c>
      <c r="I38" t="s">
        <v>22</v>
      </c>
      <c r="J38" t="s">
        <v>148</v>
      </c>
      <c r="K38" t="s">
        <v>23</v>
      </c>
      <c r="L38">
        <v>917</v>
      </c>
      <c r="M38" s="10">
        <v>4.4667940000000002</v>
      </c>
      <c r="N38" s="10">
        <v>242.55284377109695</v>
      </c>
      <c r="O38" s="10">
        <v>0.23659137482604095</v>
      </c>
      <c r="P38" s="1" t="str">
        <f>HYPERLINK(".\sm_car_250915_0045\sm_car_250915_0045_037_Ca116TrN_MaWOT_DrSt_ode23t.png","figure")</f>
        <v>figure</v>
      </c>
      <c r="Q38" t="s">
        <v>15</v>
      </c>
    </row>
    <row r="39" spans="1:17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20</v>
      </c>
      <c r="H39" t="s">
        <v>21</v>
      </c>
      <c r="I39" t="s">
        <v>24</v>
      </c>
      <c r="J39" t="s">
        <v>148</v>
      </c>
      <c r="K39" t="s">
        <v>23</v>
      </c>
      <c r="L39">
        <v>1057</v>
      </c>
      <c r="M39" s="10">
        <v>5.2349994000000004</v>
      </c>
      <c r="N39" s="10">
        <v>74.662659723869751</v>
      </c>
      <c r="O39" s="10">
        <v>-0.3401055901651473</v>
      </c>
      <c r="P39" s="1" t="str">
        <f>HYPERLINK(".\sm_car_250915_0045\sm_car_250915_0045_038_Ca116TrN_MaLSS_DrSt_ode23t.png","figure")</f>
        <v>figure</v>
      </c>
      <c r="Q39" t="s">
        <v>15</v>
      </c>
    </row>
    <row r="40" spans="1:17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25</v>
      </c>
      <c r="H40" t="s">
        <v>21</v>
      </c>
      <c r="I40" t="s">
        <v>22</v>
      </c>
      <c r="J40" t="s">
        <v>148</v>
      </c>
      <c r="K40" t="s">
        <v>23</v>
      </c>
      <c r="L40">
        <v>963</v>
      </c>
      <c r="M40" s="10">
        <v>4.9621344000000001</v>
      </c>
      <c r="N40" s="10">
        <v>241.50229099389202</v>
      </c>
      <c r="O40" s="10">
        <v>0.23261616238238711</v>
      </c>
      <c r="P40" s="1" t="str">
        <f>HYPERLINK(".\sm_car_250915_0045\sm_car_250915_0045_039_Ca117TrN_MaWOT_DrSt_ode23t.png","figure")</f>
        <v>figure</v>
      </c>
      <c r="Q40" t="s">
        <v>15</v>
      </c>
    </row>
    <row r="41" spans="1:17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25</v>
      </c>
      <c r="H41" t="s">
        <v>21</v>
      </c>
      <c r="I41" t="s">
        <v>24</v>
      </c>
      <c r="J41" t="s">
        <v>148</v>
      </c>
      <c r="K41" t="s">
        <v>23</v>
      </c>
      <c r="L41">
        <v>1063</v>
      </c>
      <c r="M41" s="10">
        <v>5.7289887000000004</v>
      </c>
      <c r="N41" s="10">
        <v>74.339005108528042</v>
      </c>
      <c r="O41" s="10">
        <v>-0.33658754453363837</v>
      </c>
      <c r="P41" s="1" t="str">
        <f>HYPERLINK(".\sm_car_250915_0045\sm_car_250915_0045_040_Ca117TrN_MaLSS_DrSt_ode23t.png","figure")</f>
        <v>figure</v>
      </c>
      <c r="Q41" t="s">
        <v>15</v>
      </c>
    </row>
    <row r="42" spans="1:17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26</v>
      </c>
      <c r="H42" t="s">
        <v>21</v>
      </c>
      <c r="I42" t="s">
        <v>22</v>
      </c>
      <c r="J42" t="s">
        <v>148</v>
      </c>
      <c r="K42" t="s">
        <v>23</v>
      </c>
      <c r="L42">
        <v>947</v>
      </c>
      <c r="M42" s="10">
        <v>5.2142806999999998</v>
      </c>
      <c r="N42" s="10">
        <v>241.23064820859912</v>
      </c>
      <c r="O42" s="10">
        <v>0.23252480072032861</v>
      </c>
      <c r="P42" s="1" t="str">
        <f>HYPERLINK(".\sm_car_250915_0045\sm_car_250915_0045_041_Ca118TrN_MaWOT_DrSt_ode23t.png","figure")</f>
        <v>figure</v>
      </c>
      <c r="Q42" t="s">
        <v>15</v>
      </c>
    </row>
    <row r="43" spans="1:17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26</v>
      </c>
      <c r="H43" t="s">
        <v>21</v>
      </c>
      <c r="I43" t="s">
        <v>24</v>
      </c>
      <c r="J43" t="s">
        <v>148</v>
      </c>
      <c r="K43" t="s">
        <v>23</v>
      </c>
      <c r="L43">
        <v>1083</v>
      </c>
      <c r="M43" s="10">
        <v>6.3691003999999998</v>
      </c>
      <c r="N43" s="10">
        <v>74.337064431350825</v>
      </c>
      <c r="O43" s="10">
        <v>-0.33611418080232897</v>
      </c>
      <c r="P43" s="1" t="str">
        <f>HYPERLINK(".\sm_car_250915_0045\sm_car_250915_0045_042_Ca118TrN_MaLSS_DrSt_ode23t.png","figure")</f>
        <v>figure</v>
      </c>
      <c r="Q43" t="s">
        <v>15</v>
      </c>
    </row>
    <row r="44" spans="1:17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27</v>
      </c>
      <c r="H44" t="s">
        <v>21</v>
      </c>
      <c r="I44" t="s">
        <v>22</v>
      </c>
      <c r="J44" t="s">
        <v>148</v>
      </c>
      <c r="K44" t="s">
        <v>23</v>
      </c>
      <c r="L44">
        <v>996</v>
      </c>
      <c r="M44" s="10">
        <v>5.5796115999999998</v>
      </c>
      <c r="N44" s="10">
        <v>240.99456068308641</v>
      </c>
      <c r="O44" s="10">
        <v>0.23171030835918666</v>
      </c>
      <c r="P44" s="1" t="str">
        <f>HYPERLINK(".\sm_car_250915_0045\sm_car_250915_0045_043_Ca119TrN_MaWOT_DrSt_ode23t.png","figure")</f>
        <v>figure</v>
      </c>
      <c r="Q44" t="s">
        <v>15</v>
      </c>
    </row>
    <row r="45" spans="1:17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27</v>
      </c>
      <c r="H45" t="s">
        <v>21</v>
      </c>
      <c r="I45" t="s">
        <v>24</v>
      </c>
      <c r="J45" t="s">
        <v>148</v>
      </c>
      <c r="K45" t="s">
        <v>23</v>
      </c>
      <c r="L45">
        <v>1100</v>
      </c>
      <c r="M45" s="10">
        <v>6.0939214000000002</v>
      </c>
      <c r="N45" s="10">
        <v>74.191759012097194</v>
      </c>
      <c r="O45" s="10">
        <v>-0.33397949475133454</v>
      </c>
      <c r="P45" s="1" t="str">
        <f>HYPERLINK(".\sm_car_250915_0045\sm_car_250915_0045_044_Ca119TrN_MaLSS_DrSt_ode23t.png","figure")</f>
        <v>figure</v>
      </c>
      <c r="Q45" t="s">
        <v>15</v>
      </c>
    </row>
    <row r="46" spans="1:17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148</v>
      </c>
      <c r="K46" t="s">
        <v>23</v>
      </c>
      <c r="L46">
        <v>315</v>
      </c>
      <c r="M46" s="10">
        <v>5.4628223</v>
      </c>
      <c r="N46" s="10">
        <v>98.845188866581651</v>
      </c>
      <c r="O46" s="10">
        <v>-1.5386376004904681E-2</v>
      </c>
      <c r="P46" s="1" t="str">
        <f>HYPERLINK(".\sm_car_250915_0045\sm_car_250915_0045_045_Ca128TrN_MaWOT_DrSt_ode23t.png","figure")</f>
        <v>figure</v>
      </c>
      <c r="Q46" t="s">
        <v>15</v>
      </c>
    </row>
    <row r="47" spans="1:17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148</v>
      </c>
      <c r="K47" t="s">
        <v>23</v>
      </c>
      <c r="L47">
        <v>445</v>
      </c>
      <c r="M47" s="10">
        <v>7.1040700000000001</v>
      </c>
      <c r="N47" s="10">
        <v>36.704503350305458</v>
      </c>
      <c r="O47" s="10">
        <v>-0.12849743614244388</v>
      </c>
      <c r="P47" s="1" t="str">
        <f>HYPERLINK(".\sm_car_250915_0045\sm_car_250915_0045_046_Ca128TrN_MaLSS_DrSt_ode23t.png","figure")</f>
        <v>figure</v>
      </c>
      <c r="Q47" t="s">
        <v>15</v>
      </c>
    </row>
    <row r="48" spans="1:17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148</v>
      </c>
      <c r="K48" t="s">
        <v>23</v>
      </c>
      <c r="L48">
        <v>346</v>
      </c>
      <c r="M48" s="10">
        <v>7.0053505999999999</v>
      </c>
      <c r="N48" s="10">
        <v>228.34799246074152</v>
      </c>
      <c r="O48" s="10">
        <v>5.4616190327494825E-2</v>
      </c>
      <c r="P48" s="1" t="str">
        <f>HYPERLINK(".\sm_car_250915_0045\sm_car_250915_0045_047_Ca129TrN_MaWOT_DrSt_ode23t.png","figure")</f>
        <v>figure</v>
      </c>
      <c r="Q48" t="s">
        <v>15</v>
      </c>
    </row>
    <row r="49" spans="1:17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148</v>
      </c>
      <c r="K49" t="s">
        <v>23</v>
      </c>
      <c r="L49">
        <v>474</v>
      </c>
      <c r="M49" s="10">
        <v>7.6409495999999999</v>
      </c>
      <c r="N49" s="10">
        <v>70.411754031392519</v>
      </c>
      <c r="O49" s="10">
        <v>-0.51756055288296976</v>
      </c>
      <c r="P49" s="1" t="str">
        <f>HYPERLINK(".\sm_car_250915_0045\sm_car_250915_0045_048_Ca129TrN_MaLSS_DrSt_ode23t.png","figure")</f>
        <v>figure</v>
      </c>
      <c r="Q49" t="s">
        <v>15</v>
      </c>
    </row>
    <row r="50" spans="1:17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148</v>
      </c>
      <c r="K50" t="s">
        <v>23</v>
      </c>
      <c r="L50">
        <v>793</v>
      </c>
      <c r="M50" s="10">
        <v>20.736174200000001</v>
      </c>
      <c r="N50" s="10">
        <v>215.46708702121191</v>
      </c>
      <c r="O50" s="10">
        <v>-1.5893520343721217</v>
      </c>
      <c r="P50" s="1" t="str">
        <f>HYPERLINK(".\sm_car_250915_0045\sm_car_250915_0045_049_Ca130TrN_MaWOT_DrSt_ode23t.png","figure")</f>
        <v>figure</v>
      </c>
      <c r="Q50" t="s">
        <v>15</v>
      </c>
    </row>
    <row r="51" spans="1:17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148</v>
      </c>
      <c r="K51" t="s">
        <v>23</v>
      </c>
      <c r="L51">
        <v>759</v>
      </c>
      <c r="M51" s="10">
        <v>18.521349000000001</v>
      </c>
      <c r="N51" s="10">
        <v>68.402844217850088</v>
      </c>
      <c r="O51" s="10">
        <v>-0.54009809441192047</v>
      </c>
      <c r="P51" s="1" t="str">
        <f>HYPERLINK(".\sm_car_250915_0045\sm_car_250915_0045_050_Ca130TrN_MaLSS_DrSt_ode23t.png","figure")</f>
        <v>figure</v>
      </c>
      <c r="Q51" t="s">
        <v>15</v>
      </c>
    </row>
    <row r="52" spans="1:17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148</v>
      </c>
      <c r="K52" t="s">
        <v>23</v>
      </c>
      <c r="L52">
        <v>360</v>
      </c>
      <c r="M52" s="10">
        <v>4.4427642000000001</v>
      </c>
      <c r="N52" s="10">
        <v>229.11720646405632</v>
      </c>
      <c r="O52" s="10">
        <v>-4.6328992077056187E-2</v>
      </c>
      <c r="P52" s="1" t="str">
        <f>HYPERLINK(".\sm_car_250915_0045\sm_car_250915_0045_051_Ca131TrN_MaWOT_DrSt_ode23t.png","figure")</f>
        <v>figure</v>
      </c>
      <c r="Q52" t="s">
        <v>15</v>
      </c>
    </row>
    <row r="53" spans="1:17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148</v>
      </c>
      <c r="K53" t="s">
        <v>23</v>
      </c>
      <c r="L53">
        <v>495</v>
      </c>
      <c r="M53" s="10">
        <v>5.1545661000000003</v>
      </c>
      <c r="N53" s="10">
        <v>70.600930423656052</v>
      </c>
      <c r="O53" s="10">
        <v>-0.53364080367171174</v>
      </c>
      <c r="P53" s="1" t="str">
        <f>HYPERLINK(".\sm_car_250915_0045\sm_car_250915_0045_052_Ca131TrN_MaLSS_DrSt_ode23t.png","figure")</f>
        <v>figure</v>
      </c>
      <c r="Q53" t="s">
        <v>15</v>
      </c>
    </row>
    <row r="54" spans="1:17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148</v>
      </c>
      <c r="K54" t="s">
        <v>23</v>
      </c>
      <c r="L54">
        <v>345</v>
      </c>
      <c r="M54" s="10">
        <v>3.9778167999999998</v>
      </c>
      <c r="N54" s="10">
        <v>229.20144432867266</v>
      </c>
      <c r="O54" s="10">
        <v>2.6424159864668201E-3</v>
      </c>
      <c r="P54" s="1" t="str">
        <f>HYPERLINK(".\sm_car_250915_0045\sm_car_250915_0045_053_Ca132TrN_MaWOT_DrSt_ode23t.png","figure")</f>
        <v>figure</v>
      </c>
      <c r="Q54" t="s">
        <v>15</v>
      </c>
    </row>
    <row r="55" spans="1:17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148</v>
      </c>
      <c r="K55" t="s">
        <v>23</v>
      </c>
      <c r="L55">
        <v>479</v>
      </c>
      <c r="M55" s="10">
        <v>5.0019818000000003</v>
      </c>
      <c r="N55" s="10">
        <v>70.62045311820836</v>
      </c>
      <c r="O55" s="10">
        <v>-0.52971824228246367</v>
      </c>
      <c r="P55" s="1" t="str">
        <f>HYPERLINK(".\sm_car_250915_0045\sm_car_250915_0045_054_Ca132TrN_MaLSS_DrSt_ode23t.png","figure")</f>
        <v>figure</v>
      </c>
      <c r="Q55" t="s">
        <v>15</v>
      </c>
    </row>
    <row r="56" spans="1:17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148</v>
      </c>
      <c r="K56" t="s">
        <v>23</v>
      </c>
      <c r="L56">
        <v>356</v>
      </c>
      <c r="M56" s="10">
        <v>4.0710363000000003</v>
      </c>
      <c r="N56" s="10">
        <v>229.11289448611541</v>
      </c>
      <c r="O56" s="10">
        <v>-1.4288354607534493E-2</v>
      </c>
      <c r="P56" s="1" t="str">
        <f>HYPERLINK(".\sm_car_250915_0045\sm_car_250915_0045_055_Ca133TrN_MaWOT_DrSt_ode23t.png","figure")</f>
        <v>figure</v>
      </c>
      <c r="Q56" t="s">
        <v>15</v>
      </c>
    </row>
    <row r="57" spans="1:17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148</v>
      </c>
      <c r="K57" t="s">
        <v>23</v>
      </c>
      <c r="L57">
        <v>491</v>
      </c>
      <c r="M57" s="10">
        <v>5.2443277999999998</v>
      </c>
      <c r="N57" s="10">
        <v>70.609407655925025</v>
      </c>
      <c r="O57" s="10">
        <v>-0.5198220444231576</v>
      </c>
      <c r="P57" s="1" t="str">
        <f>HYPERLINK(".\sm_car_250915_0045\sm_car_250915_0045_056_Ca133TrN_MaLSS_DrSt_ode23t.png","figure")</f>
        <v>figure</v>
      </c>
      <c r="Q57" t="s">
        <v>15</v>
      </c>
    </row>
    <row r="58" spans="1:17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148</v>
      </c>
      <c r="K58" t="s">
        <v>23</v>
      </c>
      <c r="L58">
        <v>347</v>
      </c>
      <c r="M58" s="10">
        <v>4.2546622000000003</v>
      </c>
      <c r="N58" s="10">
        <v>229.07283704275235</v>
      </c>
      <c r="O58" s="10">
        <v>-1.6302966438490829E-2</v>
      </c>
      <c r="P58" s="1" t="str">
        <f>HYPERLINK(".\sm_car_250915_0045\sm_car_250915_0045_057_Ca134TrN_MaWOT_DrSt_ode23t.png","figure")</f>
        <v>figure</v>
      </c>
      <c r="Q58" t="s">
        <v>15</v>
      </c>
    </row>
    <row r="59" spans="1:17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148</v>
      </c>
      <c r="K59" t="s">
        <v>23</v>
      </c>
      <c r="L59">
        <v>495</v>
      </c>
      <c r="M59" s="10">
        <v>5.0065898999999998</v>
      </c>
      <c r="N59" s="10">
        <v>70.607605890258384</v>
      </c>
      <c r="O59" s="10">
        <v>-0.5266248402553696</v>
      </c>
      <c r="P59" s="1" t="str">
        <f>HYPERLINK(".\sm_car_250915_0045\sm_car_250915_0045_058_Ca134TrN_MaLSS_DrSt_ode23t.png","figure")</f>
        <v>figure</v>
      </c>
      <c r="Q59" t="s">
        <v>15</v>
      </c>
    </row>
    <row r="60" spans="1:17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148</v>
      </c>
      <c r="K60" t="s">
        <v>23</v>
      </c>
      <c r="L60">
        <v>351</v>
      </c>
      <c r="M60" s="10">
        <v>4.3360826000000001</v>
      </c>
      <c r="N60" s="10">
        <v>229.11259352546713</v>
      </c>
      <c r="O60" s="10">
        <v>-1.5609801142126328E-2</v>
      </c>
      <c r="P60" s="1" t="str">
        <f>HYPERLINK(".\sm_car_250915_0045\sm_car_250915_0045_059_Ca135TrN_MaWOT_DrSt_ode23t.png","figure")</f>
        <v>figure</v>
      </c>
      <c r="Q60" t="s">
        <v>15</v>
      </c>
    </row>
    <row r="61" spans="1:17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148</v>
      </c>
      <c r="K61" t="s">
        <v>23</v>
      </c>
      <c r="L61">
        <v>489</v>
      </c>
      <c r="M61" s="10">
        <v>5.2389909000000001</v>
      </c>
      <c r="N61" s="10">
        <v>70.601057644171448</v>
      </c>
      <c r="O61" s="10">
        <v>-0.5301351609407402</v>
      </c>
      <c r="P61" s="1" t="str">
        <f>HYPERLINK(".\sm_car_250915_0045\sm_car_250915_0045_060_Ca135TrN_MaLSS_DrSt_ode23t.png","figure")</f>
        <v>figure</v>
      </c>
      <c r="Q61" t="s">
        <v>15</v>
      </c>
    </row>
    <row r="62" spans="1:17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148</v>
      </c>
      <c r="K62" t="s">
        <v>23</v>
      </c>
      <c r="L62">
        <v>376</v>
      </c>
      <c r="M62" s="10">
        <v>5.3712171</v>
      </c>
      <c r="N62" s="10">
        <v>229.05839477550433</v>
      </c>
      <c r="O62" s="10">
        <v>5.2360566676677302E-2</v>
      </c>
      <c r="P62" s="1" t="str">
        <f>HYPERLINK(".\sm_car_250915_0045\sm_car_250915_0045_061_Ca136TrN_MaWOT_DrSt_ode23t.png","figure")</f>
        <v>figure</v>
      </c>
      <c r="Q62" t="s">
        <v>15</v>
      </c>
    </row>
    <row r="63" spans="1:17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148</v>
      </c>
      <c r="K63" t="s">
        <v>23</v>
      </c>
      <c r="L63">
        <v>529</v>
      </c>
      <c r="M63" s="10">
        <v>6.7021509999999997</v>
      </c>
      <c r="N63" s="10">
        <v>70.608935810994012</v>
      </c>
      <c r="O63" s="10">
        <v>-0.5225417325737709</v>
      </c>
      <c r="P63" s="1" t="str">
        <f>HYPERLINK(".\sm_car_250915_0045\sm_car_250915_0045_062_Ca136TrN_MaLSS_DrSt_ode23t.png","figure")</f>
        <v>figure</v>
      </c>
      <c r="Q63" t="s">
        <v>15</v>
      </c>
    </row>
    <row r="64" spans="1:17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148</v>
      </c>
      <c r="K64" t="s">
        <v>23</v>
      </c>
      <c r="L64">
        <v>331</v>
      </c>
      <c r="M64" s="10">
        <v>3.5058278999999999</v>
      </c>
      <c r="N64" s="10">
        <v>229.9638709362429</v>
      </c>
      <c r="O64" s="10">
        <v>0.13773739167594037</v>
      </c>
      <c r="P64" s="1" t="str">
        <f>HYPERLINK(".\sm_car_250915_0045\sm_car_250915_0045_063_Ca137TrN_MaWOT_DrSt_ode23t.png","figure")</f>
        <v>figure</v>
      </c>
      <c r="Q64" t="s">
        <v>15</v>
      </c>
    </row>
    <row r="65" spans="1:17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148</v>
      </c>
      <c r="K65" t="s">
        <v>23</v>
      </c>
      <c r="L65">
        <v>466</v>
      </c>
      <c r="M65" s="10">
        <v>4.4289173000000002</v>
      </c>
      <c r="N65" s="10">
        <v>70.869774107041238</v>
      </c>
      <c r="O65" s="10">
        <v>-0.50662982222423614</v>
      </c>
      <c r="P65" s="1" t="str">
        <f>HYPERLINK(".\sm_car_250915_0045\sm_car_250915_0045_064_Ca137TrN_MaLSS_DrSt_ode23t.png","figure")</f>
        <v>figure</v>
      </c>
      <c r="Q65" t="s">
        <v>15</v>
      </c>
    </row>
    <row r="66" spans="1:17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148</v>
      </c>
      <c r="K66" t="s">
        <v>23</v>
      </c>
      <c r="L66">
        <v>326</v>
      </c>
      <c r="M66" s="10">
        <v>5.2510636999999996</v>
      </c>
      <c r="N66" s="10">
        <v>229.9881444902642</v>
      </c>
      <c r="O66" s="10">
        <v>0.13863769556686972</v>
      </c>
      <c r="P66" s="1" t="str">
        <f>HYPERLINK(".\sm_car_250915_0045\sm_car_250915_0045_065_Ca138TrN_MaWOT_DrSt_ode23t.png","figure")</f>
        <v>figure</v>
      </c>
      <c r="Q66" t="s">
        <v>15</v>
      </c>
    </row>
    <row r="67" spans="1:17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148</v>
      </c>
      <c r="K67" t="s">
        <v>23</v>
      </c>
      <c r="L67">
        <v>480</v>
      </c>
      <c r="M67" s="10">
        <v>6.2276581000000002</v>
      </c>
      <c r="N67" s="10">
        <v>70.764530987683116</v>
      </c>
      <c r="O67" s="10">
        <v>-0.81595286633813813</v>
      </c>
      <c r="P67" s="1" t="str">
        <f>HYPERLINK(".\sm_car_250915_0045\sm_car_250915_0045_066_Ca138TrN_MaLSS_DrSt_ode23t.png","figure")</f>
        <v>figure</v>
      </c>
      <c r="Q67" t="s">
        <v>15</v>
      </c>
    </row>
    <row r="68" spans="1:17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148</v>
      </c>
      <c r="K68" t="s">
        <v>23</v>
      </c>
      <c r="L68">
        <v>696</v>
      </c>
      <c r="M68" s="10">
        <v>25.3067727</v>
      </c>
      <c r="N68" s="10">
        <v>402.21676819539459</v>
      </c>
      <c r="O68" s="10">
        <v>1.7663109197198756</v>
      </c>
      <c r="P68" s="1" t="str">
        <f>HYPERLINK(".\sm_car_250915_0045\sm_car_250915_0045_067_Ca139TrN_MaWOT_DrSt_ode23t.png","figure")</f>
        <v>figure</v>
      </c>
      <c r="Q68" t="s">
        <v>15</v>
      </c>
    </row>
    <row r="69" spans="1:17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148</v>
      </c>
      <c r="K69" t="s">
        <v>23</v>
      </c>
      <c r="L69">
        <v>631</v>
      </c>
      <c r="M69" s="10">
        <v>15.0654454</v>
      </c>
      <c r="N69" s="10">
        <v>153.03893703678</v>
      </c>
      <c r="O69" s="10">
        <v>-0.57496091672531724</v>
      </c>
      <c r="P69" s="1" t="str">
        <f>HYPERLINK(".\sm_car_250915_0045\sm_car_250915_0045_068_Ca139TrN_MaLSS_DrSt_ode23t.png","figure")</f>
        <v>figure</v>
      </c>
      <c r="Q69" t="s">
        <v>15</v>
      </c>
    </row>
    <row r="70" spans="1:17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148</v>
      </c>
      <c r="K70" t="s">
        <v>23</v>
      </c>
      <c r="L70">
        <v>1891</v>
      </c>
      <c r="M70" s="10">
        <v>29.927610600000001</v>
      </c>
      <c r="N70" s="10">
        <v>402.3093238000825</v>
      </c>
      <c r="O70" s="10">
        <v>1.7121153887950993</v>
      </c>
      <c r="P70" s="1" t="str">
        <f>HYPERLINK(".\sm_car_250915_0045\sm_car_250915_0045_069_Ca141TrN_MaWOT_DrSt_ode23t.png","figure")</f>
        <v>figure</v>
      </c>
      <c r="Q70" t="s">
        <v>15</v>
      </c>
    </row>
    <row r="71" spans="1:17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148</v>
      </c>
      <c r="K71" t="s">
        <v>23</v>
      </c>
      <c r="L71">
        <v>1857</v>
      </c>
      <c r="M71" s="10">
        <v>24.798641100000001</v>
      </c>
      <c r="N71" s="10">
        <v>153.10452043498219</v>
      </c>
      <c r="O71" s="10">
        <v>-0.57015063945422806</v>
      </c>
      <c r="P71" s="1" t="str">
        <f>HYPERLINK(".\sm_car_250915_0045\sm_car_250915_0045_070_Ca141TrN_MaLSS_DrSt_ode23t.png","figure")</f>
        <v>figure</v>
      </c>
      <c r="Q71" t="s">
        <v>15</v>
      </c>
    </row>
    <row r="72" spans="1:17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148</v>
      </c>
      <c r="K72" t="s">
        <v>23</v>
      </c>
      <c r="L72">
        <v>340</v>
      </c>
      <c r="M72" s="10">
        <v>15.3709147</v>
      </c>
      <c r="N72" s="10">
        <v>62.428375066207224</v>
      </c>
      <c r="O72" s="10">
        <v>1.9516052410026494E-2</v>
      </c>
      <c r="P72" s="1" t="str">
        <f>HYPERLINK(".\sm_car_250915_0045\sm_car_250915_0045_071_Ca143TrN_MaWOT_DrSt_ode23t.png","figure")</f>
        <v>figure</v>
      </c>
      <c r="Q72" t="s">
        <v>15</v>
      </c>
    </row>
    <row r="73" spans="1:17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148</v>
      </c>
      <c r="K73" t="s">
        <v>23</v>
      </c>
      <c r="L73">
        <v>474</v>
      </c>
      <c r="M73" s="10">
        <v>19.091940699999999</v>
      </c>
      <c r="N73" s="10">
        <v>24.932439310559353</v>
      </c>
      <c r="O73" s="10">
        <v>-5.2436909096597685E-2</v>
      </c>
      <c r="P73" s="1" t="str">
        <f>HYPERLINK(".\sm_car_250915_0045\sm_car_250915_0045_072_Ca143TrN_MaLSS_DrSt_ode23t.png","figure")</f>
        <v>figure</v>
      </c>
      <c r="Q73" t="s">
        <v>15</v>
      </c>
    </row>
    <row r="74" spans="1:17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148</v>
      </c>
      <c r="K74" t="s">
        <v>23</v>
      </c>
      <c r="L74">
        <v>349</v>
      </c>
      <c r="M74" s="10">
        <v>12.6837553</v>
      </c>
      <c r="N74" s="10">
        <v>76.995702946620938</v>
      </c>
      <c r="O74" s="10">
        <v>0.24465945448821447</v>
      </c>
      <c r="P74" s="1" t="str">
        <f>HYPERLINK(".\sm_car_250915_0045\sm_car_250915_0045_073_Ca144TrN_MaWOT_DrSt_ode23t.png","figure")</f>
        <v>figure</v>
      </c>
      <c r="Q74" t="s">
        <v>15</v>
      </c>
    </row>
    <row r="75" spans="1:17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148</v>
      </c>
      <c r="K75" t="s">
        <v>23</v>
      </c>
      <c r="L75">
        <v>461</v>
      </c>
      <c r="M75" s="10">
        <v>13.7874538</v>
      </c>
      <c r="N75" s="10">
        <v>35.472013707595281</v>
      </c>
      <c r="O75" s="10">
        <v>-3.2013178931184917E-2</v>
      </c>
      <c r="P75" s="1" t="str">
        <f>HYPERLINK(".\sm_car_250915_0045\sm_car_250915_0045_074_Ca144TrN_MaLSS_DrSt_ode23t.png","figure")</f>
        <v>figure</v>
      </c>
      <c r="Q75" t="s">
        <v>15</v>
      </c>
    </row>
    <row r="76" spans="1:17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148</v>
      </c>
      <c r="K76" t="s">
        <v>23</v>
      </c>
      <c r="L76">
        <v>2381</v>
      </c>
      <c r="M76" s="10">
        <v>23.1364068</v>
      </c>
      <c r="N76" s="10">
        <v>396.61990587836073</v>
      </c>
      <c r="O76" s="10">
        <v>-14.250911220228488</v>
      </c>
      <c r="P76" s="1" t="str">
        <f>HYPERLINK(".\sm_car_250915_0045\sm_car_250915_0045_075_Ca147TrN_MaWOT_DrSt_ode23t.png","figure")</f>
        <v>figure</v>
      </c>
      <c r="Q76" t="s">
        <v>15</v>
      </c>
    </row>
    <row r="77" spans="1:17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148</v>
      </c>
      <c r="K77" t="s">
        <v>23</v>
      </c>
      <c r="L77">
        <v>1321</v>
      </c>
      <c r="M77" s="10">
        <v>16.901757700000001</v>
      </c>
      <c r="N77" s="10">
        <v>150.41659530520715</v>
      </c>
      <c r="O77" s="10">
        <v>-2.1549450695663168</v>
      </c>
      <c r="P77" s="1" t="str">
        <f>HYPERLINK(".\sm_car_250915_0045\sm_car_250915_0045_076_Ca147TrN_MaLSS_DrSt_ode23t.png","figure")</f>
        <v>figure</v>
      </c>
      <c r="Q77" t="s">
        <v>15</v>
      </c>
    </row>
    <row r="78" spans="1:17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148</v>
      </c>
      <c r="K78" t="s">
        <v>23</v>
      </c>
      <c r="L78">
        <v>289</v>
      </c>
      <c r="M78" s="10">
        <v>7.9201638000000001</v>
      </c>
      <c r="N78" s="10">
        <v>229.65519408381641</v>
      </c>
      <c r="O78" s="10">
        <v>5.5054174081255432E-3</v>
      </c>
      <c r="P78" s="1" t="str">
        <f>HYPERLINK(".\sm_car_250915_0045\sm_car_250915_0045_077_Ca215TrN_MaWOT_DrSt_ode23t.png","figure")</f>
        <v>figure</v>
      </c>
      <c r="Q78" t="s">
        <v>15</v>
      </c>
    </row>
    <row r="79" spans="1:17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148</v>
      </c>
      <c r="K79" t="s">
        <v>23</v>
      </c>
      <c r="L79">
        <v>493</v>
      </c>
      <c r="M79" s="10">
        <v>7.9266632000000001</v>
      </c>
      <c r="N79" s="10">
        <v>81.266966201332536</v>
      </c>
      <c r="O79" s="10">
        <v>-0.22296128520294978</v>
      </c>
      <c r="P79" s="1" t="str">
        <f>HYPERLINK(".\sm_car_250915_0045\sm_car_250915_0045_078_Ca215TrN_MaLSS_DrSt_ode23t.png","figure")</f>
        <v>figure</v>
      </c>
      <c r="Q79" t="s">
        <v>15</v>
      </c>
    </row>
    <row r="80" spans="1:17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26</v>
      </c>
      <c r="H80" t="s">
        <v>21</v>
      </c>
      <c r="I80" t="s">
        <v>22</v>
      </c>
      <c r="J80" t="s">
        <v>148</v>
      </c>
      <c r="K80" t="s">
        <v>23</v>
      </c>
      <c r="L80">
        <v>358</v>
      </c>
      <c r="M80" s="10">
        <v>4.2665253999999999</v>
      </c>
      <c r="N80" s="10">
        <v>229.82533022666252</v>
      </c>
      <c r="O80" s="10">
        <v>0.16890343537464503</v>
      </c>
      <c r="P80" s="1" t="str">
        <f>HYPERLINK(".\sm_car_250915_0045\sm_car_250915_0045_079_Ca218TrN_MaWOT_DrSt_ode23t.png","figure")</f>
        <v>figure</v>
      </c>
      <c r="Q80" t="s">
        <v>15</v>
      </c>
    </row>
    <row r="81" spans="1:17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26</v>
      </c>
      <c r="H81" t="s">
        <v>21</v>
      </c>
      <c r="I81" t="s">
        <v>24</v>
      </c>
      <c r="J81" t="s">
        <v>148</v>
      </c>
      <c r="K81" t="s">
        <v>23</v>
      </c>
      <c r="L81">
        <v>487</v>
      </c>
      <c r="M81" s="10">
        <v>5.2517253000000004</v>
      </c>
      <c r="N81" s="10">
        <v>70.782639878188803</v>
      </c>
      <c r="O81" s="10">
        <v>-0.53019836219417982</v>
      </c>
      <c r="P81" s="1" t="str">
        <f>HYPERLINK(".\sm_car_250915_0045\sm_car_250915_0045_080_Ca218TrN_MaLSS_DrSt_ode23t.png","figure")</f>
        <v>figure</v>
      </c>
      <c r="Q81" t="s">
        <v>15</v>
      </c>
    </row>
    <row r="82" spans="1:17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26</v>
      </c>
      <c r="H82" t="s">
        <v>21</v>
      </c>
      <c r="I82" t="s">
        <v>22</v>
      </c>
      <c r="J82" t="s">
        <v>148</v>
      </c>
      <c r="K82" t="s">
        <v>23</v>
      </c>
      <c r="L82">
        <v>399</v>
      </c>
      <c r="M82" s="10">
        <v>6.6291786000000004</v>
      </c>
      <c r="N82" s="10">
        <v>229.1266666249187</v>
      </c>
      <c r="O82" s="10">
        <v>0.17194195410008148</v>
      </c>
      <c r="P82" s="1" t="str">
        <f>HYPERLINK(".\sm_car_250915_0045\sm_car_250915_0045_081_Ca219TrN_MaWOT_DrSt_ode23t.png","figure")</f>
        <v>figure</v>
      </c>
      <c r="Q82" t="s">
        <v>15</v>
      </c>
    </row>
    <row r="83" spans="1:17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26</v>
      </c>
      <c r="H83" t="s">
        <v>21</v>
      </c>
      <c r="I83" t="s">
        <v>24</v>
      </c>
      <c r="J83" t="s">
        <v>148</v>
      </c>
      <c r="K83" t="s">
        <v>23</v>
      </c>
      <c r="L83">
        <v>518</v>
      </c>
      <c r="M83" s="10">
        <v>8.4620467999999995</v>
      </c>
      <c r="N83" s="10">
        <v>70.605441631245611</v>
      </c>
      <c r="O83" s="10">
        <v>-0.55702341390006727</v>
      </c>
      <c r="P83" s="1" t="str">
        <f>HYPERLINK(".\sm_car_250915_0045\sm_car_250915_0045_082_Ca219TrN_MaLSS_DrSt_ode23t.png","figure")</f>
        <v>figure</v>
      </c>
      <c r="Q83" t="s">
        <v>15</v>
      </c>
    </row>
    <row r="84" spans="1:17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26</v>
      </c>
      <c r="H84" t="s">
        <v>21</v>
      </c>
      <c r="I84" t="s">
        <v>22</v>
      </c>
      <c r="J84" t="s">
        <v>148</v>
      </c>
      <c r="K84" t="s">
        <v>23</v>
      </c>
      <c r="L84">
        <v>935</v>
      </c>
      <c r="M84" s="10">
        <v>29.616212399999998</v>
      </c>
      <c r="N84" s="10">
        <v>223.35756270092403</v>
      </c>
      <c r="O84" s="10">
        <v>-1.2216844044559745</v>
      </c>
      <c r="P84" s="1" t="str">
        <f>HYPERLINK(".\sm_car_250915_0045\sm_car_250915_0045_083_Ca220TrN_MaWOT_DrSt_ode23t.png","figure")</f>
        <v>figure</v>
      </c>
      <c r="Q84" t="s">
        <v>15</v>
      </c>
    </row>
    <row r="85" spans="1:17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26</v>
      </c>
      <c r="H85" t="s">
        <v>21</v>
      </c>
      <c r="I85" t="s">
        <v>24</v>
      </c>
      <c r="J85" t="s">
        <v>148</v>
      </c>
      <c r="K85" t="s">
        <v>23</v>
      </c>
      <c r="L85">
        <v>1094</v>
      </c>
      <c r="M85" s="10">
        <v>35.977080399999998</v>
      </c>
      <c r="N85" s="10">
        <v>69.287524098839313</v>
      </c>
      <c r="O85" s="10">
        <v>-1.49278678364351</v>
      </c>
      <c r="P85" s="1" t="str">
        <f>HYPERLINK(".\sm_car_250915_0045\sm_car_250915_0045_084_Ca220TrN_MaLSS_DrSt_ode23t.png","figure")</f>
        <v>figure</v>
      </c>
      <c r="Q85" t="s">
        <v>15</v>
      </c>
    </row>
    <row r="86" spans="1:17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148</v>
      </c>
      <c r="K86" t="s">
        <v>23</v>
      </c>
      <c r="L86">
        <v>476</v>
      </c>
      <c r="M86" s="10">
        <v>6.4825024999999998</v>
      </c>
      <c r="N86" s="10">
        <v>293.7934655229592</v>
      </c>
      <c r="O86" s="10">
        <v>2.3732453925399559E-4</v>
      </c>
      <c r="P86" s="1" t="str">
        <f>HYPERLINK(".\sm_car_250915_0045\sm_car_250915_0045_085_Ca223TrN_MaWOT_DrSt_ode23t.png","figure")</f>
        <v>figure</v>
      </c>
      <c r="Q86" t="s">
        <v>15</v>
      </c>
    </row>
    <row r="87" spans="1:17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148</v>
      </c>
      <c r="K87" t="s">
        <v>23</v>
      </c>
      <c r="L87">
        <v>661</v>
      </c>
      <c r="M87" s="10">
        <v>6.6470808999999997</v>
      </c>
      <c r="N87" s="10">
        <v>103.82476627489328</v>
      </c>
      <c r="O87" s="10">
        <v>-0.15780669360741373</v>
      </c>
      <c r="P87" s="1" t="str">
        <f>HYPERLINK(".\sm_car_250915_0045\sm_car_250915_0045_086_Ca223TrN_MaLSS_DrSt_ode23t.png","figure")</f>
        <v>figure</v>
      </c>
      <c r="Q87" t="s">
        <v>15</v>
      </c>
    </row>
    <row r="88" spans="1:17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148</v>
      </c>
      <c r="K88" t="s">
        <v>23</v>
      </c>
      <c r="L88">
        <v>761</v>
      </c>
      <c r="M88" s="10">
        <v>20.8127785</v>
      </c>
      <c r="N88" s="10">
        <v>405.71556096418186</v>
      </c>
      <c r="O88" s="10">
        <v>-12.010678179624731</v>
      </c>
      <c r="P88" s="1" t="str">
        <f>HYPERLINK(".\sm_car_250915_0045\sm_car_250915_0045_087_Ca227TrN_MaWOT_DrSt_ode23t.png","figure")</f>
        <v>figure</v>
      </c>
      <c r="Q88" t="s">
        <v>15</v>
      </c>
    </row>
    <row r="89" spans="1:17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148</v>
      </c>
      <c r="K89" t="s">
        <v>23</v>
      </c>
      <c r="L89">
        <v>740</v>
      </c>
      <c r="M89" s="10">
        <v>14.483276800000001</v>
      </c>
      <c r="N89" s="10">
        <v>154.52869989521764</v>
      </c>
      <c r="O89" s="10">
        <v>-2.8506336745979426</v>
      </c>
      <c r="P89" s="1" t="str">
        <f>HYPERLINK(".\sm_car_250915_0045\sm_car_250915_0045_088_Ca227TrN_MaLSS_DrSt_ode23t.png","figure")</f>
        <v>figure</v>
      </c>
      <c r="Q89" t="s">
        <v>15</v>
      </c>
    </row>
    <row r="90" spans="1:17" x14ac:dyDescent="0.25">
      <c r="A90">
        <v>89</v>
      </c>
      <c r="B90">
        <v>8</v>
      </c>
      <c r="C90" t="s">
        <v>16</v>
      </c>
      <c r="D90" t="s">
        <v>17</v>
      </c>
      <c r="E90" t="s">
        <v>49</v>
      </c>
      <c r="F90" t="s">
        <v>19</v>
      </c>
      <c r="G90" t="s">
        <v>20</v>
      </c>
      <c r="H90" t="s">
        <v>21</v>
      </c>
      <c r="I90" t="s">
        <v>22</v>
      </c>
      <c r="J90" t="s">
        <v>148</v>
      </c>
      <c r="K90" t="s">
        <v>23</v>
      </c>
      <c r="L90">
        <v>378</v>
      </c>
      <c r="M90" s="10">
        <v>9.4621638000000008</v>
      </c>
      <c r="N90" s="10">
        <v>230.10936649918921</v>
      </c>
      <c r="O90" s="10">
        <v>-9.6060304400245548E-3</v>
      </c>
      <c r="P90" s="1" t="str">
        <f>HYPERLINK(".\sm_car_250915_0045\sm_car_250915_0045_089_Ca008TrN_MaWOT_DrSt_ode23t_1.png","figure")</f>
        <v>figure</v>
      </c>
      <c r="Q90" t="s">
        <v>15</v>
      </c>
    </row>
    <row r="91" spans="1:17" x14ac:dyDescent="0.25">
      <c r="A91">
        <v>90</v>
      </c>
      <c r="B91">
        <v>8</v>
      </c>
      <c r="C91" t="s">
        <v>16</v>
      </c>
      <c r="D91" t="s">
        <v>17</v>
      </c>
      <c r="E91" t="s">
        <v>49</v>
      </c>
      <c r="F91" t="s">
        <v>19</v>
      </c>
      <c r="G91" t="s">
        <v>20</v>
      </c>
      <c r="H91" t="s">
        <v>21</v>
      </c>
      <c r="I91" t="s">
        <v>24</v>
      </c>
      <c r="J91" t="s">
        <v>148</v>
      </c>
      <c r="K91" t="s">
        <v>23</v>
      </c>
      <c r="L91">
        <v>551</v>
      </c>
      <c r="M91" s="10">
        <v>11.3524928</v>
      </c>
      <c r="N91" s="10">
        <v>70.880586003536436</v>
      </c>
      <c r="O91" s="10">
        <v>-0.53236183039504281</v>
      </c>
      <c r="P91" s="1" t="str">
        <f>HYPERLINK(".\sm_car_250915_0045\sm_car_250915_0045_090_Ca008TrN_MaLSS_DrSt_ode23t_1.png","figure")</f>
        <v>figure</v>
      </c>
      <c r="Q91" t="s">
        <v>15</v>
      </c>
    </row>
    <row r="92" spans="1:17" x14ac:dyDescent="0.25">
      <c r="A92">
        <v>91</v>
      </c>
      <c r="B92">
        <v>13</v>
      </c>
      <c r="C92" t="s">
        <v>16</v>
      </c>
      <c r="D92" t="s">
        <v>17</v>
      </c>
      <c r="E92" t="s">
        <v>49</v>
      </c>
      <c r="F92" t="s">
        <v>28</v>
      </c>
      <c r="G92" t="s">
        <v>25</v>
      </c>
      <c r="H92" t="s">
        <v>21</v>
      </c>
      <c r="I92" t="s">
        <v>22</v>
      </c>
      <c r="J92" t="s">
        <v>148</v>
      </c>
      <c r="K92" t="s">
        <v>23</v>
      </c>
      <c r="L92">
        <v>855</v>
      </c>
      <c r="M92" s="10">
        <v>11.723980299999999</v>
      </c>
      <c r="N92" s="10">
        <v>229.11471774201129</v>
      </c>
      <c r="O92" s="10">
        <v>-1.6431996566931291E-2</v>
      </c>
      <c r="P92" s="1" t="str">
        <f>HYPERLINK(".\sm_car_250915_0045\sm_car_250915_0045_091_Ca013TrN_MaWOT_DrSt_ode23t_1.png","figure")</f>
        <v>figure</v>
      </c>
      <c r="Q92" t="s">
        <v>15</v>
      </c>
    </row>
    <row r="93" spans="1:17" x14ac:dyDescent="0.25">
      <c r="A93">
        <v>92</v>
      </c>
      <c r="B93">
        <v>13</v>
      </c>
      <c r="C93" t="s">
        <v>16</v>
      </c>
      <c r="D93" t="s">
        <v>17</v>
      </c>
      <c r="E93" t="s">
        <v>49</v>
      </c>
      <c r="F93" t="s">
        <v>28</v>
      </c>
      <c r="G93" t="s">
        <v>25</v>
      </c>
      <c r="H93" t="s">
        <v>21</v>
      </c>
      <c r="I93" t="s">
        <v>24</v>
      </c>
      <c r="J93" t="s">
        <v>148</v>
      </c>
      <c r="K93" t="s">
        <v>23</v>
      </c>
      <c r="L93">
        <v>1003</v>
      </c>
      <c r="M93" s="10">
        <v>14.510256699999999</v>
      </c>
      <c r="N93" s="10">
        <v>70.590281683639176</v>
      </c>
      <c r="O93" s="10">
        <v>-0.53170751366377111</v>
      </c>
      <c r="P93" s="1" t="str">
        <f>HYPERLINK(".\sm_car_250915_0045\sm_car_250915_0045_092_Ca013TrN_MaLSS_DrSt_ode23t_1.png","figure")</f>
        <v>figure</v>
      </c>
      <c r="Q93" t="s">
        <v>15</v>
      </c>
    </row>
    <row r="94" spans="1:17" x14ac:dyDescent="0.25">
      <c r="A94">
        <v>93</v>
      </c>
      <c r="B94">
        <v>120</v>
      </c>
      <c r="C94" t="s">
        <v>16</v>
      </c>
      <c r="D94" t="s">
        <v>35</v>
      </c>
      <c r="E94" t="s">
        <v>49</v>
      </c>
      <c r="F94" t="s">
        <v>19</v>
      </c>
      <c r="G94" t="s">
        <v>20</v>
      </c>
      <c r="H94" t="s">
        <v>21</v>
      </c>
      <c r="I94" t="s">
        <v>22</v>
      </c>
      <c r="J94" t="s">
        <v>148</v>
      </c>
      <c r="K94" t="s">
        <v>23</v>
      </c>
      <c r="L94">
        <v>416</v>
      </c>
      <c r="M94" s="10">
        <v>3.3920921000000002</v>
      </c>
      <c r="N94" s="10">
        <v>242.69170005986123</v>
      </c>
      <c r="O94" s="10">
        <v>0.23529589119818642</v>
      </c>
      <c r="P94" s="1" t="str">
        <f>HYPERLINK(".\sm_car_250915_0045\sm_car_250915_0045_093_Ca120TrN_MaWOT_DrSt_ode23t_1.png","figure")</f>
        <v>figure</v>
      </c>
      <c r="Q94" t="s">
        <v>15</v>
      </c>
    </row>
    <row r="95" spans="1:17" x14ac:dyDescent="0.25">
      <c r="A95">
        <v>94</v>
      </c>
      <c r="B95">
        <v>120</v>
      </c>
      <c r="C95" t="s">
        <v>16</v>
      </c>
      <c r="D95" t="s">
        <v>35</v>
      </c>
      <c r="E95" t="s">
        <v>49</v>
      </c>
      <c r="F95" t="s">
        <v>19</v>
      </c>
      <c r="G95" t="s">
        <v>20</v>
      </c>
      <c r="H95" t="s">
        <v>21</v>
      </c>
      <c r="I95" t="s">
        <v>24</v>
      </c>
      <c r="J95" t="s">
        <v>148</v>
      </c>
      <c r="K95" t="s">
        <v>23</v>
      </c>
      <c r="L95">
        <v>534</v>
      </c>
      <c r="M95" s="10">
        <v>3.8506684</v>
      </c>
      <c r="N95" s="10">
        <v>74.671860856374394</v>
      </c>
      <c r="O95" s="10">
        <v>-0.33802521122689189</v>
      </c>
      <c r="P95" s="1" t="str">
        <f>HYPERLINK(".\sm_car_250915_0045\sm_car_250915_0045_094_Ca120TrN_MaLSS_DrSt_ode23t_1.png","figure")</f>
        <v>figure</v>
      </c>
      <c r="Q95" t="s">
        <v>15</v>
      </c>
    </row>
    <row r="96" spans="1:17" x14ac:dyDescent="0.25">
      <c r="A96">
        <v>95</v>
      </c>
      <c r="B96">
        <v>126</v>
      </c>
      <c r="C96" t="s">
        <v>16</v>
      </c>
      <c r="D96" t="s">
        <v>35</v>
      </c>
      <c r="E96" t="s">
        <v>49</v>
      </c>
      <c r="F96" t="s">
        <v>28</v>
      </c>
      <c r="G96" t="s">
        <v>26</v>
      </c>
      <c r="H96" t="s">
        <v>21</v>
      </c>
      <c r="I96" t="s">
        <v>22</v>
      </c>
      <c r="J96" t="s">
        <v>148</v>
      </c>
      <c r="K96" t="s">
        <v>23</v>
      </c>
      <c r="L96">
        <v>1021</v>
      </c>
      <c r="M96" s="10">
        <v>5.2573179000000003</v>
      </c>
      <c r="N96" s="10">
        <v>241.40150984008872</v>
      </c>
      <c r="O96" s="10">
        <v>0.23232492415403833</v>
      </c>
      <c r="P96" s="1" t="str">
        <f>HYPERLINK(".\sm_car_250915_0045\sm_car_250915_0045_095_Ca126TrN_MaWOT_DrSt_ode23t_1.png","figure")</f>
        <v>figure</v>
      </c>
      <c r="Q96" t="s">
        <v>15</v>
      </c>
    </row>
    <row r="97" spans="1:17" x14ac:dyDescent="0.25">
      <c r="A97">
        <v>96</v>
      </c>
      <c r="B97">
        <v>126</v>
      </c>
      <c r="C97" t="s">
        <v>16</v>
      </c>
      <c r="D97" t="s">
        <v>35</v>
      </c>
      <c r="E97" t="s">
        <v>49</v>
      </c>
      <c r="F97" t="s">
        <v>28</v>
      </c>
      <c r="G97" t="s">
        <v>26</v>
      </c>
      <c r="H97" t="s">
        <v>21</v>
      </c>
      <c r="I97" t="s">
        <v>24</v>
      </c>
      <c r="J97" t="s">
        <v>148</v>
      </c>
      <c r="K97" t="s">
        <v>23</v>
      </c>
      <c r="L97">
        <v>1165</v>
      </c>
      <c r="M97" s="10">
        <v>6.1181321999999998</v>
      </c>
      <c r="N97" s="10">
        <v>74.340824139294639</v>
      </c>
      <c r="O97" s="10">
        <v>-0.33655617483489453</v>
      </c>
      <c r="P97" s="1" t="str">
        <f>HYPERLINK(".\sm_car_250915_0045\sm_car_250915_0045_096_Ca126TrN_MaLSS_DrSt_ode23t_1.png","figure")</f>
        <v>figure</v>
      </c>
      <c r="Q97" t="s">
        <v>15</v>
      </c>
    </row>
    <row r="98" spans="1:17" x14ac:dyDescent="0.25">
      <c r="A98">
        <v>97</v>
      </c>
      <c r="B98">
        <v>127</v>
      </c>
      <c r="C98" t="s">
        <v>16</v>
      </c>
      <c r="D98" t="s">
        <v>35</v>
      </c>
      <c r="E98" t="s">
        <v>49</v>
      </c>
      <c r="F98" t="s">
        <v>28</v>
      </c>
      <c r="G98" t="s">
        <v>27</v>
      </c>
      <c r="H98" t="s">
        <v>21</v>
      </c>
      <c r="I98" t="s">
        <v>22</v>
      </c>
      <c r="J98" t="s">
        <v>148</v>
      </c>
      <c r="K98" t="s">
        <v>23</v>
      </c>
      <c r="L98">
        <v>1040</v>
      </c>
      <c r="M98" s="10">
        <v>5.4780170999999998</v>
      </c>
      <c r="N98" s="10">
        <v>240.8460554921881</v>
      </c>
      <c r="O98" s="10">
        <v>0.23056249356507966</v>
      </c>
      <c r="P98" s="1" t="str">
        <f>HYPERLINK(".\sm_car_250915_0045\sm_car_250915_0045_097_Ca127TrN_MaWOT_DrSt_ode23t_1.png","figure")</f>
        <v>figure</v>
      </c>
      <c r="Q98" t="s">
        <v>15</v>
      </c>
    </row>
    <row r="99" spans="1:17" x14ac:dyDescent="0.25">
      <c r="A99">
        <v>98</v>
      </c>
      <c r="B99">
        <v>127</v>
      </c>
      <c r="C99" t="s">
        <v>16</v>
      </c>
      <c r="D99" t="s">
        <v>35</v>
      </c>
      <c r="E99" t="s">
        <v>49</v>
      </c>
      <c r="F99" t="s">
        <v>28</v>
      </c>
      <c r="G99" t="s">
        <v>27</v>
      </c>
      <c r="H99" t="s">
        <v>21</v>
      </c>
      <c r="I99" t="s">
        <v>24</v>
      </c>
      <c r="J99" t="s">
        <v>148</v>
      </c>
      <c r="K99" t="s">
        <v>23</v>
      </c>
      <c r="L99">
        <v>1182</v>
      </c>
      <c r="M99" s="10">
        <v>6.8688210999999999</v>
      </c>
      <c r="N99" s="10">
        <v>74.19436596769917</v>
      </c>
      <c r="O99" s="10">
        <v>-0.33355519349974405</v>
      </c>
      <c r="P99" s="1" t="str">
        <f>HYPERLINK(".\sm_car_250915_0045\sm_car_250915_0045_098_Ca127TrN_MaLSS_DrSt_ode23t_1.png","figure")</f>
        <v>figure</v>
      </c>
      <c r="Q99" t="s">
        <v>15</v>
      </c>
    </row>
    <row r="100" spans="1:17" x14ac:dyDescent="0.25">
      <c r="A100">
        <v>99</v>
      </c>
      <c r="B100">
        <v>145</v>
      </c>
      <c r="C100" t="s">
        <v>46</v>
      </c>
      <c r="D100" t="s">
        <v>17</v>
      </c>
      <c r="E100" t="s">
        <v>50</v>
      </c>
      <c r="F100" t="s">
        <v>19</v>
      </c>
      <c r="G100" t="s">
        <v>26</v>
      </c>
      <c r="H100" t="s">
        <v>21</v>
      </c>
      <c r="I100" t="s">
        <v>22</v>
      </c>
      <c r="J100" t="s">
        <v>148</v>
      </c>
      <c r="K100" t="s">
        <v>23</v>
      </c>
      <c r="L100">
        <v>351</v>
      </c>
      <c r="M100" s="10">
        <v>12.003697799999999</v>
      </c>
      <c r="N100" s="10">
        <v>62.399474858094621</v>
      </c>
      <c r="O100" s="10">
        <v>1.9113483829288853E-2</v>
      </c>
      <c r="P100" s="1" t="str">
        <f>HYPERLINK(".\sm_car_250915_0045\sm_car_250915_0045_099_Ca145TrN_MaWOT_DrSt_ode23t_1.png","figure")</f>
        <v>figure</v>
      </c>
      <c r="Q100" t="s">
        <v>15</v>
      </c>
    </row>
    <row r="101" spans="1:17" x14ac:dyDescent="0.25">
      <c r="A101">
        <v>100</v>
      </c>
      <c r="B101">
        <v>145</v>
      </c>
      <c r="C101" t="s">
        <v>46</v>
      </c>
      <c r="D101" t="s">
        <v>17</v>
      </c>
      <c r="E101" t="s">
        <v>50</v>
      </c>
      <c r="F101" t="s">
        <v>19</v>
      </c>
      <c r="G101" t="s">
        <v>26</v>
      </c>
      <c r="H101" t="s">
        <v>21</v>
      </c>
      <c r="I101" t="s">
        <v>24</v>
      </c>
      <c r="J101" t="s">
        <v>148</v>
      </c>
      <c r="K101" t="s">
        <v>23</v>
      </c>
      <c r="L101">
        <v>474</v>
      </c>
      <c r="M101" s="10">
        <v>15.652601600000001</v>
      </c>
      <c r="N101" s="10">
        <v>24.926352733055506</v>
      </c>
      <c r="O101" s="10">
        <v>-4.93393638646758E-2</v>
      </c>
      <c r="P101" s="1" t="str">
        <f>HYPERLINK(".\sm_car_250915_0045\sm_car_250915_0045_100_Ca145TrN_MaLSS_DrSt_ode23t_1.png","figure")</f>
        <v>figure</v>
      </c>
      <c r="Q101" t="s">
        <v>15</v>
      </c>
    </row>
    <row r="102" spans="1:17" x14ac:dyDescent="0.25">
      <c r="A102">
        <v>101</v>
      </c>
      <c r="B102">
        <v>184</v>
      </c>
      <c r="C102" t="s">
        <v>105</v>
      </c>
      <c r="D102" t="s">
        <v>120</v>
      </c>
      <c r="E102" t="s">
        <v>49</v>
      </c>
      <c r="F102" t="s">
        <v>19</v>
      </c>
      <c r="G102" t="s">
        <v>20</v>
      </c>
      <c r="H102" t="s">
        <v>21</v>
      </c>
      <c r="I102" t="s">
        <v>22</v>
      </c>
      <c r="J102" t="s">
        <v>148</v>
      </c>
      <c r="K102" t="s">
        <v>23</v>
      </c>
      <c r="L102">
        <v>303</v>
      </c>
      <c r="M102" s="10">
        <v>14.026486800000001</v>
      </c>
      <c r="N102" s="10">
        <v>294.74345356954376</v>
      </c>
      <c r="O102" s="10">
        <v>-2.2653326884237851E-3</v>
      </c>
      <c r="P102" s="1" t="str">
        <f>HYPERLINK(".\sm_car_250915_0045\sm_car_250915_0045_101_Ca184TrN_MaWOT_DrSt_ode23t_1.png","figure")</f>
        <v>figure</v>
      </c>
      <c r="Q102" t="s">
        <v>15</v>
      </c>
    </row>
    <row r="103" spans="1:17" x14ac:dyDescent="0.25">
      <c r="A103">
        <v>102</v>
      </c>
      <c r="B103">
        <v>184</v>
      </c>
      <c r="C103" t="s">
        <v>105</v>
      </c>
      <c r="D103" t="s">
        <v>120</v>
      </c>
      <c r="E103" t="s">
        <v>49</v>
      </c>
      <c r="F103" t="s">
        <v>19</v>
      </c>
      <c r="G103" t="s">
        <v>20</v>
      </c>
      <c r="H103" t="s">
        <v>21</v>
      </c>
      <c r="I103" t="s">
        <v>24</v>
      </c>
      <c r="J103" t="s">
        <v>148</v>
      </c>
      <c r="K103" t="s">
        <v>23</v>
      </c>
      <c r="L103">
        <v>459</v>
      </c>
      <c r="M103" s="10">
        <v>10.7219348</v>
      </c>
      <c r="N103" s="10">
        <v>103.58579976048581</v>
      </c>
      <c r="O103" s="10">
        <v>-0.20634719275967137</v>
      </c>
      <c r="P103" s="1" t="str">
        <f>HYPERLINK(".\sm_car_250915_0045\sm_car_250915_0045_102_Ca184TrN_MaLSS_DrSt_ode23t_1.png","figure")</f>
        <v>figure</v>
      </c>
      <c r="Q103" t="s">
        <v>15</v>
      </c>
    </row>
    <row r="104" spans="1:17" x14ac:dyDescent="0.25">
      <c r="A104">
        <v>103</v>
      </c>
      <c r="B104">
        <v>217</v>
      </c>
      <c r="C104" t="s">
        <v>45</v>
      </c>
      <c r="D104" t="s">
        <v>17</v>
      </c>
      <c r="E104" t="s">
        <v>107</v>
      </c>
      <c r="F104" t="s">
        <v>119</v>
      </c>
      <c r="G104" t="s">
        <v>26</v>
      </c>
      <c r="H104" t="s">
        <v>21</v>
      </c>
      <c r="I104" t="s">
        <v>22</v>
      </c>
      <c r="J104" t="s">
        <v>148</v>
      </c>
      <c r="K104" t="s">
        <v>23</v>
      </c>
      <c r="L104">
        <v>747</v>
      </c>
      <c r="M104" s="10">
        <v>31.368431999999999</v>
      </c>
      <c r="N104" s="10">
        <v>276.38500082033266</v>
      </c>
      <c r="O104" s="10">
        <v>0.75132208644984555</v>
      </c>
      <c r="P104" s="1" t="str">
        <f>HYPERLINK(".\sm_car_250915_0045\sm_car_250915_0045_103_Ca217TrN_MaWOT_DrSt_ode23t_1.png","figure")</f>
        <v>figure</v>
      </c>
      <c r="Q104" t="s">
        <v>15</v>
      </c>
    </row>
    <row r="105" spans="1:17" x14ac:dyDescent="0.25">
      <c r="A105">
        <v>104</v>
      </c>
      <c r="B105">
        <v>217</v>
      </c>
      <c r="C105" t="s">
        <v>45</v>
      </c>
      <c r="D105" t="s">
        <v>17</v>
      </c>
      <c r="E105" t="s">
        <v>107</v>
      </c>
      <c r="F105" t="s">
        <v>119</v>
      </c>
      <c r="G105" t="s">
        <v>26</v>
      </c>
      <c r="H105" t="s">
        <v>21</v>
      </c>
      <c r="I105" t="s">
        <v>24</v>
      </c>
      <c r="J105" t="s">
        <v>148</v>
      </c>
      <c r="K105" t="s">
        <v>23</v>
      </c>
      <c r="L105">
        <v>854</v>
      </c>
      <c r="M105" s="10">
        <v>35.471545399999997</v>
      </c>
      <c r="N105" s="10">
        <v>109.1817271862933</v>
      </c>
      <c r="O105" s="10">
        <v>-0.3412628855033436</v>
      </c>
      <c r="P105" s="1" t="str">
        <f>HYPERLINK(".\sm_car_250915_0045\sm_car_250915_0045_104_Ca217TrN_MaLSS_DrSt_ode23t_1.png","figure")</f>
        <v>figure</v>
      </c>
      <c r="Q105" t="s">
        <v>15</v>
      </c>
    </row>
    <row r="106" spans="1:17" x14ac:dyDescent="0.25">
      <c r="A106">
        <v>105</v>
      </c>
      <c r="B106">
        <v>12</v>
      </c>
      <c r="C106" t="s">
        <v>16</v>
      </c>
      <c r="D106" t="s">
        <v>17</v>
      </c>
      <c r="E106" t="s">
        <v>49</v>
      </c>
      <c r="F106" t="s">
        <v>28</v>
      </c>
      <c r="G106" t="s">
        <v>20</v>
      </c>
      <c r="H106" t="s">
        <v>21</v>
      </c>
      <c r="I106" t="s">
        <v>53</v>
      </c>
      <c r="J106" t="s">
        <v>148</v>
      </c>
      <c r="K106" t="s">
        <v>23</v>
      </c>
      <c r="L106">
        <v>863</v>
      </c>
      <c r="M106" s="10">
        <v>10.1392726</v>
      </c>
      <c r="N106" s="10">
        <v>255.66252373968052</v>
      </c>
      <c r="O106" s="10">
        <v>3.9341747232902513E-2</v>
      </c>
      <c r="P106" s="1" t="str">
        <f>HYPERLINK(".\sm_car_250915_0045\sm_car_250915_0045_105_Ca012TrN_MaDLC_DrSt_ode23t_1.png","figure")</f>
        <v>figure</v>
      </c>
      <c r="Q106" t="s">
        <v>15</v>
      </c>
    </row>
    <row r="107" spans="1:17" x14ac:dyDescent="0.25">
      <c r="A107">
        <v>106</v>
      </c>
      <c r="B107">
        <v>12</v>
      </c>
      <c r="C107" t="s">
        <v>16</v>
      </c>
      <c r="D107" t="s">
        <v>17</v>
      </c>
      <c r="E107" t="s">
        <v>49</v>
      </c>
      <c r="F107" t="s">
        <v>28</v>
      </c>
      <c r="G107" t="s">
        <v>20</v>
      </c>
      <c r="H107" t="s">
        <v>21</v>
      </c>
      <c r="I107" t="s">
        <v>54</v>
      </c>
      <c r="J107" t="s">
        <v>148</v>
      </c>
      <c r="K107" t="s">
        <v>23</v>
      </c>
      <c r="L107">
        <v>907</v>
      </c>
      <c r="M107" s="10">
        <v>13.198865100000001</v>
      </c>
      <c r="N107" s="10">
        <v>74.404669434242706</v>
      </c>
      <c r="O107" s="10">
        <v>0.70196841065306281</v>
      </c>
      <c r="P107" s="1" t="str">
        <f>HYPERLINK(".\sm_car_250915_0045\sm_car_250915_0045_106_Ca012TrN_MaIPA_DrSt_ode23t_1.png","figure")</f>
        <v>figure</v>
      </c>
      <c r="Q107" t="s">
        <v>15</v>
      </c>
    </row>
    <row r="108" spans="1:17" x14ac:dyDescent="0.25">
      <c r="A108">
        <v>107</v>
      </c>
      <c r="B108">
        <v>142</v>
      </c>
      <c r="C108" t="s">
        <v>45</v>
      </c>
      <c r="D108" t="s">
        <v>17</v>
      </c>
      <c r="E108" t="s">
        <v>49</v>
      </c>
      <c r="F108" t="s">
        <v>28</v>
      </c>
      <c r="G108" t="s">
        <v>26</v>
      </c>
      <c r="H108" t="s">
        <v>21</v>
      </c>
      <c r="I108" t="s">
        <v>53</v>
      </c>
      <c r="J108" t="s">
        <v>148</v>
      </c>
      <c r="K108" t="s">
        <v>23</v>
      </c>
      <c r="L108">
        <v>991</v>
      </c>
      <c r="M108" s="10">
        <v>15.8309283</v>
      </c>
      <c r="N108" s="10">
        <v>254.2135842708505</v>
      </c>
      <c r="O108" s="10">
        <v>-7.4434949696819963E-3</v>
      </c>
      <c r="P108" s="1" t="str">
        <f>HYPERLINK(".\sm_car_250915_0045\sm_car_250915_0045_107_Ca142TrN_MaDLC_DrSt_ode23t_1.png","figure")</f>
        <v>figure</v>
      </c>
      <c r="Q108" t="s">
        <v>15</v>
      </c>
    </row>
    <row r="109" spans="1:17" x14ac:dyDescent="0.25">
      <c r="A109">
        <v>108</v>
      </c>
      <c r="B109">
        <v>142</v>
      </c>
      <c r="C109" t="s">
        <v>45</v>
      </c>
      <c r="D109" t="s">
        <v>17</v>
      </c>
      <c r="E109" t="s">
        <v>49</v>
      </c>
      <c r="F109" t="s">
        <v>28</v>
      </c>
      <c r="G109" t="s">
        <v>26</v>
      </c>
      <c r="H109" t="s">
        <v>21</v>
      </c>
      <c r="I109" t="s">
        <v>54</v>
      </c>
      <c r="J109" t="s">
        <v>148</v>
      </c>
      <c r="K109" t="s">
        <v>23</v>
      </c>
      <c r="L109">
        <v>1376</v>
      </c>
      <c r="M109" s="10">
        <v>33.553789199999997</v>
      </c>
      <c r="N109" s="10">
        <v>82.591804882698511</v>
      </c>
      <c r="O109" s="10">
        <v>0.65819851329902357</v>
      </c>
      <c r="P109" s="1" t="str">
        <f>HYPERLINK(".\sm_car_250915_0045\sm_car_250915_0045_108_Ca142TrN_MaIPA_DrSt_ode23t_1.png","figure")</f>
        <v>figure</v>
      </c>
      <c r="Q109" t="s">
        <v>15</v>
      </c>
    </row>
    <row r="110" spans="1:17" x14ac:dyDescent="0.25">
      <c r="A110">
        <v>109</v>
      </c>
      <c r="B110">
        <v>145</v>
      </c>
      <c r="C110" t="s">
        <v>46</v>
      </c>
      <c r="D110" t="s">
        <v>17</v>
      </c>
      <c r="E110" t="s">
        <v>50</v>
      </c>
      <c r="F110" t="s">
        <v>19</v>
      </c>
      <c r="G110" t="s">
        <v>26</v>
      </c>
      <c r="H110" t="s">
        <v>21</v>
      </c>
      <c r="I110" t="s">
        <v>53</v>
      </c>
      <c r="J110" t="s">
        <v>148</v>
      </c>
      <c r="K110" t="s">
        <v>23</v>
      </c>
      <c r="L110">
        <v>461</v>
      </c>
      <c r="M110" s="10">
        <v>14.483329299999999</v>
      </c>
      <c r="N110" s="10">
        <v>256.31979605052328</v>
      </c>
      <c r="O110" s="10">
        <v>6.4029890628637176E-2</v>
      </c>
      <c r="P110" s="1" t="str">
        <f>HYPERLINK(".\sm_car_250915_0045\sm_car_250915_0045_109_Ca145TrN_MaDLC_DrSt_ode23t_1.png","figure")</f>
        <v>figure</v>
      </c>
      <c r="Q110" t="s">
        <v>15</v>
      </c>
    </row>
    <row r="111" spans="1:17" x14ac:dyDescent="0.25">
      <c r="A111">
        <v>110</v>
      </c>
      <c r="B111">
        <v>145</v>
      </c>
      <c r="C111" t="s">
        <v>46</v>
      </c>
      <c r="D111" t="s">
        <v>17</v>
      </c>
      <c r="E111" t="s">
        <v>50</v>
      </c>
      <c r="F111" t="s">
        <v>19</v>
      </c>
      <c r="G111" t="s">
        <v>26</v>
      </c>
      <c r="H111" t="s">
        <v>21</v>
      </c>
      <c r="I111" t="s">
        <v>54</v>
      </c>
      <c r="J111" t="s">
        <v>148</v>
      </c>
      <c r="K111" t="s">
        <v>23</v>
      </c>
      <c r="L111">
        <v>322</v>
      </c>
      <c r="M111" s="10">
        <v>10.956772900000001</v>
      </c>
      <c r="N111" s="10">
        <v>27.99860875960826</v>
      </c>
      <c r="O111" s="10">
        <v>1.5713345306646313E-2</v>
      </c>
      <c r="P111" s="1" t="str">
        <f>HYPERLINK(".\sm_car_250915_0045\sm_car_250915_0045_110_Ca145TrN_MaIPA_DrSt_ode23t_1.png","figure")</f>
        <v>figure</v>
      </c>
      <c r="Q111" t="s">
        <v>15</v>
      </c>
    </row>
    <row r="112" spans="1:17" x14ac:dyDescent="0.25">
      <c r="A112">
        <v>111</v>
      </c>
      <c r="B112">
        <v>184</v>
      </c>
      <c r="C112" t="s">
        <v>105</v>
      </c>
      <c r="D112" t="s">
        <v>120</v>
      </c>
      <c r="E112" t="s">
        <v>49</v>
      </c>
      <c r="F112" t="s">
        <v>19</v>
      </c>
      <c r="G112" t="s">
        <v>20</v>
      </c>
      <c r="H112" t="s">
        <v>21</v>
      </c>
      <c r="I112" t="s">
        <v>53</v>
      </c>
      <c r="J112" t="s">
        <v>148</v>
      </c>
      <c r="K112" t="s">
        <v>23</v>
      </c>
      <c r="L112">
        <v>380</v>
      </c>
      <c r="M112" s="10">
        <v>10.4819239</v>
      </c>
      <c r="N112" s="10">
        <v>254.98892990518664</v>
      </c>
      <c r="O112" s="10">
        <v>9.7839699005786152E-3</v>
      </c>
      <c r="P112" s="1" t="str">
        <f>HYPERLINK(".\sm_car_250915_0045\sm_car_250915_0045_111_Ca184TrN_MaDLC_DrSt_ode23t_1.png","figure")</f>
        <v>figure</v>
      </c>
      <c r="Q112" t="s">
        <v>15</v>
      </c>
    </row>
    <row r="113" spans="1:17" x14ac:dyDescent="0.25">
      <c r="A113">
        <v>112</v>
      </c>
      <c r="B113">
        <v>184</v>
      </c>
      <c r="C113" t="s">
        <v>105</v>
      </c>
      <c r="D113" t="s">
        <v>120</v>
      </c>
      <c r="E113" t="s">
        <v>49</v>
      </c>
      <c r="F113" t="s">
        <v>19</v>
      </c>
      <c r="G113" t="s">
        <v>20</v>
      </c>
      <c r="H113" t="s">
        <v>21</v>
      </c>
      <c r="I113" t="s">
        <v>54</v>
      </c>
      <c r="J113" t="s">
        <v>148</v>
      </c>
      <c r="K113" t="s">
        <v>23</v>
      </c>
      <c r="L113">
        <v>304</v>
      </c>
      <c r="M113" s="10">
        <v>11.089957099999999</v>
      </c>
      <c r="N113" s="10">
        <v>55.268394407355501</v>
      </c>
      <c r="O113" s="10">
        <v>5.7474368086106878E-3</v>
      </c>
      <c r="P113" s="1" t="str">
        <f>HYPERLINK(".\sm_car_250915_0045\sm_car_250915_0045_112_Ca184TrN_MaIPA_DrSt_ode23t_1.png","figure")</f>
        <v>figure</v>
      </c>
      <c r="Q113" t="s">
        <v>15</v>
      </c>
    </row>
    <row r="114" spans="1:17" x14ac:dyDescent="0.25">
      <c r="A114">
        <v>113</v>
      </c>
      <c r="B114">
        <v>204</v>
      </c>
      <c r="C114" t="s">
        <v>105</v>
      </c>
      <c r="D114" t="s">
        <v>106</v>
      </c>
      <c r="E114" t="s">
        <v>18</v>
      </c>
      <c r="F114" t="s">
        <v>19</v>
      </c>
      <c r="G114" t="s">
        <v>20</v>
      </c>
      <c r="H114" t="s">
        <v>21</v>
      </c>
      <c r="I114" t="s">
        <v>53</v>
      </c>
      <c r="J114" t="s">
        <v>148</v>
      </c>
      <c r="K114" t="s">
        <v>23</v>
      </c>
      <c r="L114">
        <v>1846</v>
      </c>
      <c r="M114" s="10">
        <v>24.868115599999999</v>
      </c>
      <c r="N114" s="10">
        <v>254.66277026108662</v>
      </c>
      <c r="O114" s="10">
        <v>1.8069888375600307E-2</v>
      </c>
      <c r="P114" s="1" t="str">
        <f>HYPERLINK(".\sm_car_250915_0045\sm_car_250915_0045_113_Ca204TrN_MaDLC_DrSt_ode23t_1.png","figure")</f>
        <v>figure</v>
      </c>
      <c r="Q114" t="s">
        <v>15</v>
      </c>
    </row>
    <row r="115" spans="1:17" x14ac:dyDescent="0.25">
      <c r="A115">
        <v>114</v>
      </c>
      <c r="B115">
        <v>204</v>
      </c>
      <c r="C115" t="s">
        <v>105</v>
      </c>
      <c r="D115" t="s">
        <v>106</v>
      </c>
      <c r="E115" t="s">
        <v>18</v>
      </c>
      <c r="F115" t="s">
        <v>19</v>
      </c>
      <c r="G115" t="s">
        <v>20</v>
      </c>
      <c r="H115" t="s">
        <v>21</v>
      </c>
      <c r="I115" t="s">
        <v>54</v>
      </c>
      <c r="J115" t="s">
        <v>148</v>
      </c>
      <c r="K115" t="s">
        <v>23</v>
      </c>
      <c r="L115">
        <v>663</v>
      </c>
      <c r="M115" s="10">
        <v>10.527820999999999</v>
      </c>
      <c r="N115" s="10">
        <v>26.034582908336471</v>
      </c>
      <c r="O115" s="10">
        <v>9.6641497332310318E-3</v>
      </c>
      <c r="P115" s="1" t="str">
        <f>HYPERLINK(".\sm_car_250915_0045\sm_car_250915_0045_114_Ca204TrN_MaIPA_DrSt_ode23t_1.png","figure")</f>
        <v>figure</v>
      </c>
      <c r="Q115" t="s">
        <v>15</v>
      </c>
    </row>
    <row r="116" spans="1:17" x14ac:dyDescent="0.25">
      <c r="A116">
        <v>115</v>
      </c>
      <c r="B116">
        <v>12</v>
      </c>
      <c r="C116" t="s">
        <v>16</v>
      </c>
      <c r="D116" t="s">
        <v>17</v>
      </c>
      <c r="E116" t="s">
        <v>49</v>
      </c>
      <c r="F116" t="s">
        <v>28</v>
      </c>
      <c r="G116" t="s">
        <v>20</v>
      </c>
      <c r="H116" t="s">
        <v>21</v>
      </c>
      <c r="I116" t="s">
        <v>55</v>
      </c>
      <c r="J116" t="s">
        <v>148</v>
      </c>
      <c r="K116" t="s">
        <v>23</v>
      </c>
      <c r="L116">
        <v>2579</v>
      </c>
      <c r="M116" s="10">
        <v>26.224379800000001</v>
      </c>
      <c r="N116" s="10">
        <v>-1.9835823487369578E-2</v>
      </c>
      <c r="O116" s="10">
        <v>-0.64594248226205764</v>
      </c>
      <c r="P116" s="1" t="str">
        <f>HYPERLINK(".\sm_car_250915_0045\sm_car_250915_0045_115_Ca012TrN_MaMPK_DrSt_ode23t_1.png","figure")</f>
        <v>figure</v>
      </c>
      <c r="Q116" t="s">
        <v>15</v>
      </c>
    </row>
    <row r="117" spans="1:17" x14ac:dyDescent="0.25">
      <c r="A117">
        <v>116</v>
      </c>
      <c r="B117">
        <v>12</v>
      </c>
      <c r="C117" t="s">
        <v>16</v>
      </c>
      <c r="D117" t="s">
        <v>17</v>
      </c>
      <c r="E117" t="s">
        <v>49</v>
      </c>
      <c r="F117" t="s">
        <v>28</v>
      </c>
      <c r="G117" t="s">
        <v>20</v>
      </c>
      <c r="H117" t="s">
        <v>21</v>
      </c>
      <c r="I117" t="s">
        <v>55</v>
      </c>
      <c r="J117" t="s">
        <v>149</v>
      </c>
      <c r="K117" t="s">
        <v>23</v>
      </c>
      <c r="L117">
        <v>2416</v>
      </c>
      <c r="M117" s="10">
        <v>23.045972899999999</v>
      </c>
      <c r="N117" s="10">
        <v>-8.839764892598162E-3</v>
      </c>
      <c r="O117" s="10">
        <v>-3.8047631950940818E-2</v>
      </c>
      <c r="P117" s="1" t="str">
        <f>HYPERLINK(".\sm_car_250915_0045\sm_car_250915_0045_116_Ca012TrN_MaMPK_DrSt_ode23t_1.png","figure")</f>
        <v>figure</v>
      </c>
      <c r="Q117" t="s">
        <v>15</v>
      </c>
    </row>
    <row r="118" spans="1:17" x14ac:dyDescent="0.25">
      <c r="A118">
        <v>117</v>
      </c>
      <c r="B118">
        <v>12</v>
      </c>
      <c r="C118" t="s">
        <v>16</v>
      </c>
      <c r="D118" t="s">
        <v>17</v>
      </c>
      <c r="E118" t="s">
        <v>49</v>
      </c>
      <c r="F118" t="s">
        <v>28</v>
      </c>
      <c r="G118" t="s">
        <v>20</v>
      </c>
      <c r="H118" t="s">
        <v>21</v>
      </c>
      <c r="I118" t="s">
        <v>56</v>
      </c>
      <c r="J118" t="s">
        <v>148</v>
      </c>
      <c r="K118" t="s">
        <v>23</v>
      </c>
      <c r="L118">
        <v>2416</v>
      </c>
      <c r="M118" s="10">
        <v>23.465764799999999</v>
      </c>
      <c r="N118" s="10">
        <v>0.78936916559760206</v>
      </c>
      <c r="O118" s="10">
        <v>-0.33087933980760537</v>
      </c>
      <c r="P118" s="1" t="str">
        <f>HYPERLINK(".\sm_car_250915_0045\sm_car_250915_0045_117_Ca012TrN_MaMPC_DrSt_ode23t_1.png","figure")</f>
        <v>figure</v>
      </c>
      <c r="Q118" t="s">
        <v>15</v>
      </c>
    </row>
    <row r="119" spans="1:17" x14ac:dyDescent="0.25">
      <c r="A119">
        <v>118</v>
      </c>
      <c r="B119">
        <v>12</v>
      </c>
      <c r="C119" t="s">
        <v>16</v>
      </c>
      <c r="D119" t="s">
        <v>17</v>
      </c>
      <c r="E119" t="s">
        <v>49</v>
      </c>
      <c r="F119" t="s">
        <v>28</v>
      </c>
      <c r="G119" t="s">
        <v>20</v>
      </c>
      <c r="H119" t="s">
        <v>21</v>
      </c>
      <c r="I119" t="s">
        <v>56</v>
      </c>
      <c r="J119" t="s">
        <v>149</v>
      </c>
      <c r="K119" t="s">
        <v>23</v>
      </c>
      <c r="L119">
        <v>2263</v>
      </c>
      <c r="M119" s="10">
        <v>23.988994399999999</v>
      </c>
      <c r="N119" s="10">
        <v>0.78762456797879032</v>
      </c>
      <c r="O119" s="10">
        <v>0.10432632867570622</v>
      </c>
      <c r="P119" s="1" t="str">
        <f>HYPERLINK(".\sm_car_250915_0045\sm_car_250915_0045_118_Ca012TrN_MaMPC_DrSt_ode23t_1.png","figure")</f>
        <v>figure</v>
      </c>
      <c r="Q119" t="s">
        <v>15</v>
      </c>
    </row>
    <row r="120" spans="1:17" x14ac:dyDescent="0.25">
      <c r="A120">
        <v>119</v>
      </c>
      <c r="B120">
        <v>142</v>
      </c>
      <c r="C120" t="s">
        <v>45</v>
      </c>
      <c r="D120" t="s">
        <v>17</v>
      </c>
      <c r="E120" t="s">
        <v>49</v>
      </c>
      <c r="F120" t="s">
        <v>28</v>
      </c>
      <c r="G120" t="s">
        <v>26</v>
      </c>
      <c r="H120" t="s">
        <v>21</v>
      </c>
      <c r="I120" t="s">
        <v>55</v>
      </c>
      <c r="J120" t="s">
        <v>148</v>
      </c>
      <c r="K120" t="s">
        <v>23</v>
      </c>
      <c r="L120">
        <v>2516</v>
      </c>
      <c r="M120" s="10">
        <v>26.527797400000001</v>
      </c>
      <c r="N120" s="10">
        <v>-1.0554057619776333E-2</v>
      </c>
      <c r="O120" s="10">
        <v>-0.55874383277260931</v>
      </c>
      <c r="P120" s="1" t="str">
        <f>HYPERLINK(".\sm_car_250915_0045\sm_car_250915_0045_119_Ca142TrN_MaMPK_DrSt_ode23t_1.png","figure")</f>
        <v>figure</v>
      </c>
      <c r="Q120" t="s">
        <v>15</v>
      </c>
    </row>
    <row r="121" spans="1:17" x14ac:dyDescent="0.25">
      <c r="A121">
        <v>120</v>
      </c>
      <c r="B121">
        <v>142</v>
      </c>
      <c r="C121" t="s">
        <v>45</v>
      </c>
      <c r="D121" t="s">
        <v>17</v>
      </c>
      <c r="E121" t="s">
        <v>49</v>
      </c>
      <c r="F121" t="s">
        <v>28</v>
      </c>
      <c r="G121" t="s">
        <v>26</v>
      </c>
      <c r="H121" t="s">
        <v>21</v>
      </c>
      <c r="I121" t="s">
        <v>55</v>
      </c>
      <c r="J121" t="s">
        <v>149</v>
      </c>
      <c r="K121" t="s">
        <v>23</v>
      </c>
      <c r="L121">
        <v>2873</v>
      </c>
      <c r="M121" s="10">
        <v>31.226452699999999</v>
      </c>
      <c r="N121" s="10">
        <v>-9.4943367710563775E-3</v>
      </c>
      <c r="O121" s="10">
        <v>-8.0528343113957443E-2</v>
      </c>
      <c r="P121" s="1" t="str">
        <f>HYPERLINK(".\sm_car_250915_0045\sm_car_250915_0045_120_Ca142TrN_MaMPK_DrSt_ode23t_1.png","figure")</f>
        <v>figure</v>
      </c>
      <c r="Q121" t="s">
        <v>15</v>
      </c>
    </row>
    <row r="122" spans="1:17" x14ac:dyDescent="0.25">
      <c r="A122">
        <v>121</v>
      </c>
      <c r="B122">
        <v>142</v>
      </c>
      <c r="C122" t="s">
        <v>45</v>
      </c>
      <c r="D122" t="s">
        <v>17</v>
      </c>
      <c r="E122" t="s">
        <v>49</v>
      </c>
      <c r="F122" t="s">
        <v>28</v>
      </c>
      <c r="G122" t="s">
        <v>26</v>
      </c>
      <c r="H122" t="s">
        <v>21</v>
      </c>
      <c r="I122" t="s">
        <v>56</v>
      </c>
      <c r="J122" t="s">
        <v>148</v>
      </c>
      <c r="K122" t="s">
        <v>23</v>
      </c>
      <c r="L122">
        <v>2397</v>
      </c>
      <c r="M122" s="10">
        <v>33.374415900000002</v>
      </c>
      <c r="N122" s="10">
        <v>0.78932241343147425</v>
      </c>
      <c r="O122" s="10">
        <v>-0.37191903630199746</v>
      </c>
      <c r="P122" s="1" t="str">
        <f>HYPERLINK(".\sm_car_250915_0045\sm_car_250915_0045_121_Ca142TrN_MaMPC_DrSt_ode23t_1.png","figure")</f>
        <v>figure</v>
      </c>
      <c r="Q122" t="s">
        <v>15</v>
      </c>
    </row>
    <row r="123" spans="1:17" x14ac:dyDescent="0.25">
      <c r="A123">
        <v>122</v>
      </c>
      <c r="B123">
        <v>142</v>
      </c>
      <c r="C123" t="s">
        <v>45</v>
      </c>
      <c r="D123" t="s">
        <v>17</v>
      </c>
      <c r="E123" t="s">
        <v>49</v>
      </c>
      <c r="F123" t="s">
        <v>28</v>
      </c>
      <c r="G123" t="s">
        <v>26</v>
      </c>
      <c r="H123" t="s">
        <v>21</v>
      </c>
      <c r="I123" t="s">
        <v>56</v>
      </c>
      <c r="J123" t="s">
        <v>149</v>
      </c>
      <c r="K123" t="s">
        <v>23</v>
      </c>
      <c r="L123">
        <v>2752</v>
      </c>
      <c r="M123" s="10">
        <v>33.703454700000002</v>
      </c>
      <c r="N123" s="10">
        <v>0.78637378895471954</v>
      </c>
      <c r="O123" s="10">
        <v>1.7221004732070971E-2</v>
      </c>
      <c r="P123" s="1" t="str">
        <f>HYPERLINK(".\sm_car_250915_0045\sm_car_250915_0045_122_Ca142TrN_MaMPC_DrSt_ode23t_1.png","figure")</f>
        <v>figure</v>
      </c>
      <c r="Q123" t="s">
        <v>15</v>
      </c>
    </row>
    <row r="124" spans="1:17" x14ac:dyDescent="0.25">
      <c r="A124">
        <v>123</v>
      </c>
      <c r="B124">
        <v>116</v>
      </c>
      <c r="C124" t="s">
        <v>16</v>
      </c>
      <c r="D124" t="s">
        <v>35</v>
      </c>
      <c r="E124" t="s">
        <v>18</v>
      </c>
      <c r="F124" t="s">
        <v>28</v>
      </c>
      <c r="G124" t="s">
        <v>20</v>
      </c>
      <c r="H124" t="s">
        <v>21</v>
      </c>
      <c r="I124" t="s">
        <v>55</v>
      </c>
      <c r="J124" t="s">
        <v>148</v>
      </c>
      <c r="K124" t="s">
        <v>23</v>
      </c>
      <c r="L124">
        <v>2875</v>
      </c>
      <c r="M124" s="10">
        <v>14.3330251</v>
      </c>
      <c r="N124" s="10">
        <v>-1.5146090292659384E-2</v>
      </c>
      <c r="O124" s="10">
        <v>-0.54255929705996442</v>
      </c>
      <c r="P124" s="1" t="str">
        <f>HYPERLINK(".\sm_car_250915_0045\sm_car_250915_0045_123_Ca116TrN_MaMPK_DrSt_ode23t_1.png","figure")</f>
        <v>figure</v>
      </c>
      <c r="Q124" t="s">
        <v>15</v>
      </c>
    </row>
    <row r="125" spans="1:17" x14ac:dyDescent="0.25">
      <c r="A125">
        <v>124</v>
      </c>
      <c r="B125">
        <v>116</v>
      </c>
      <c r="C125" t="s">
        <v>16</v>
      </c>
      <c r="D125" t="s">
        <v>35</v>
      </c>
      <c r="E125" t="s">
        <v>18</v>
      </c>
      <c r="F125" t="s">
        <v>28</v>
      </c>
      <c r="G125" t="s">
        <v>20</v>
      </c>
      <c r="H125" t="s">
        <v>21</v>
      </c>
      <c r="I125" t="s">
        <v>55</v>
      </c>
      <c r="J125" t="s">
        <v>149</v>
      </c>
      <c r="K125" t="s">
        <v>23</v>
      </c>
      <c r="L125">
        <v>2793</v>
      </c>
      <c r="M125" s="10">
        <v>13.4947877</v>
      </c>
      <c r="N125" s="10">
        <v>-1.8621732383621636E-2</v>
      </c>
      <c r="O125" s="10">
        <v>-0.53558513619531656</v>
      </c>
      <c r="P125" s="1" t="str">
        <f>HYPERLINK(".\sm_car_250915_0045\sm_car_250915_0045_124_Ca116TrN_MaMPK_DrSt_ode23t_1.png","figure")</f>
        <v>figure</v>
      </c>
      <c r="Q125" t="s">
        <v>15</v>
      </c>
    </row>
    <row r="126" spans="1:17" x14ac:dyDescent="0.25">
      <c r="A126">
        <v>125</v>
      </c>
      <c r="B126">
        <v>116</v>
      </c>
      <c r="C126" t="s">
        <v>16</v>
      </c>
      <c r="D126" t="s">
        <v>35</v>
      </c>
      <c r="E126" t="s">
        <v>18</v>
      </c>
      <c r="F126" t="s">
        <v>28</v>
      </c>
      <c r="G126" t="s">
        <v>20</v>
      </c>
      <c r="H126" t="s">
        <v>21</v>
      </c>
      <c r="I126" t="s">
        <v>56</v>
      </c>
      <c r="J126" t="s">
        <v>148</v>
      </c>
      <c r="K126" t="s">
        <v>23</v>
      </c>
      <c r="L126">
        <v>2745</v>
      </c>
      <c r="M126" s="10">
        <v>14.1791447</v>
      </c>
      <c r="N126" s="10">
        <v>0.77930057810873699</v>
      </c>
      <c r="O126" s="10">
        <v>-0.3627278880742667</v>
      </c>
      <c r="P126" s="1" t="str">
        <f>HYPERLINK(".\sm_car_250915_0045\sm_car_250915_0045_125_Ca116TrN_MaMPC_DrSt_ode23t_1.png","figure")</f>
        <v>figure</v>
      </c>
      <c r="Q126" t="s">
        <v>15</v>
      </c>
    </row>
    <row r="127" spans="1:17" x14ac:dyDescent="0.25">
      <c r="A127">
        <v>126</v>
      </c>
      <c r="B127">
        <v>116</v>
      </c>
      <c r="C127" t="s">
        <v>16</v>
      </c>
      <c r="D127" t="s">
        <v>35</v>
      </c>
      <c r="E127" t="s">
        <v>18</v>
      </c>
      <c r="F127" t="s">
        <v>28</v>
      </c>
      <c r="G127" t="s">
        <v>20</v>
      </c>
      <c r="H127" t="s">
        <v>21</v>
      </c>
      <c r="I127" t="s">
        <v>56</v>
      </c>
      <c r="J127" t="s">
        <v>149</v>
      </c>
      <c r="K127" t="s">
        <v>23</v>
      </c>
      <c r="L127">
        <v>2620</v>
      </c>
      <c r="M127" s="10">
        <v>13.0592147</v>
      </c>
      <c r="N127" s="10">
        <v>0.78933830328989529</v>
      </c>
      <c r="O127" s="10">
        <v>0.4406366733698352</v>
      </c>
      <c r="P127" s="1" t="str">
        <f>HYPERLINK(".\sm_car_250915_0045\sm_car_250915_0045_126_Ca116TrN_MaMPC_DrSt_ode23t_1.png","figure")</f>
        <v>figure</v>
      </c>
      <c r="Q127" t="s">
        <v>15</v>
      </c>
    </row>
    <row r="128" spans="1:17" x14ac:dyDescent="0.25">
      <c r="A128">
        <v>127</v>
      </c>
      <c r="B128">
        <v>143</v>
      </c>
      <c r="C128" t="s">
        <v>46</v>
      </c>
      <c r="D128" t="s">
        <v>17</v>
      </c>
      <c r="E128" t="s">
        <v>47</v>
      </c>
      <c r="F128" t="s">
        <v>19</v>
      </c>
      <c r="G128" t="s">
        <v>26</v>
      </c>
      <c r="H128" t="s">
        <v>21</v>
      </c>
      <c r="I128" t="s">
        <v>55</v>
      </c>
      <c r="J128" t="s">
        <v>148</v>
      </c>
      <c r="K128" t="s">
        <v>23</v>
      </c>
      <c r="L128">
        <v>2478</v>
      </c>
      <c r="M128" s="10">
        <v>44.422062199999999</v>
      </c>
      <c r="N128" s="10">
        <v>-1.6507926713487595E-2</v>
      </c>
      <c r="O128" s="10">
        <v>-0.40356660533902933</v>
      </c>
      <c r="P128" s="1" t="str">
        <f>HYPERLINK(".\sm_car_250915_0045\sm_car_250915_0045_127_Ca143TrN_MaMPK_DrSt_ode23t_1.png","figure")</f>
        <v>figure</v>
      </c>
      <c r="Q128" t="s">
        <v>15</v>
      </c>
    </row>
    <row r="129" spans="1:17" x14ac:dyDescent="0.25">
      <c r="A129">
        <v>128</v>
      </c>
      <c r="B129">
        <v>143</v>
      </c>
      <c r="C129" t="s">
        <v>46</v>
      </c>
      <c r="D129" t="s">
        <v>17</v>
      </c>
      <c r="E129" t="s">
        <v>47</v>
      </c>
      <c r="F129" t="s">
        <v>19</v>
      </c>
      <c r="G129" t="s">
        <v>26</v>
      </c>
      <c r="H129" t="s">
        <v>21</v>
      </c>
      <c r="I129" t="s">
        <v>55</v>
      </c>
      <c r="J129" t="s">
        <v>149</v>
      </c>
      <c r="K129" t="s">
        <v>23</v>
      </c>
      <c r="L129">
        <v>2204</v>
      </c>
      <c r="M129" s="10">
        <v>39.045204900000002</v>
      </c>
      <c r="N129" s="10">
        <v>-1.1194410351103967E-2</v>
      </c>
      <c r="O129" s="10">
        <v>-8.9867891511201989E-2</v>
      </c>
      <c r="P129" s="1" t="str">
        <f>HYPERLINK(".\sm_car_250915_0045\sm_car_250915_0045_128_Ca143TrN_MaMPK_DrSt_ode23t_1.png","figure")</f>
        <v>figure</v>
      </c>
      <c r="Q129" t="s">
        <v>15</v>
      </c>
    </row>
    <row r="130" spans="1:17" x14ac:dyDescent="0.25">
      <c r="A130">
        <v>129</v>
      </c>
      <c r="B130">
        <v>143</v>
      </c>
      <c r="C130" t="s">
        <v>46</v>
      </c>
      <c r="D130" t="s">
        <v>17</v>
      </c>
      <c r="E130" t="s">
        <v>47</v>
      </c>
      <c r="F130" t="s">
        <v>19</v>
      </c>
      <c r="G130" t="s">
        <v>26</v>
      </c>
      <c r="H130" t="s">
        <v>21</v>
      </c>
      <c r="I130" t="s">
        <v>56</v>
      </c>
      <c r="J130" t="s">
        <v>148</v>
      </c>
      <c r="K130" t="s">
        <v>23</v>
      </c>
      <c r="L130">
        <v>2376</v>
      </c>
      <c r="M130" s="10">
        <v>45.298417399999998</v>
      </c>
      <c r="N130" s="10">
        <v>0.78889968258203247</v>
      </c>
      <c r="O130" s="10">
        <v>-0.27134493263109882</v>
      </c>
      <c r="P130" s="1" t="str">
        <f>HYPERLINK(".\sm_car_250915_0045\sm_car_250915_0045_129_Ca143TrN_MaMPC_DrSt_ode23t_1.png","figure")</f>
        <v>figure</v>
      </c>
      <c r="Q130" t="s">
        <v>15</v>
      </c>
    </row>
    <row r="131" spans="1:17" x14ac:dyDescent="0.25">
      <c r="A131">
        <v>130</v>
      </c>
      <c r="B131">
        <v>143</v>
      </c>
      <c r="C131" t="s">
        <v>46</v>
      </c>
      <c r="D131" t="s">
        <v>17</v>
      </c>
      <c r="E131" t="s">
        <v>47</v>
      </c>
      <c r="F131" t="s">
        <v>19</v>
      </c>
      <c r="G131" t="s">
        <v>26</v>
      </c>
      <c r="H131" t="s">
        <v>21</v>
      </c>
      <c r="I131" t="s">
        <v>56</v>
      </c>
      <c r="J131" t="s">
        <v>149</v>
      </c>
      <c r="K131" t="s">
        <v>23</v>
      </c>
      <c r="L131">
        <v>2123</v>
      </c>
      <c r="M131" s="10">
        <v>43.775338400000003</v>
      </c>
      <c r="N131" s="10">
        <v>0.78889820799642152</v>
      </c>
      <c r="O131" s="10">
        <v>-0.15415133191952177</v>
      </c>
      <c r="P131" s="1" t="str">
        <f>HYPERLINK(".\sm_car_250915_0045\sm_car_250915_0045_130_Ca143TrN_MaMPC_DrSt_ode23t_1.png","figure")</f>
        <v>figure</v>
      </c>
      <c r="Q131" t="s">
        <v>15</v>
      </c>
    </row>
    <row r="132" spans="1:17" x14ac:dyDescent="0.25">
      <c r="A132">
        <v>131</v>
      </c>
      <c r="B132">
        <v>166</v>
      </c>
      <c r="C132" t="s">
        <v>45</v>
      </c>
      <c r="D132" t="s">
        <v>57</v>
      </c>
      <c r="E132" t="s">
        <v>18</v>
      </c>
      <c r="F132" t="s">
        <v>19</v>
      </c>
      <c r="G132" t="s">
        <v>26</v>
      </c>
      <c r="H132" t="s">
        <v>21</v>
      </c>
      <c r="I132" t="s">
        <v>55</v>
      </c>
      <c r="J132" t="s">
        <v>148</v>
      </c>
      <c r="K132" t="s">
        <v>23</v>
      </c>
      <c r="L132">
        <v>3202</v>
      </c>
      <c r="M132" s="10">
        <v>52.108287199999999</v>
      </c>
      <c r="N132" s="10">
        <v>-1.9427860052548332E-2</v>
      </c>
      <c r="O132" s="10">
        <v>-0.5725376921398081</v>
      </c>
      <c r="P132" s="1" t="str">
        <f>HYPERLINK(".\sm_car_250915_0045\sm_car_250915_0045_131_Ca166TrN_MaMPK_DrSt_ode23t_1.png","figure")</f>
        <v>figure</v>
      </c>
      <c r="Q132" t="s">
        <v>15</v>
      </c>
    </row>
    <row r="133" spans="1:17" x14ac:dyDescent="0.25">
      <c r="A133">
        <v>132</v>
      </c>
      <c r="B133">
        <v>166</v>
      </c>
      <c r="C133" t="s">
        <v>45</v>
      </c>
      <c r="D133" t="s">
        <v>57</v>
      </c>
      <c r="E133" t="s">
        <v>18</v>
      </c>
      <c r="F133" t="s">
        <v>19</v>
      </c>
      <c r="G133" t="s">
        <v>26</v>
      </c>
      <c r="H133" t="s">
        <v>21</v>
      </c>
      <c r="I133" t="s">
        <v>55</v>
      </c>
      <c r="J133" t="s">
        <v>149</v>
      </c>
      <c r="K133" t="s">
        <v>23</v>
      </c>
      <c r="L133">
        <v>3770</v>
      </c>
      <c r="M133" s="10">
        <v>57.4062847</v>
      </c>
      <c r="N133" s="10">
        <v>-1.106063986610506E-2</v>
      </c>
      <c r="O133" s="10">
        <v>-8.4588614250782124E-2</v>
      </c>
      <c r="P133" s="1" t="str">
        <f>HYPERLINK(".\sm_car_250915_0045\sm_car_250915_0045_132_Ca166TrN_MaMPK_DrSt_ode23t_1.png","figure")</f>
        <v>figure</v>
      </c>
      <c r="Q133" t="s">
        <v>15</v>
      </c>
    </row>
    <row r="134" spans="1:17" x14ac:dyDescent="0.25">
      <c r="A134">
        <v>133</v>
      </c>
      <c r="B134">
        <v>166</v>
      </c>
      <c r="C134" t="s">
        <v>45</v>
      </c>
      <c r="D134" t="s">
        <v>57</v>
      </c>
      <c r="E134" t="s">
        <v>18</v>
      </c>
      <c r="F134" t="s">
        <v>19</v>
      </c>
      <c r="G134" t="s">
        <v>26</v>
      </c>
      <c r="H134" t="s">
        <v>21</v>
      </c>
      <c r="I134" t="s">
        <v>56</v>
      </c>
      <c r="J134" t="s">
        <v>148</v>
      </c>
      <c r="K134" t="s">
        <v>23</v>
      </c>
      <c r="L134">
        <v>3034</v>
      </c>
      <c r="M134" s="10">
        <v>53.815679099999997</v>
      </c>
      <c r="N134" s="10">
        <v>0.78295401769542217</v>
      </c>
      <c r="O134" s="10">
        <v>-0.36181337551522608</v>
      </c>
      <c r="P134" s="1" t="str">
        <f>HYPERLINK(".\sm_car_250915_0045\sm_car_250915_0045_133_Ca166TrN_MaMPC_DrSt_ode23t_1.png","figure")</f>
        <v>figure</v>
      </c>
      <c r="Q134" t="s">
        <v>15</v>
      </c>
    </row>
    <row r="135" spans="1:17" x14ac:dyDescent="0.25">
      <c r="A135">
        <v>134</v>
      </c>
      <c r="B135">
        <v>166</v>
      </c>
      <c r="C135" t="s">
        <v>45</v>
      </c>
      <c r="D135" t="s">
        <v>57</v>
      </c>
      <c r="E135" t="s">
        <v>18</v>
      </c>
      <c r="F135" t="s">
        <v>19</v>
      </c>
      <c r="G135" t="s">
        <v>26</v>
      </c>
      <c r="H135" t="s">
        <v>21</v>
      </c>
      <c r="I135" t="s">
        <v>56</v>
      </c>
      <c r="J135" t="s">
        <v>149</v>
      </c>
      <c r="K135" t="s">
        <v>23</v>
      </c>
      <c r="L135">
        <v>3486</v>
      </c>
      <c r="M135" s="10">
        <v>52.856311400000003</v>
      </c>
      <c r="N135" s="10">
        <v>0.78862677440218576</v>
      </c>
      <c r="O135" s="10">
        <v>2.5828363684737368E-2</v>
      </c>
      <c r="P135" s="1" t="str">
        <f>HYPERLINK(".\sm_car_250915_0045\sm_car_250915_0045_134_Ca166TrN_MaMPC_DrSt_ode23t_1.png","figure")</f>
        <v>figure</v>
      </c>
      <c r="Q135" t="s">
        <v>15</v>
      </c>
    </row>
    <row r="136" spans="1:17" x14ac:dyDescent="0.25">
      <c r="A136">
        <v>135</v>
      </c>
      <c r="B136">
        <v>169</v>
      </c>
      <c r="C136" t="s">
        <v>45</v>
      </c>
      <c r="D136" t="s">
        <v>58</v>
      </c>
      <c r="E136" t="s">
        <v>49</v>
      </c>
      <c r="F136" t="s">
        <v>19</v>
      </c>
      <c r="G136" t="s">
        <v>26</v>
      </c>
      <c r="H136" t="s">
        <v>21</v>
      </c>
      <c r="I136" t="s">
        <v>55</v>
      </c>
      <c r="J136" t="s">
        <v>148</v>
      </c>
      <c r="K136" t="s">
        <v>23</v>
      </c>
      <c r="L136">
        <v>3299</v>
      </c>
      <c r="M136" s="10">
        <v>46.046689600000001</v>
      </c>
      <c r="N136" s="10">
        <v>-1.8971251755959831E-2</v>
      </c>
      <c r="O136" s="10">
        <v>-0.57354610793972138</v>
      </c>
      <c r="P136" s="1" t="str">
        <f>HYPERLINK(".\sm_car_250915_0045\sm_car_250915_0045_135_Ca169TrN_MaMPK_DrSt_ode23t_1.png","figure")</f>
        <v>figure</v>
      </c>
      <c r="Q136" t="s">
        <v>15</v>
      </c>
    </row>
    <row r="137" spans="1:17" x14ac:dyDescent="0.25">
      <c r="A137">
        <v>136</v>
      </c>
      <c r="B137">
        <v>169</v>
      </c>
      <c r="C137" t="s">
        <v>45</v>
      </c>
      <c r="D137" t="s">
        <v>58</v>
      </c>
      <c r="E137" t="s">
        <v>49</v>
      </c>
      <c r="F137" t="s">
        <v>19</v>
      </c>
      <c r="G137" t="s">
        <v>26</v>
      </c>
      <c r="H137" t="s">
        <v>21</v>
      </c>
      <c r="I137" t="s">
        <v>55</v>
      </c>
      <c r="J137" t="s">
        <v>149</v>
      </c>
      <c r="K137" t="s">
        <v>23</v>
      </c>
      <c r="L137">
        <v>3896</v>
      </c>
      <c r="M137" s="10">
        <v>53.290511500000001</v>
      </c>
      <c r="N137" s="10">
        <v>-1.0835584344552854E-2</v>
      </c>
      <c r="O137" s="10">
        <v>-8.3861017722350842E-2</v>
      </c>
      <c r="P137" s="1" t="str">
        <f>HYPERLINK(".\sm_car_250915_0045\sm_car_250915_0045_136_Ca169TrN_MaMPK_DrSt_ode23t_1.png","figure")</f>
        <v>figure</v>
      </c>
      <c r="Q137" t="s">
        <v>15</v>
      </c>
    </row>
    <row r="138" spans="1:17" x14ac:dyDescent="0.25">
      <c r="A138">
        <v>137</v>
      </c>
      <c r="B138">
        <v>169</v>
      </c>
      <c r="C138" t="s">
        <v>45</v>
      </c>
      <c r="D138" t="s">
        <v>58</v>
      </c>
      <c r="E138" t="s">
        <v>49</v>
      </c>
      <c r="F138" t="s">
        <v>19</v>
      </c>
      <c r="G138" t="s">
        <v>26</v>
      </c>
      <c r="H138" t="s">
        <v>21</v>
      </c>
      <c r="I138" t="s">
        <v>56</v>
      </c>
      <c r="J138" t="s">
        <v>148</v>
      </c>
      <c r="K138" t="s">
        <v>23</v>
      </c>
      <c r="L138">
        <v>3028</v>
      </c>
      <c r="M138" s="10">
        <v>44.818780199999999</v>
      </c>
      <c r="N138" s="10">
        <v>0.78834757799860533</v>
      </c>
      <c r="O138" s="10">
        <v>-0.35990280777173767</v>
      </c>
      <c r="P138" s="1" t="str">
        <f>HYPERLINK(".\sm_car_250915_0045\sm_car_250915_0045_137_Ca169TrN_MaMPC_DrSt_ode23t_1.png","figure")</f>
        <v>figure</v>
      </c>
      <c r="Q138" t="s">
        <v>15</v>
      </c>
    </row>
    <row r="139" spans="1:17" x14ac:dyDescent="0.25">
      <c r="A139">
        <v>138</v>
      </c>
      <c r="B139">
        <v>169</v>
      </c>
      <c r="C139" t="s">
        <v>45</v>
      </c>
      <c r="D139" t="s">
        <v>58</v>
      </c>
      <c r="E139" t="s">
        <v>49</v>
      </c>
      <c r="F139" t="s">
        <v>19</v>
      </c>
      <c r="G139" t="s">
        <v>26</v>
      </c>
      <c r="H139" t="s">
        <v>21</v>
      </c>
      <c r="I139" t="s">
        <v>56</v>
      </c>
      <c r="J139" t="s">
        <v>149</v>
      </c>
      <c r="K139" t="s">
        <v>23</v>
      </c>
      <c r="L139">
        <v>3486</v>
      </c>
      <c r="M139" s="10">
        <v>47.062356800000003</v>
      </c>
      <c r="N139" s="10">
        <v>0.78752065177263653</v>
      </c>
      <c r="O139" s="10">
        <v>2.8185756918088806E-2</v>
      </c>
      <c r="P139" s="1" t="str">
        <f>HYPERLINK(".\sm_car_250915_0045\sm_car_250915_0045_138_Ca169TrN_MaMPC_DrSt_ode23t_1.png","figure")</f>
        <v>figure</v>
      </c>
      <c r="Q139" t="s">
        <v>15</v>
      </c>
    </row>
    <row r="140" spans="1:17" x14ac:dyDescent="0.25">
      <c r="A140">
        <v>139</v>
      </c>
      <c r="B140">
        <v>184</v>
      </c>
      <c r="C140" t="s">
        <v>105</v>
      </c>
      <c r="D140" t="s">
        <v>120</v>
      </c>
      <c r="E140" t="s">
        <v>49</v>
      </c>
      <c r="F140" t="s">
        <v>19</v>
      </c>
      <c r="G140" t="s">
        <v>20</v>
      </c>
      <c r="H140" t="s">
        <v>21</v>
      </c>
      <c r="I140" t="s">
        <v>55</v>
      </c>
      <c r="J140" t="s">
        <v>148</v>
      </c>
      <c r="K140" t="s">
        <v>23</v>
      </c>
      <c r="L140">
        <v>2236</v>
      </c>
      <c r="M140" s="10">
        <v>49.457986099999999</v>
      </c>
      <c r="N140" s="10">
        <v>-2.1122263815853151E-2</v>
      </c>
      <c r="O140" s="10">
        <v>-0.7427568507586304</v>
      </c>
      <c r="P140" s="1" t="str">
        <f>HYPERLINK(".\sm_car_250915_0045\sm_car_250915_0045_139_Ca184TrN_MaMPK_DrSt_ode23t_1.png","figure")</f>
        <v>figure</v>
      </c>
      <c r="Q140" t="s">
        <v>15</v>
      </c>
    </row>
    <row r="141" spans="1:17" x14ac:dyDescent="0.25">
      <c r="A141">
        <v>140</v>
      </c>
      <c r="B141">
        <v>184</v>
      </c>
      <c r="C141" t="s">
        <v>105</v>
      </c>
      <c r="D141" t="s">
        <v>120</v>
      </c>
      <c r="E141" t="s">
        <v>49</v>
      </c>
      <c r="F141" t="s">
        <v>19</v>
      </c>
      <c r="G141" t="s">
        <v>20</v>
      </c>
      <c r="H141" t="s">
        <v>21</v>
      </c>
      <c r="I141" t="s">
        <v>55</v>
      </c>
      <c r="J141" t="s">
        <v>149</v>
      </c>
      <c r="K141" t="s">
        <v>23</v>
      </c>
      <c r="L141">
        <v>2314</v>
      </c>
      <c r="M141" s="10">
        <v>48.312540599999998</v>
      </c>
      <c r="N141" s="10">
        <v>-9.147812639831096E-3</v>
      </c>
      <c r="O141" s="10">
        <v>-3.0179478752387665E-2</v>
      </c>
      <c r="P141" s="1" t="str">
        <f>HYPERLINK(".\sm_car_250915_0045\sm_car_250915_0045_140_Ca184TrN_MaMPK_DrSt_ode23t_1.png","figure")</f>
        <v>figure</v>
      </c>
      <c r="Q141" t="s">
        <v>15</v>
      </c>
    </row>
    <row r="142" spans="1:17" x14ac:dyDescent="0.25">
      <c r="A142">
        <v>141</v>
      </c>
      <c r="B142">
        <v>184</v>
      </c>
      <c r="C142" t="s">
        <v>105</v>
      </c>
      <c r="D142" t="s">
        <v>120</v>
      </c>
      <c r="E142" t="s">
        <v>49</v>
      </c>
      <c r="F142" t="s">
        <v>19</v>
      </c>
      <c r="G142" t="s">
        <v>20</v>
      </c>
      <c r="H142" t="s">
        <v>21</v>
      </c>
      <c r="I142" t="s">
        <v>56</v>
      </c>
      <c r="J142" t="s">
        <v>148</v>
      </c>
      <c r="K142" t="s">
        <v>23</v>
      </c>
      <c r="L142">
        <v>2065</v>
      </c>
      <c r="M142" s="10">
        <v>47.799282400000003</v>
      </c>
      <c r="N142" s="10">
        <v>0.78643834570400273</v>
      </c>
      <c r="O142" s="10">
        <v>-0.33802539390741526</v>
      </c>
      <c r="P142" s="1" t="str">
        <f>HYPERLINK(".\sm_car_250915_0045\sm_car_250915_0045_141_Ca184TrN_MaMPC_DrSt_ode23t_1.png","figure")</f>
        <v>figure</v>
      </c>
      <c r="Q142" t="s">
        <v>15</v>
      </c>
    </row>
    <row r="143" spans="1:17" x14ac:dyDescent="0.25">
      <c r="A143">
        <v>142</v>
      </c>
      <c r="B143">
        <v>184</v>
      </c>
      <c r="C143" t="s">
        <v>105</v>
      </c>
      <c r="D143" t="s">
        <v>120</v>
      </c>
      <c r="E143" t="s">
        <v>49</v>
      </c>
      <c r="F143" t="s">
        <v>19</v>
      </c>
      <c r="G143" t="s">
        <v>20</v>
      </c>
      <c r="H143" t="s">
        <v>21</v>
      </c>
      <c r="I143" t="s">
        <v>56</v>
      </c>
      <c r="J143" t="s">
        <v>149</v>
      </c>
      <c r="K143" t="s">
        <v>23</v>
      </c>
      <c r="L143">
        <v>2060</v>
      </c>
      <c r="M143" s="10">
        <v>49.477237199999998</v>
      </c>
      <c r="N143" s="10">
        <v>0.78815599247012003</v>
      </c>
      <c r="O143" s="10">
        <v>-8.2608595833503454E-2</v>
      </c>
      <c r="P143" s="1" t="str">
        <f>HYPERLINK(".\sm_car_250915_0045\sm_car_250915_0045_142_Ca184TrN_MaMPC_DrSt_ode23t_1.png","figure")</f>
        <v>figure</v>
      </c>
      <c r="Q143" t="s">
        <v>15</v>
      </c>
    </row>
    <row r="144" spans="1:17" x14ac:dyDescent="0.25">
      <c r="A144">
        <v>143</v>
      </c>
      <c r="B144">
        <v>195</v>
      </c>
      <c r="C144" t="s">
        <v>45</v>
      </c>
      <c r="D144" t="s">
        <v>58</v>
      </c>
      <c r="E144" t="s">
        <v>107</v>
      </c>
      <c r="F144" t="s">
        <v>19</v>
      </c>
      <c r="G144" t="s">
        <v>26</v>
      </c>
      <c r="H144" t="s">
        <v>21</v>
      </c>
      <c r="I144" t="s">
        <v>55</v>
      </c>
      <c r="J144" t="s">
        <v>148</v>
      </c>
      <c r="K144" t="s">
        <v>23</v>
      </c>
      <c r="L144">
        <v>3305</v>
      </c>
      <c r="M144" s="10">
        <v>46.323560399999998</v>
      </c>
      <c r="N144" s="10">
        <v>-1.9586691260287656E-2</v>
      </c>
      <c r="O144" s="10">
        <v>-0.57357713722516468</v>
      </c>
      <c r="P144" s="1" t="str">
        <f>HYPERLINK(".\sm_car_250915_0045\sm_car_250915_0045_143_Ca195TrN_MaMPK_DrSt_ode23t_1.png","figure")</f>
        <v>figure</v>
      </c>
      <c r="Q144" t="s">
        <v>15</v>
      </c>
    </row>
    <row r="145" spans="1:17" x14ac:dyDescent="0.25">
      <c r="A145">
        <v>144</v>
      </c>
      <c r="B145">
        <v>195</v>
      </c>
      <c r="C145" t="s">
        <v>45</v>
      </c>
      <c r="D145" t="s">
        <v>58</v>
      </c>
      <c r="E145" t="s">
        <v>107</v>
      </c>
      <c r="F145" t="s">
        <v>19</v>
      </c>
      <c r="G145" t="s">
        <v>26</v>
      </c>
      <c r="H145" t="s">
        <v>21</v>
      </c>
      <c r="I145" t="s">
        <v>55</v>
      </c>
      <c r="J145" t="s">
        <v>149</v>
      </c>
      <c r="K145" t="s">
        <v>23</v>
      </c>
      <c r="L145">
        <v>3874</v>
      </c>
      <c r="M145" s="10">
        <v>50.239607700000001</v>
      </c>
      <c r="N145" s="10">
        <v>-1.1117201051614234E-2</v>
      </c>
      <c r="O145" s="10">
        <v>-8.3820345880056921E-2</v>
      </c>
      <c r="P145" s="1" t="str">
        <f>HYPERLINK(".\sm_car_250915_0045\sm_car_250915_0045_144_Ca195TrN_MaMPK_DrSt_ode23t_1.png","figure")</f>
        <v>figure</v>
      </c>
      <c r="Q145" t="s">
        <v>15</v>
      </c>
    </row>
    <row r="146" spans="1:17" x14ac:dyDescent="0.25">
      <c r="A146">
        <v>145</v>
      </c>
      <c r="B146">
        <v>195</v>
      </c>
      <c r="C146" t="s">
        <v>45</v>
      </c>
      <c r="D146" t="s">
        <v>58</v>
      </c>
      <c r="E146" t="s">
        <v>107</v>
      </c>
      <c r="F146" t="s">
        <v>19</v>
      </c>
      <c r="G146" t="s">
        <v>26</v>
      </c>
      <c r="H146" t="s">
        <v>21</v>
      </c>
      <c r="I146" t="s">
        <v>56</v>
      </c>
      <c r="J146" t="s">
        <v>148</v>
      </c>
      <c r="K146" t="s">
        <v>23</v>
      </c>
      <c r="L146">
        <v>3022</v>
      </c>
      <c r="M146" s="10">
        <v>41.586375400000001</v>
      </c>
      <c r="N146" s="10">
        <v>0.78868113258084271</v>
      </c>
      <c r="O146" s="10">
        <v>-0.35992215331930727</v>
      </c>
      <c r="P146" s="1" t="str">
        <f>HYPERLINK(".\sm_car_250915_0045\sm_car_250915_0045_145_Ca195TrN_MaMPC_DrSt_ode23t_1.png","figure")</f>
        <v>figure</v>
      </c>
      <c r="Q146" t="s">
        <v>15</v>
      </c>
    </row>
    <row r="147" spans="1:17" x14ac:dyDescent="0.25">
      <c r="A147">
        <v>146</v>
      </c>
      <c r="B147">
        <v>195</v>
      </c>
      <c r="C147" t="s">
        <v>45</v>
      </c>
      <c r="D147" t="s">
        <v>58</v>
      </c>
      <c r="E147" t="s">
        <v>107</v>
      </c>
      <c r="F147" t="s">
        <v>19</v>
      </c>
      <c r="G147" t="s">
        <v>26</v>
      </c>
      <c r="H147" t="s">
        <v>21</v>
      </c>
      <c r="I147" t="s">
        <v>56</v>
      </c>
      <c r="J147" t="s">
        <v>149</v>
      </c>
      <c r="K147" t="s">
        <v>23</v>
      </c>
      <c r="L147">
        <v>3459</v>
      </c>
      <c r="M147" s="10">
        <v>45.383209299999997</v>
      </c>
      <c r="N147" s="10">
        <v>0.78688115999011465</v>
      </c>
      <c r="O147" s="10">
        <v>2.8188333756775683E-2</v>
      </c>
      <c r="P147" s="1" t="str">
        <f>HYPERLINK(".\sm_car_250915_0045\sm_car_250915_0045_146_Ca195TrN_MaMPC_DrSt_ode23t_1.png","figure")</f>
        <v>figure</v>
      </c>
      <c r="Q147" t="s">
        <v>15</v>
      </c>
    </row>
    <row r="148" spans="1:17" x14ac:dyDescent="0.25">
      <c r="A148">
        <v>147</v>
      </c>
      <c r="B148">
        <v>198</v>
      </c>
      <c r="C148" t="s">
        <v>105</v>
      </c>
      <c r="D148" t="s">
        <v>120</v>
      </c>
      <c r="E148" t="s">
        <v>107</v>
      </c>
      <c r="F148" t="s">
        <v>19</v>
      </c>
      <c r="G148" t="s">
        <v>20</v>
      </c>
      <c r="H148" t="s">
        <v>21</v>
      </c>
      <c r="I148" t="s">
        <v>55</v>
      </c>
      <c r="J148" t="s">
        <v>148</v>
      </c>
      <c r="K148" t="s">
        <v>23</v>
      </c>
      <c r="L148">
        <v>2293</v>
      </c>
      <c r="M148" s="10">
        <v>31.064956899999999</v>
      </c>
      <c r="N148" s="10">
        <v>-2.2594759727202027E-2</v>
      </c>
      <c r="O148" s="10">
        <v>-0.74276417410993656</v>
      </c>
      <c r="P148" s="1" t="str">
        <f>HYPERLINK(".\sm_car_250915_0045\sm_car_250915_0045_147_Ca198TrN_MaMPK_DrSt_ode23t_1.png","figure")</f>
        <v>figure</v>
      </c>
      <c r="Q148" t="s">
        <v>15</v>
      </c>
    </row>
    <row r="149" spans="1:17" x14ac:dyDescent="0.25">
      <c r="A149">
        <v>148</v>
      </c>
      <c r="B149">
        <v>198</v>
      </c>
      <c r="C149" t="s">
        <v>105</v>
      </c>
      <c r="D149" t="s">
        <v>120</v>
      </c>
      <c r="E149" t="s">
        <v>107</v>
      </c>
      <c r="F149" t="s">
        <v>19</v>
      </c>
      <c r="G149" t="s">
        <v>20</v>
      </c>
      <c r="H149" t="s">
        <v>21</v>
      </c>
      <c r="I149" t="s">
        <v>55</v>
      </c>
      <c r="J149" t="s">
        <v>149</v>
      </c>
      <c r="K149" t="s">
        <v>23</v>
      </c>
      <c r="L149">
        <v>2577</v>
      </c>
      <c r="M149" s="10">
        <v>34.414293100000002</v>
      </c>
      <c r="N149" s="10">
        <v>1.7747377296558065E-3</v>
      </c>
      <c r="O149" s="10">
        <v>-3.0322495767830495E-2</v>
      </c>
      <c r="P149" s="1" t="str">
        <f>HYPERLINK(".\sm_car_250915_0045\sm_car_250915_0045_148_Ca198TrN_MaMPK_DrSt_ode23t_1.png","figure")</f>
        <v>figure</v>
      </c>
      <c r="Q149" t="s">
        <v>15</v>
      </c>
    </row>
    <row r="150" spans="1:17" x14ac:dyDescent="0.25">
      <c r="A150">
        <v>149</v>
      </c>
      <c r="B150">
        <v>198</v>
      </c>
      <c r="C150" t="s">
        <v>105</v>
      </c>
      <c r="D150" t="s">
        <v>120</v>
      </c>
      <c r="E150" t="s">
        <v>107</v>
      </c>
      <c r="F150" t="s">
        <v>19</v>
      </c>
      <c r="G150" t="s">
        <v>20</v>
      </c>
      <c r="H150" t="s">
        <v>21</v>
      </c>
      <c r="I150" t="s">
        <v>56</v>
      </c>
      <c r="J150" t="s">
        <v>148</v>
      </c>
      <c r="K150" t="s">
        <v>23</v>
      </c>
      <c r="L150">
        <v>2084</v>
      </c>
      <c r="M150" s="10">
        <v>30.185846399999999</v>
      </c>
      <c r="N150" s="10">
        <v>0.78831442084184289</v>
      </c>
      <c r="O150" s="10">
        <v>-0.33798594539088217</v>
      </c>
      <c r="P150" s="1" t="str">
        <f>HYPERLINK(".\sm_car_250915_0045\sm_car_250915_0045_149_Ca198TrN_MaMPC_DrSt_ode23t_1.png","figure")</f>
        <v>figure</v>
      </c>
      <c r="Q150" t="s">
        <v>15</v>
      </c>
    </row>
    <row r="151" spans="1:17" x14ac:dyDescent="0.25">
      <c r="A151">
        <v>150</v>
      </c>
      <c r="B151">
        <v>198</v>
      </c>
      <c r="C151" t="s">
        <v>105</v>
      </c>
      <c r="D151" t="s">
        <v>120</v>
      </c>
      <c r="E151" t="s">
        <v>107</v>
      </c>
      <c r="F151" t="s">
        <v>19</v>
      </c>
      <c r="G151" t="s">
        <v>20</v>
      </c>
      <c r="H151" t="s">
        <v>21</v>
      </c>
      <c r="I151" t="s">
        <v>56</v>
      </c>
      <c r="J151" t="s">
        <v>149</v>
      </c>
      <c r="K151" t="s">
        <v>23</v>
      </c>
      <c r="L151">
        <v>2174</v>
      </c>
      <c r="M151" s="10">
        <v>30.408900899999999</v>
      </c>
      <c r="N151" s="10">
        <v>0.77914422875301703</v>
      </c>
      <c r="O151" s="10">
        <v>-8.2045482504807629E-2</v>
      </c>
      <c r="P151" s="1" t="str">
        <f>HYPERLINK(".\sm_car_250915_0045\sm_car_250915_0045_150_Ca198TrN_MaMPC_DrSt_ode23t_1.png","figure")</f>
        <v>figure</v>
      </c>
      <c r="Q151" t="s">
        <v>15</v>
      </c>
    </row>
    <row r="152" spans="1:17" x14ac:dyDescent="0.25">
      <c r="A152">
        <v>151</v>
      </c>
      <c r="B152">
        <v>151</v>
      </c>
      <c r="C152" t="s">
        <v>16</v>
      </c>
      <c r="D152" t="s">
        <v>17</v>
      </c>
      <c r="E152" t="s">
        <v>18</v>
      </c>
      <c r="F152" t="s">
        <v>19</v>
      </c>
      <c r="G152" t="s">
        <v>59</v>
      </c>
      <c r="H152" t="s">
        <v>21</v>
      </c>
      <c r="I152" t="s">
        <v>24</v>
      </c>
      <c r="J152" t="s">
        <v>148</v>
      </c>
      <c r="K152" t="s">
        <v>23</v>
      </c>
      <c r="L152">
        <v>520</v>
      </c>
      <c r="M152" s="10">
        <v>11.514871599999999</v>
      </c>
      <c r="N152" s="10">
        <v>72.163978893253855</v>
      </c>
      <c r="O152" s="10">
        <v>-0.78969064997605543</v>
      </c>
      <c r="P152" s="1" t="str">
        <f>HYPERLINK(".\sm_car_250915_0045\sm_car_250915_0045_151_Ca151TrN_MaLSS_DrSt_ode23t_1.png","figure")</f>
        <v>figure</v>
      </c>
      <c r="Q152" t="s">
        <v>15</v>
      </c>
    </row>
    <row r="153" spans="1:17" x14ac:dyDescent="0.25">
      <c r="A153">
        <v>152</v>
      </c>
      <c r="B153">
        <v>152</v>
      </c>
      <c r="C153" t="s">
        <v>16</v>
      </c>
      <c r="D153" t="s">
        <v>17</v>
      </c>
      <c r="E153" t="s">
        <v>18</v>
      </c>
      <c r="F153" t="s">
        <v>19</v>
      </c>
      <c r="G153" t="s">
        <v>60</v>
      </c>
      <c r="H153" t="s">
        <v>21</v>
      </c>
      <c r="I153" t="s">
        <v>24</v>
      </c>
      <c r="J153" t="s">
        <v>148</v>
      </c>
      <c r="K153" t="s">
        <v>23</v>
      </c>
      <c r="L153">
        <v>512</v>
      </c>
      <c r="M153" s="10">
        <v>11.8747115</v>
      </c>
      <c r="N153" s="10">
        <v>70.579454786540111</v>
      </c>
      <c r="O153" s="10">
        <v>-0.52164147081165646</v>
      </c>
      <c r="P153" s="1" t="str">
        <f>HYPERLINK(".\sm_car_250915_0045\sm_car_250915_0045_152_Ca152TrN_MaLSS_DrSt_ode23t_1.png","figure")</f>
        <v>figure</v>
      </c>
      <c r="Q153" t="s">
        <v>15</v>
      </c>
    </row>
    <row r="154" spans="1:17" x14ac:dyDescent="0.25">
      <c r="A154">
        <v>153</v>
      </c>
      <c r="B154">
        <v>153</v>
      </c>
      <c r="C154" t="s">
        <v>16</v>
      </c>
      <c r="D154" t="s">
        <v>17</v>
      </c>
      <c r="E154" t="s">
        <v>18</v>
      </c>
      <c r="F154" t="s">
        <v>19</v>
      </c>
      <c r="G154" t="s">
        <v>61</v>
      </c>
      <c r="H154" t="s">
        <v>21</v>
      </c>
      <c r="I154" t="s">
        <v>24</v>
      </c>
      <c r="J154" t="s">
        <v>148</v>
      </c>
      <c r="K154" t="s">
        <v>23</v>
      </c>
      <c r="L154">
        <v>549</v>
      </c>
      <c r="M154" s="10">
        <v>13.193989999999999</v>
      </c>
      <c r="N154" s="10">
        <v>70.432390203591069</v>
      </c>
      <c r="O154" s="10">
        <v>-0.85673468648477302</v>
      </c>
      <c r="P154" s="1" t="str">
        <f>HYPERLINK(".\sm_car_250915_0045\sm_car_250915_0045_153_Ca153TrN_MaLSS_DrSt_ode23t_1.png","figure")</f>
        <v>figure</v>
      </c>
      <c r="Q154" t="s">
        <v>15</v>
      </c>
    </row>
    <row r="155" spans="1:17" x14ac:dyDescent="0.25">
      <c r="A155">
        <v>154</v>
      </c>
      <c r="B155">
        <v>154</v>
      </c>
      <c r="C155" t="s">
        <v>16</v>
      </c>
      <c r="D155" t="s">
        <v>17</v>
      </c>
      <c r="E155" t="s">
        <v>18</v>
      </c>
      <c r="F155" t="s">
        <v>19</v>
      </c>
      <c r="G155" t="s">
        <v>108</v>
      </c>
      <c r="H155" t="s">
        <v>21</v>
      </c>
      <c r="I155" t="s">
        <v>24</v>
      </c>
      <c r="J155" t="s">
        <v>148</v>
      </c>
      <c r="K155" t="s">
        <v>23</v>
      </c>
      <c r="L155">
        <v>492</v>
      </c>
      <c r="M155" s="10">
        <v>15.2614527</v>
      </c>
      <c r="N155" s="10">
        <v>70.617154233853356</v>
      </c>
      <c r="O155" s="10">
        <v>-0.35762738266410804</v>
      </c>
      <c r="P155" s="1" t="str">
        <f>HYPERLINK(".\sm_car_250915_0045\sm_car_250915_0045_154_Ca154TrN_MaLSS_DrSt_ode23t_1.png","figure")</f>
        <v>figure</v>
      </c>
      <c r="Q155" t="s">
        <v>15</v>
      </c>
    </row>
    <row r="156" spans="1:17" x14ac:dyDescent="0.25">
      <c r="A156">
        <v>155</v>
      </c>
      <c r="B156">
        <v>155</v>
      </c>
      <c r="C156" t="s">
        <v>16</v>
      </c>
      <c r="D156" t="s">
        <v>17</v>
      </c>
      <c r="E156" t="s">
        <v>18</v>
      </c>
      <c r="F156" t="s">
        <v>19</v>
      </c>
      <c r="G156" t="s">
        <v>62</v>
      </c>
      <c r="H156" t="s">
        <v>21</v>
      </c>
      <c r="I156" t="s">
        <v>24</v>
      </c>
      <c r="J156" t="s">
        <v>148</v>
      </c>
      <c r="K156" t="s">
        <v>23</v>
      </c>
      <c r="L156">
        <v>568</v>
      </c>
      <c r="M156" s="10">
        <v>17.518338100000001</v>
      </c>
      <c r="N156" s="10">
        <v>70.46642700815022</v>
      </c>
      <c r="O156" s="10">
        <v>-0.83763541164945221</v>
      </c>
      <c r="P156" s="1" t="str">
        <f>HYPERLINK(".\sm_car_250915_0045\sm_car_250915_0045_155_Ca155TrN_MaLSS_DrSt_ode23t_1.png","figure")</f>
        <v>figure</v>
      </c>
      <c r="Q156" t="s">
        <v>15</v>
      </c>
    </row>
    <row r="157" spans="1:17" x14ac:dyDescent="0.25">
      <c r="A157">
        <v>156</v>
      </c>
      <c r="B157">
        <v>4</v>
      </c>
      <c r="C157" t="s">
        <v>16</v>
      </c>
      <c r="D157" t="s">
        <v>17</v>
      </c>
      <c r="E157" t="s">
        <v>18</v>
      </c>
      <c r="F157" t="s">
        <v>28</v>
      </c>
      <c r="G157" t="s">
        <v>20</v>
      </c>
      <c r="H157" t="s">
        <v>21</v>
      </c>
      <c r="I157" t="s">
        <v>22</v>
      </c>
      <c r="J157" t="s">
        <v>148</v>
      </c>
      <c r="K157" t="s">
        <v>63</v>
      </c>
      <c r="L157">
        <v>3247</v>
      </c>
      <c r="M157" s="10">
        <v>9.0963817999999996</v>
      </c>
      <c r="N157" s="10">
        <v>230.12391721786827</v>
      </c>
      <c r="O157" s="10">
        <v>-2.7190338637773392E-3</v>
      </c>
      <c r="P157" s="1" t="str">
        <f>HYPERLINK(".\sm_car_250915_0045\sm_car_250915_0045_156_Ca004TrN_MaWOT_DrSt_ode3_1.png","figure")</f>
        <v>figure</v>
      </c>
      <c r="Q157" t="s">
        <v>15</v>
      </c>
    </row>
    <row r="158" spans="1:17" x14ac:dyDescent="0.25">
      <c r="A158">
        <v>157</v>
      </c>
      <c r="B158">
        <v>4</v>
      </c>
      <c r="C158" t="s">
        <v>16</v>
      </c>
      <c r="D158" t="s">
        <v>17</v>
      </c>
      <c r="E158" t="s">
        <v>18</v>
      </c>
      <c r="F158" t="s">
        <v>28</v>
      </c>
      <c r="G158" t="s">
        <v>20</v>
      </c>
      <c r="H158" t="s">
        <v>21</v>
      </c>
      <c r="I158" t="s">
        <v>24</v>
      </c>
      <c r="J158" t="s">
        <v>148</v>
      </c>
      <c r="K158" t="s">
        <v>63</v>
      </c>
      <c r="L158">
        <v>2564</v>
      </c>
      <c r="M158" s="10">
        <v>6.9462878000000003</v>
      </c>
      <c r="N158" s="10">
        <v>70.877460183569553</v>
      </c>
      <c r="O158" s="10">
        <v>-0.53377972266774365</v>
      </c>
      <c r="P158" s="1" t="str">
        <f>HYPERLINK(".\sm_car_250915_0045\sm_car_250915_0045_157_Ca004TrN_MaLSS_DrSt_ode3_1.png","figure")</f>
        <v>figure</v>
      </c>
      <c r="Q158" t="s">
        <v>15</v>
      </c>
    </row>
    <row r="159" spans="1:17" x14ac:dyDescent="0.25">
      <c r="A159">
        <v>158</v>
      </c>
      <c r="B159">
        <v>4</v>
      </c>
      <c r="C159" t="s">
        <v>16</v>
      </c>
      <c r="D159" t="s">
        <v>17</v>
      </c>
      <c r="E159" t="s">
        <v>18</v>
      </c>
      <c r="F159" t="s">
        <v>28</v>
      </c>
      <c r="G159" t="s">
        <v>20</v>
      </c>
      <c r="H159" t="s">
        <v>21</v>
      </c>
      <c r="I159" t="s">
        <v>64</v>
      </c>
      <c r="J159" t="s">
        <v>148</v>
      </c>
      <c r="K159" t="s">
        <v>63</v>
      </c>
      <c r="L159">
        <v>2562</v>
      </c>
      <c r="M159" s="10">
        <v>6.9199757000000002</v>
      </c>
      <c r="N159" s="10">
        <v>63.517181708669909</v>
      </c>
      <c r="O159" s="10">
        <v>-24.808510950198681</v>
      </c>
      <c r="P159" s="1" t="str">
        <f>HYPERLINK(".\sm_car_250915_0045\sm_car_250915_0045_158_Ca004TrN_MaTUR_DrSt_ode3_1.png","figure")</f>
        <v>figure</v>
      </c>
      <c r="Q159" t="s">
        <v>15</v>
      </c>
    </row>
    <row r="160" spans="1:17" x14ac:dyDescent="0.25">
      <c r="A160">
        <v>159</v>
      </c>
      <c r="B160">
        <v>116</v>
      </c>
      <c r="C160" t="s">
        <v>16</v>
      </c>
      <c r="D160" t="s">
        <v>35</v>
      </c>
      <c r="E160" t="s">
        <v>18</v>
      </c>
      <c r="F160" t="s">
        <v>28</v>
      </c>
      <c r="G160" t="s">
        <v>20</v>
      </c>
      <c r="H160" t="s">
        <v>21</v>
      </c>
      <c r="I160" t="s">
        <v>22</v>
      </c>
      <c r="J160" t="s">
        <v>148</v>
      </c>
      <c r="K160" t="s">
        <v>63</v>
      </c>
      <c r="L160">
        <v>3244</v>
      </c>
      <c r="M160" s="10">
        <v>3.9883552</v>
      </c>
      <c r="N160" s="10">
        <v>242.69607452341987</v>
      </c>
      <c r="O160" s="10">
        <v>0.23635446031101723</v>
      </c>
      <c r="P160" s="1" t="str">
        <f>HYPERLINK(".\sm_car_250915_0045\sm_car_250915_0045_159_Ca116TrN_MaWOT_DrSt_ode3_1.png","figure")</f>
        <v>figure</v>
      </c>
      <c r="Q160" t="s">
        <v>15</v>
      </c>
    </row>
    <row r="161" spans="1:17" x14ac:dyDescent="0.25">
      <c r="A161">
        <v>160</v>
      </c>
      <c r="B161">
        <v>116</v>
      </c>
      <c r="C161" t="s">
        <v>16</v>
      </c>
      <c r="D161" t="s">
        <v>35</v>
      </c>
      <c r="E161" t="s">
        <v>18</v>
      </c>
      <c r="F161" t="s">
        <v>28</v>
      </c>
      <c r="G161" t="s">
        <v>20</v>
      </c>
      <c r="H161" t="s">
        <v>21</v>
      </c>
      <c r="I161" t="s">
        <v>24</v>
      </c>
      <c r="J161" t="s">
        <v>148</v>
      </c>
      <c r="K161" t="s">
        <v>63</v>
      </c>
      <c r="L161">
        <v>2564</v>
      </c>
      <c r="M161" s="10">
        <v>3.4289822999999999</v>
      </c>
      <c r="N161" s="10">
        <v>74.657190781644118</v>
      </c>
      <c r="O161" s="10">
        <v>-0.34075824439014252</v>
      </c>
      <c r="P161" s="1" t="str">
        <f>HYPERLINK(".\sm_car_250915_0045\sm_car_250915_0045_160_Ca116TrN_MaLSS_DrSt_ode3_1.png","figure")</f>
        <v>figure</v>
      </c>
      <c r="Q161" t="s">
        <v>15</v>
      </c>
    </row>
    <row r="162" spans="1:17" x14ac:dyDescent="0.25">
      <c r="A162">
        <v>161</v>
      </c>
      <c r="B162">
        <v>116</v>
      </c>
      <c r="C162" t="s">
        <v>16</v>
      </c>
      <c r="D162" t="s">
        <v>35</v>
      </c>
      <c r="E162" t="s">
        <v>18</v>
      </c>
      <c r="F162" t="s">
        <v>28</v>
      </c>
      <c r="G162" t="s">
        <v>20</v>
      </c>
      <c r="H162" t="s">
        <v>21</v>
      </c>
      <c r="I162" t="s">
        <v>64</v>
      </c>
      <c r="J162" t="s">
        <v>148</v>
      </c>
      <c r="K162" t="s">
        <v>63</v>
      </c>
      <c r="L162">
        <v>2563</v>
      </c>
      <c r="M162" s="10">
        <v>3.2710745999999999</v>
      </c>
      <c r="N162" s="10">
        <v>71.322015477791922</v>
      </c>
      <c r="O162" s="10">
        <v>-17.59032913116118</v>
      </c>
      <c r="P162" s="1" t="str">
        <f>HYPERLINK(".\sm_car_250915_0045\sm_car_250915_0045_161_Ca116TrN_MaTUR_DrSt_ode3_1.png","figure")</f>
        <v>figure</v>
      </c>
      <c r="Q162" t="s">
        <v>15</v>
      </c>
    </row>
    <row r="163" spans="1:17" x14ac:dyDescent="0.25">
      <c r="A163">
        <v>162</v>
      </c>
      <c r="B163">
        <v>124</v>
      </c>
      <c r="C163" t="s">
        <v>16</v>
      </c>
      <c r="D163" t="s">
        <v>35</v>
      </c>
      <c r="E163" t="s">
        <v>49</v>
      </c>
      <c r="F163" t="s">
        <v>28</v>
      </c>
      <c r="G163" t="s">
        <v>20</v>
      </c>
      <c r="H163" t="s">
        <v>21</v>
      </c>
      <c r="I163" t="s">
        <v>22</v>
      </c>
      <c r="J163" t="s">
        <v>148</v>
      </c>
      <c r="K163" t="s">
        <v>63</v>
      </c>
      <c r="L163">
        <v>3244</v>
      </c>
      <c r="M163" s="10">
        <v>2.1925625000000002</v>
      </c>
      <c r="N163" s="10">
        <v>242.87242715534217</v>
      </c>
      <c r="O163" s="10">
        <v>0.2361586465591097</v>
      </c>
      <c r="P163" s="1" t="str">
        <f>HYPERLINK(".\sm_car_250915_0045\sm_car_250915_0045_162_Ca124TrN_MaWOT_DrSt_ode3_1.png","figure")</f>
        <v>figure</v>
      </c>
      <c r="Q163" t="s">
        <v>15</v>
      </c>
    </row>
    <row r="164" spans="1:17" x14ac:dyDescent="0.25">
      <c r="A164">
        <v>163</v>
      </c>
      <c r="B164">
        <v>124</v>
      </c>
      <c r="C164" t="s">
        <v>16</v>
      </c>
      <c r="D164" t="s">
        <v>35</v>
      </c>
      <c r="E164" t="s">
        <v>49</v>
      </c>
      <c r="F164" t="s">
        <v>28</v>
      </c>
      <c r="G164" t="s">
        <v>20</v>
      </c>
      <c r="H164" t="s">
        <v>21</v>
      </c>
      <c r="I164" t="s">
        <v>24</v>
      </c>
      <c r="J164" t="s">
        <v>148</v>
      </c>
      <c r="K164" t="s">
        <v>63</v>
      </c>
      <c r="L164">
        <v>2565</v>
      </c>
      <c r="M164" s="10">
        <v>1.7898461999999999</v>
      </c>
      <c r="N164" s="10">
        <v>74.796106047599494</v>
      </c>
      <c r="O164" s="10">
        <v>-0.34233746651595126</v>
      </c>
      <c r="P164" s="1" t="str">
        <f>HYPERLINK(".\sm_car_250915_0045\sm_car_250915_0045_163_Ca124TrN_MaLSS_DrSt_ode3_1.png","figure")</f>
        <v>figure</v>
      </c>
      <c r="Q164" t="s">
        <v>15</v>
      </c>
    </row>
    <row r="165" spans="1:17" x14ac:dyDescent="0.25">
      <c r="A165">
        <v>164</v>
      </c>
      <c r="B165">
        <v>124</v>
      </c>
      <c r="C165" t="s">
        <v>16</v>
      </c>
      <c r="D165" t="s">
        <v>35</v>
      </c>
      <c r="E165" t="s">
        <v>49</v>
      </c>
      <c r="F165" t="s">
        <v>28</v>
      </c>
      <c r="G165" t="s">
        <v>20</v>
      </c>
      <c r="H165" t="s">
        <v>21</v>
      </c>
      <c r="I165" t="s">
        <v>64</v>
      </c>
      <c r="J165" t="s">
        <v>148</v>
      </c>
      <c r="K165" t="s">
        <v>63</v>
      </c>
      <c r="L165">
        <v>2564</v>
      </c>
      <c r="M165" s="10">
        <v>1.7143609</v>
      </c>
      <c r="N165" s="10">
        <v>71.447408139703882</v>
      </c>
      <c r="O165" s="10">
        <v>-17.636376353758354</v>
      </c>
      <c r="P165" s="1" t="str">
        <f>HYPERLINK(".\sm_car_250915_0045\sm_car_250915_0045_164_Ca124TrN_MaTUR_DrSt_ode3_1.png","figure")</f>
        <v>figure</v>
      </c>
      <c r="Q165" t="s">
        <v>15</v>
      </c>
    </row>
    <row r="166" spans="1:17" x14ac:dyDescent="0.25">
      <c r="A166">
        <v>165</v>
      </c>
      <c r="B166">
        <v>141</v>
      </c>
      <c r="C166" t="s">
        <v>45</v>
      </c>
      <c r="D166" t="s">
        <v>17</v>
      </c>
      <c r="E166" t="s">
        <v>18</v>
      </c>
      <c r="F166" t="s">
        <v>28</v>
      </c>
      <c r="G166" t="s">
        <v>26</v>
      </c>
      <c r="H166" t="s">
        <v>21</v>
      </c>
      <c r="I166" t="s">
        <v>22</v>
      </c>
      <c r="J166" t="s">
        <v>148</v>
      </c>
      <c r="K166" t="s">
        <v>63</v>
      </c>
      <c r="L166">
        <v>3839</v>
      </c>
      <c r="M166" s="10">
        <v>11.1608012</v>
      </c>
      <c r="N166" s="10">
        <v>402.30863495746047</v>
      </c>
      <c r="O166" s="10">
        <v>1.6338397286884041</v>
      </c>
      <c r="P166" s="1" t="str">
        <f>HYPERLINK(".\sm_car_250915_0045\sm_car_250915_0045_165_Ca141TrN_MaWOT_DrSt_ode3_1.png","figure")</f>
        <v>figure</v>
      </c>
      <c r="Q166" t="s">
        <v>15</v>
      </c>
    </row>
    <row r="167" spans="1:17" x14ac:dyDescent="0.25">
      <c r="A167">
        <v>166</v>
      </c>
      <c r="B167">
        <v>141</v>
      </c>
      <c r="C167" t="s">
        <v>45</v>
      </c>
      <c r="D167" t="s">
        <v>17</v>
      </c>
      <c r="E167" t="s">
        <v>18</v>
      </c>
      <c r="F167" t="s">
        <v>28</v>
      </c>
      <c r="G167" t="s">
        <v>26</v>
      </c>
      <c r="H167" t="s">
        <v>21</v>
      </c>
      <c r="I167" t="s">
        <v>24</v>
      </c>
      <c r="J167" t="s">
        <v>148</v>
      </c>
      <c r="K167" t="s">
        <v>63</v>
      </c>
      <c r="L167">
        <v>3192</v>
      </c>
      <c r="M167" s="10">
        <v>9.4875837999999995</v>
      </c>
      <c r="N167" s="10">
        <v>153.1610325313807</v>
      </c>
      <c r="O167" s="10">
        <v>-0.57333301759684274</v>
      </c>
      <c r="P167" s="1" t="str">
        <f>HYPERLINK(".\sm_car_250915_0045\sm_car_250915_0045_166_Ca141TrN_MaLSS_DrSt_ode3_1.png","figure")</f>
        <v>figure</v>
      </c>
      <c r="Q167" t="s">
        <v>15</v>
      </c>
    </row>
    <row r="168" spans="1:17" x14ac:dyDescent="0.25">
      <c r="A168">
        <v>167</v>
      </c>
      <c r="B168">
        <v>141</v>
      </c>
      <c r="C168" t="s">
        <v>45</v>
      </c>
      <c r="D168" t="s">
        <v>17</v>
      </c>
      <c r="E168" t="s">
        <v>18</v>
      </c>
      <c r="F168" t="s">
        <v>28</v>
      </c>
      <c r="G168" t="s">
        <v>26</v>
      </c>
      <c r="H168" t="s">
        <v>21</v>
      </c>
      <c r="I168" t="s">
        <v>64</v>
      </c>
      <c r="J168" t="s">
        <v>148</v>
      </c>
      <c r="K168" t="s">
        <v>63</v>
      </c>
      <c r="L168">
        <v>3161</v>
      </c>
      <c r="M168" s="10">
        <v>9.5565552</v>
      </c>
      <c r="N168" s="10">
        <v>98.18250230191002</v>
      </c>
      <c r="O168" s="10">
        <v>-86.478323077539514</v>
      </c>
      <c r="P168" s="1" t="str">
        <f>HYPERLINK(".\sm_car_250915_0045\sm_car_250915_0045_167_Ca141TrN_MaTUR_DrSt_ode3_1.png","figure")</f>
        <v>figure</v>
      </c>
      <c r="Q168" t="s">
        <v>15</v>
      </c>
    </row>
    <row r="169" spans="1:17" x14ac:dyDescent="0.25">
      <c r="A169">
        <v>168</v>
      </c>
      <c r="B169">
        <v>145</v>
      </c>
      <c r="C169" t="s">
        <v>46</v>
      </c>
      <c r="D169" t="s">
        <v>17</v>
      </c>
      <c r="E169" t="s">
        <v>50</v>
      </c>
      <c r="F169" t="s">
        <v>19</v>
      </c>
      <c r="G169" t="s">
        <v>26</v>
      </c>
      <c r="H169" t="s">
        <v>21</v>
      </c>
      <c r="I169" t="s">
        <v>22</v>
      </c>
      <c r="J169" t="s">
        <v>148</v>
      </c>
      <c r="K169" t="s">
        <v>63</v>
      </c>
      <c r="L169">
        <v>2641</v>
      </c>
      <c r="M169" s="10">
        <v>6.5640036999999998</v>
      </c>
      <c r="N169" s="10">
        <v>62.800800041198599</v>
      </c>
      <c r="O169" s="10">
        <v>1.2950966781692679E-2</v>
      </c>
      <c r="P169" s="1" t="str">
        <f>HYPERLINK(".\sm_car_250915_0045\sm_car_250915_0045_168_Ca145TrN_MaWOT_DrSt_ode3_1.png","figure")</f>
        <v>figure</v>
      </c>
      <c r="Q169" t="s">
        <v>15</v>
      </c>
    </row>
    <row r="170" spans="1:17" x14ac:dyDescent="0.25">
      <c r="A170">
        <v>169</v>
      </c>
      <c r="B170">
        <v>145</v>
      </c>
      <c r="C170" t="s">
        <v>46</v>
      </c>
      <c r="D170" t="s">
        <v>17</v>
      </c>
      <c r="E170" t="s">
        <v>50</v>
      </c>
      <c r="F170" t="s">
        <v>19</v>
      </c>
      <c r="G170" t="s">
        <v>26</v>
      </c>
      <c r="H170" t="s">
        <v>21</v>
      </c>
      <c r="I170" t="s">
        <v>24</v>
      </c>
      <c r="J170" t="s">
        <v>148</v>
      </c>
      <c r="K170" t="s">
        <v>63</v>
      </c>
      <c r="L170">
        <v>2382</v>
      </c>
      <c r="M170" s="10">
        <v>6.0821294999999997</v>
      </c>
      <c r="N170" s="10">
        <v>25.299821945788775</v>
      </c>
      <c r="O170" s="10">
        <v>-5.1085989319889426E-2</v>
      </c>
      <c r="P170" s="1" t="str">
        <f>HYPERLINK(".\sm_car_250915_0045\sm_car_250915_0045_169_Ca145TrN_MaLSS_DrSt_ode3_1.png","figure")</f>
        <v>figure</v>
      </c>
      <c r="Q170" t="s">
        <v>15</v>
      </c>
    </row>
    <row r="171" spans="1:17" x14ac:dyDescent="0.25">
      <c r="A171">
        <v>170</v>
      </c>
      <c r="B171">
        <v>145</v>
      </c>
      <c r="C171" t="s">
        <v>46</v>
      </c>
      <c r="D171" t="s">
        <v>17</v>
      </c>
      <c r="E171" t="s">
        <v>50</v>
      </c>
      <c r="F171" t="s">
        <v>19</v>
      </c>
      <c r="G171" t="s">
        <v>26</v>
      </c>
      <c r="H171" t="s">
        <v>21</v>
      </c>
      <c r="I171" t="s">
        <v>64</v>
      </c>
      <c r="J171" t="s">
        <v>148</v>
      </c>
      <c r="K171" t="s">
        <v>63</v>
      </c>
      <c r="L171">
        <v>2381</v>
      </c>
      <c r="M171" s="10">
        <v>6.3526923000000002</v>
      </c>
      <c r="N171" s="10">
        <v>25.120612366543067</v>
      </c>
      <c r="O171" s="10">
        <v>-2.6101883012473892</v>
      </c>
      <c r="P171" s="1" t="str">
        <f>HYPERLINK(".\sm_car_250915_0045\sm_car_250915_0045_170_Ca145TrN_MaTUR_DrSt_ode3_1.png","figure")</f>
        <v>figure</v>
      </c>
      <c r="Q171" t="s">
        <v>15</v>
      </c>
    </row>
    <row r="172" spans="1:17" x14ac:dyDescent="0.25">
      <c r="A172">
        <v>171</v>
      </c>
      <c r="B172">
        <v>199</v>
      </c>
      <c r="C172" t="s">
        <v>46</v>
      </c>
      <c r="D172" t="s">
        <v>17</v>
      </c>
      <c r="E172" t="s">
        <v>109</v>
      </c>
      <c r="F172" t="s">
        <v>19</v>
      </c>
      <c r="G172" t="s">
        <v>26</v>
      </c>
      <c r="H172" t="s">
        <v>21</v>
      </c>
      <c r="I172" t="s">
        <v>22</v>
      </c>
      <c r="J172" t="s">
        <v>148</v>
      </c>
      <c r="K172" t="s">
        <v>63</v>
      </c>
      <c r="L172">
        <v>2647</v>
      </c>
      <c r="M172" s="10">
        <v>7.4707591000000004</v>
      </c>
      <c r="N172" s="10">
        <v>63.479792564889877</v>
      </c>
      <c r="O172" s="10">
        <v>-1.2340805190677397E-4</v>
      </c>
      <c r="P172" s="1" t="str">
        <f>HYPERLINK(".\sm_car_250915_0045\sm_car_250915_0045_171_Ca199TrN_MaWOT_DrSt_ode3_1.png","figure")</f>
        <v>figure</v>
      </c>
      <c r="Q172" t="s">
        <v>15</v>
      </c>
    </row>
    <row r="173" spans="1:17" x14ac:dyDescent="0.25">
      <c r="A173">
        <v>172</v>
      </c>
      <c r="B173">
        <v>199</v>
      </c>
      <c r="C173" t="s">
        <v>46</v>
      </c>
      <c r="D173" t="s">
        <v>17</v>
      </c>
      <c r="E173" t="s">
        <v>109</v>
      </c>
      <c r="F173" t="s">
        <v>19</v>
      </c>
      <c r="G173" t="s">
        <v>26</v>
      </c>
      <c r="H173" t="s">
        <v>21</v>
      </c>
      <c r="I173" t="s">
        <v>24</v>
      </c>
      <c r="J173" t="s">
        <v>148</v>
      </c>
      <c r="K173" t="s">
        <v>63</v>
      </c>
      <c r="L173">
        <v>2385</v>
      </c>
      <c r="M173" s="10">
        <v>6.9754040000000002</v>
      </c>
      <c r="N173" s="10">
        <v>25.919529544155651</v>
      </c>
      <c r="O173" s="10">
        <v>-5.3789189577078261E-2</v>
      </c>
      <c r="P173" s="1" t="str">
        <f>HYPERLINK(".\sm_car_250915_0045\sm_car_250915_0045_172_Ca199TrN_MaLSS_DrSt_ode3_1.png","figure")</f>
        <v>figure</v>
      </c>
      <c r="Q173" t="s">
        <v>15</v>
      </c>
    </row>
    <row r="174" spans="1:17" x14ac:dyDescent="0.25">
      <c r="A174">
        <v>173</v>
      </c>
      <c r="B174">
        <v>199</v>
      </c>
      <c r="C174" t="s">
        <v>46</v>
      </c>
      <c r="D174" t="s">
        <v>17</v>
      </c>
      <c r="E174" t="s">
        <v>109</v>
      </c>
      <c r="F174" t="s">
        <v>19</v>
      </c>
      <c r="G174" t="s">
        <v>26</v>
      </c>
      <c r="H174" t="s">
        <v>21</v>
      </c>
      <c r="I174" t="s">
        <v>64</v>
      </c>
      <c r="J174" t="s">
        <v>148</v>
      </c>
      <c r="K174" t="s">
        <v>63</v>
      </c>
      <c r="L174">
        <v>2383</v>
      </c>
      <c r="M174" s="10">
        <v>6.7122529999999996</v>
      </c>
      <c r="N174" s="10">
        <v>25.733629116402817</v>
      </c>
      <c r="O174" s="10">
        <v>-2.693681122739414</v>
      </c>
      <c r="P174" s="1" t="str">
        <f>HYPERLINK(".\sm_car_250915_0045\sm_car_250915_0045_173_Ca199TrN_MaTUR_DrSt_ode3_1.png","figure")</f>
        <v>figure</v>
      </c>
      <c r="Q174" t="s">
        <v>15</v>
      </c>
    </row>
    <row r="175" spans="1:17" x14ac:dyDescent="0.25">
      <c r="A175">
        <v>174</v>
      </c>
      <c r="B175">
        <v>139</v>
      </c>
      <c r="C175" t="s">
        <v>45</v>
      </c>
      <c r="D175" t="s">
        <v>17</v>
      </c>
      <c r="E175" t="s">
        <v>18</v>
      </c>
      <c r="F175" t="s">
        <v>19</v>
      </c>
      <c r="G175" t="s">
        <v>26</v>
      </c>
      <c r="H175" t="s">
        <v>21</v>
      </c>
      <c r="I175" t="s">
        <v>53</v>
      </c>
      <c r="J175" t="s">
        <v>148</v>
      </c>
      <c r="K175" t="s">
        <v>23</v>
      </c>
      <c r="L175">
        <v>522</v>
      </c>
      <c r="M175" s="10">
        <v>10.1627233</v>
      </c>
      <c r="N175" s="10">
        <v>254.38636595966648</v>
      </c>
      <c r="O175" s="10">
        <v>-8.7304740906235523E-3</v>
      </c>
      <c r="P175" s="1" t="str">
        <f>HYPERLINK(".\sm_car_250915_0045\sm_car_250915_0045_174_Ca139TrN_MaDLC_DrSt_ode23t_1.png","figure")</f>
        <v>figure</v>
      </c>
      <c r="Q175" t="s">
        <v>15</v>
      </c>
    </row>
    <row r="176" spans="1:17" x14ac:dyDescent="0.25">
      <c r="A176">
        <v>175</v>
      </c>
      <c r="B176">
        <v>139</v>
      </c>
      <c r="C176" t="s">
        <v>45</v>
      </c>
      <c r="D176" t="s">
        <v>17</v>
      </c>
      <c r="E176" t="s">
        <v>18</v>
      </c>
      <c r="F176" t="s">
        <v>19</v>
      </c>
      <c r="G176" t="s">
        <v>26</v>
      </c>
      <c r="H176" t="s">
        <v>65</v>
      </c>
      <c r="I176" t="s">
        <v>53</v>
      </c>
      <c r="J176" t="s">
        <v>148</v>
      </c>
      <c r="K176" t="s">
        <v>23</v>
      </c>
      <c r="L176">
        <v>846</v>
      </c>
      <c r="M176" s="10">
        <v>28.409801699999999</v>
      </c>
      <c r="N176" s="10">
        <v>253.54383351911656</v>
      </c>
      <c r="O176" s="10">
        <v>8.3220695578312132E-3</v>
      </c>
      <c r="P176" s="1" t="str">
        <f>HYPERLINK(".\sm_car_250915_0045\sm_car_250915_0045_175_Ca139TrE_MaDLC_DrSt_ode23t_1.png","figure")</f>
        <v>figure</v>
      </c>
      <c r="Q176" t="s">
        <v>15</v>
      </c>
    </row>
    <row r="177" spans="1:17" x14ac:dyDescent="0.25">
      <c r="A177">
        <v>176</v>
      </c>
      <c r="B177">
        <v>139</v>
      </c>
      <c r="C177" t="s">
        <v>45</v>
      </c>
      <c r="D177" t="s">
        <v>17</v>
      </c>
      <c r="E177" t="s">
        <v>18</v>
      </c>
      <c r="F177" t="s">
        <v>19</v>
      </c>
      <c r="G177" t="s">
        <v>26</v>
      </c>
      <c r="H177" t="s">
        <v>66</v>
      </c>
      <c r="I177" t="s">
        <v>53</v>
      </c>
      <c r="J177" t="s">
        <v>148</v>
      </c>
      <c r="K177" t="s">
        <v>23</v>
      </c>
      <c r="L177">
        <v>1020</v>
      </c>
      <c r="M177" s="10">
        <v>37.767282100000003</v>
      </c>
      <c r="N177" s="10">
        <v>254.35410210655238</v>
      </c>
      <c r="O177" s="10">
        <v>-8.4380543870121727E-3</v>
      </c>
      <c r="P177" s="1" t="str">
        <f>HYPERLINK(".\sm_car_250915_0045\sm_car_250915_0045_176_Ca139TrT_MaDLC_DrSt_ode23t_1.png","figure")</f>
        <v>figure</v>
      </c>
      <c r="Q177" t="s">
        <v>15</v>
      </c>
    </row>
    <row r="178" spans="1:17" x14ac:dyDescent="0.25">
      <c r="A178">
        <v>177</v>
      </c>
      <c r="B178">
        <v>139</v>
      </c>
      <c r="C178" t="s">
        <v>45</v>
      </c>
      <c r="D178" t="s">
        <v>17</v>
      </c>
      <c r="E178" t="s">
        <v>18</v>
      </c>
      <c r="F178" t="s">
        <v>19</v>
      </c>
      <c r="G178" t="s">
        <v>26</v>
      </c>
      <c r="H178" t="s">
        <v>65</v>
      </c>
      <c r="I178" t="s">
        <v>53</v>
      </c>
      <c r="J178" t="s">
        <v>148</v>
      </c>
      <c r="K178" t="s">
        <v>23</v>
      </c>
      <c r="L178">
        <v>958</v>
      </c>
      <c r="M178" s="10">
        <v>24.470795200000001</v>
      </c>
      <c r="N178" s="10">
        <v>253.38154272601446</v>
      </c>
      <c r="O178" s="10">
        <v>0.16903486781888688</v>
      </c>
      <c r="P178" s="1" t="str">
        <f>HYPERLINK(".\sm_car_250915_0045\sm_car_250915_0045_177_Ca139TrE_MaDLC_DrSt_ode23t_1.png","figure")</f>
        <v>figure</v>
      </c>
      <c r="Q178" t="s">
        <v>15</v>
      </c>
    </row>
    <row r="179" spans="1:17" x14ac:dyDescent="0.25">
      <c r="A179">
        <v>178</v>
      </c>
      <c r="B179">
        <v>2</v>
      </c>
      <c r="C179" t="s">
        <v>16</v>
      </c>
      <c r="D179" t="s">
        <v>17</v>
      </c>
      <c r="E179" t="s">
        <v>18</v>
      </c>
      <c r="F179" t="s">
        <v>19</v>
      </c>
      <c r="G179" t="s">
        <v>26</v>
      </c>
      <c r="H179" t="s">
        <v>21</v>
      </c>
      <c r="I179" t="s">
        <v>53</v>
      </c>
      <c r="J179" t="s">
        <v>148</v>
      </c>
      <c r="K179" t="s">
        <v>23</v>
      </c>
      <c r="L179">
        <v>520</v>
      </c>
      <c r="M179" s="10">
        <v>8.7243782000000003</v>
      </c>
      <c r="N179" s="10">
        <v>254.79984734066232</v>
      </c>
      <c r="O179" s="10">
        <v>4.1696558352434465E-2</v>
      </c>
      <c r="P179" s="1" t="str">
        <f>HYPERLINK(".\sm_car_250915_0045\sm_car_250915_0045_178_Ca002TrN_MaDLC_DrSt_ode23t_1.png","figure")</f>
        <v>figure</v>
      </c>
      <c r="Q179" t="s">
        <v>15</v>
      </c>
    </row>
    <row r="180" spans="1:17" x14ac:dyDescent="0.25">
      <c r="A180">
        <v>179</v>
      </c>
      <c r="B180">
        <v>2</v>
      </c>
      <c r="C180" t="s">
        <v>16</v>
      </c>
      <c r="D180" t="s">
        <v>17</v>
      </c>
      <c r="E180" t="s">
        <v>18</v>
      </c>
      <c r="F180" t="s">
        <v>19</v>
      </c>
      <c r="G180" t="s">
        <v>26</v>
      </c>
      <c r="H180" t="s">
        <v>65</v>
      </c>
      <c r="I180" t="s">
        <v>53</v>
      </c>
      <c r="J180" t="s">
        <v>148</v>
      </c>
      <c r="K180" t="s">
        <v>23</v>
      </c>
      <c r="L180">
        <v>565</v>
      </c>
      <c r="M180" s="10">
        <v>16.448222699999999</v>
      </c>
      <c r="N180" s="10">
        <v>255.75012226001479</v>
      </c>
      <c r="O180" s="10">
        <v>3.8933981531792394E-2</v>
      </c>
      <c r="P180" s="1" t="str">
        <f>HYPERLINK(".\sm_car_250915_0045\sm_car_250915_0045_179_Ca002TrE_MaDLC_DrSt_ode23t_1.png","figure")</f>
        <v>figure</v>
      </c>
      <c r="Q180" t="s">
        <v>15</v>
      </c>
    </row>
    <row r="181" spans="1:17" x14ac:dyDescent="0.25">
      <c r="A181">
        <v>180</v>
      </c>
      <c r="B181">
        <v>2</v>
      </c>
      <c r="C181" t="s">
        <v>16</v>
      </c>
      <c r="D181" t="s">
        <v>17</v>
      </c>
      <c r="E181" t="s">
        <v>18</v>
      </c>
      <c r="F181" t="s">
        <v>19</v>
      </c>
      <c r="G181" t="s">
        <v>26</v>
      </c>
      <c r="H181" t="s">
        <v>66</v>
      </c>
      <c r="I181" t="s">
        <v>53</v>
      </c>
      <c r="J181" t="s">
        <v>148</v>
      </c>
      <c r="K181" t="s">
        <v>23</v>
      </c>
      <c r="L181">
        <v>789</v>
      </c>
      <c r="M181" s="10">
        <v>21.999182399999999</v>
      </c>
      <c r="N181" s="10">
        <v>253.93258586225846</v>
      </c>
      <c r="O181" s="10">
        <v>4.4821136372062753E-2</v>
      </c>
      <c r="P181" s="1" t="str">
        <f>HYPERLINK(".\sm_car_250915_0045\sm_car_250915_0045_180_Ca002TrT_MaDLC_DrSt_ode23t_1.png","figure")</f>
        <v>figure</v>
      </c>
      <c r="Q181" t="s">
        <v>15</v>
      </c>
    </row>
    <row r="182" spans="1:17" x14ac:dyDescent="0.25">
      <c r="A182">
        <v>181</v>
      </c>
      <c r="B182">
        <v>2</v>
      </c>
      <c r="C182" t="s">
        <v>16</v>
      </c>
      <c r="D182" t="s">
        <v>17</v>
      </c>
      <c r="E182" t="s">
        <v>18</v>
      </c>
      <c r="F182" t="s">
        <v>19</v>
      </c>
      <c r="G182" t="s">
        <v>26</v>
      </c>
      <c r="H182" t="s">
        <v>65</v>
      </c>
      <c r="I182" t="s">
        <v>53</v>
      </c>
      <c r="J182" t="s">
        <v>148</v>
      </c>
      <c r="K182" t="s">
        <v>23</v>
      </c>
      <c r="L182">
        <v>575</v>
      </c>
      <c r="M182" s="10">
        <v>13.2408626</v>
      </c>
      <c r="N182" s="10">
        <v>253.8904494741775</v>
      </c>
      <c r="O182" s="10">
        <v>4.557583282086819E-2</v>
      </c>
      <c r="P182" s="1" t="str">
        <f>HYPERLINK(".\sm_car_250915_0045\sm_car_250915_0045_181_Ca002TrE_MaDLC_DrSt_ode23t_1.png","figure")</f>
        <v>figure</v>
      </c>
      <c r="Q182" t="s">
        <v>15</v>
      </c>
    </row>
    <row r="183" spans="1:17" x14ac:dyDescent="0.25">
      <c r="A183">
        <v>182</v>
      </c>
      <c r="B183">
        <v>145</v>
      </c>
      <c r="C183" t="s">
        <v>46</v>
      </c>
      <c r="D183" t="s">
        <v>17</v>
      </c>
      <c r="E183" t="s">
        <v>50</v>
      </c>
      <c r="F183" t="s">
        <v>19</v>
      </c>
      <c r="G183" t="s">
        <v>26</v>
      </c>
      <c r="H183" t="s">
        <v>21</v>
      </c>
      <c r="I183" t="s">
        <v>53</v>
      </c>
      <c r="J183" t="s">
        <v>148</v>
      </c>
      <c r="K183" t="s">
        <v>23</v>
      </c>
      <c r="L183">
        <v>461</v>
      </c>
      <c r="M183" s="10">
        <v>15.2254504</v>
      </c>
      <c r="N183" s="10">
        <v>256.31979605052328</v>
      </c>
      <c r="O183" s="10">
        <v>6.4029890628637176E-2</v>
      </c>
      <c r="P183" s="1" t="str">
        <f>HYPERLINK(".\sm_car_250915_0045\sm_car_250915_0045_182_Ca145TrN_MaDLC_DrSt_ode23t_1.png","figure")</f>
        <v>figure</v>
      </c>
      <c r="Q183" t="s">
        <v>15</v>
      </c>
    </row>
    <row r="184" spans="1:17" x14ac:dyDescent="0.25">
      <c r="A184">
        <v>183</v>
      </c>
      <c r="B184">
        <v>145</v>
      </c>
      <c r="C184" t="s">
        <v>46</v>
      </c>
      <c r="D184" t="s">
        <v>17</v>
      </c>
      <c r="E184" t="s">
        <v>50</v>
      </c>
      <c r="F184" t="s">
        <v>19</v>
      </c>
      <c r="G184" t="s">
        <v>26</v>
      </c>
      <c r="H184" t="s">
        <v>65</v>
      </c>
      <c r="I184" t="s">
        <v>53</v>
      </c>
      <c r="J184" t="s">
        <v>148</v>
      </c>
      <c r="K184" t="s">
        <v>23</v>
      </c>
      <c r="L184">
        <v>567</v>
      </c>
      <c r="M184" s="10">
        <v>29.668768100000001</v>
      </c>
      <c r="N184" s="10">
        <v>255.78906693475142</v>
      </c>
      <c r="O184" s="10">
        <v>6.6974415884451854E-2</v>
      </c>
      <c r="P184" s="1" t="str">
        <f>HYPERLINK(".\sm_car_250915_0045\sm_car_250915_0045_183_Ca145TrE_MaDLC_DrSt_ode23t_1.png","figure")</f>
        <v>figure</v>
      </c>
      <c r="Q184" t="s">
        <v>15</v>
      </c>
    </row>
    <row r="185" spans="1:17" x14ac:dyDescent="0.25">
      <c r="A185">
        <v>184</v>
      </c>
      <c r="B185">
        <v>145</v>
      </c>
      <c r="C185" t="s">
        <v>46</v>
      </c>
      <c r="D185" t="s">
        <v>17</v>
      </c>
      <c r="E185" t="s">
        <v>50</v>
      </c>
      <c r="F185" t="s">
        <v>19</v>
      </c>
      <c r="G185" t="s">
        <v>26</v>
      </c>
      <c r="H185" t="s">
        <v>66</v>
      </c>
      <c r="I185" t="s">
        <v>53</v>
      </c>
      <c r="J185" t="s">
        <v>148</v>
      </c>
      <c r="K185" t="s">
        <v>23</v>
      </c>
      <c r="L185">
        <v>782</v>
      </c>
      <c r="M185" s="10">
        <v>45.271676800000002</v>
      </c>
      <c r="N185" s="10">
        <v>255.74019671855604</v>
      </c>
      <c r="O185" s="10">
        <v>6.6763432783173648E-2</v>
      </c>
      <c r="P185" s="1" t="str">
        <f>HYPERLINK(".\sm_car_250915_0045\sm_car_250915_0045_184_Ca145TrT_MaDLC_DrSt_ode23t_1.png","figure")</f>
        <v>figure</v>
      </c>
      <c r="Q185" t="s">
        <v>15</v>
      </c>
    </row>
    <row r="186" spans="1:17" x14ac:dyDescent="0.25">
      <c r="A186">
        <v>185</v>
      </c>
      <c r="B186">
        <v>145</v>
      </c>
      <c r="C186" t="s">
        <v>46</v>
      </c>
      <c r="D186" t="s">
        <v>17</v>
      </c>
      <c r="E186" t="s">
        <v>50</v>
      </c>
      <c r="F186" t="s">
        <v>19</v>
      </c>
      <c r="G186" t="s">
        <v>26</v>
      </c>
      <c r="H186" t="s">
        <v>65</v>
      </c>
      <c r="I186" t="s">
        <v>53</v>
      </c>
      <c r="J186" t="s">
        <v>148</v>
      </c>
      <c r="K186" t="s">
        <v>23</v>
      </c>
      <c r="L186">
        <v>578</v>
      </c>
      <c r="M186" s="10">
        <v>24.9632969</v>
      </c>
      <c r="N186" s="10">
        <v>253.39000159944891</v>
      </c>
      <c r="O186" s="10">
        <v>7.796061218718231E-2</v>
      </c>
      <c r="P186" s="1" t="str">
        <f>HYPERLINK(".\sm_car_250915_0045\sm_car_250915_0045_185_Ca145TrE_MaDLC_DrSt_ode23t_1.png","figure")</f>
        <v>figure</v>
      </c>
      <c r="Q186" t="s">
        <v>15</v>
      </c>
    </row>
    <row r="187" spans="1:17" x14ac:dyDescent="0.25">
      <c r="A187">
        <v>186</v>
      </c>
      <c r="B187">
        <v>199</v>
      </c>
      <c r="C187" t="s">
        <v>46</v>
      </c>
      <c r="D187" t="s">
        <v>17</v>
      </c>
      <c r="E187" t="s">
        <v>109</v>
      </c>
      <c r="F187" t="s">
        <v>19</v>
      </c>
      <c r="G187" t="s">
        <v>26</v>
      </c>
      <c r="H187" t="s">
        <v>21</v>
      </c>
      <c r="I187" t="s">
        <v>53</v>
      </c>
      <c r="J187" t="s">
        <v>148</v>
      </c>
      <c r="K187" t="s">
        <v>23</v>
      </c>
      <c r="L187">
        <v>460</v>
      </c>
      <c r="M187" s="10">
        <v>6.1559851999999999</v>
      </c>
      <c r="N187" s="10">
        <v>253.57999972796159</v>
      </c>
      <c r="O187" s="10">
        <v>7.6622576181347934E-2</v>
      </c>
      <c r="P187" s="1" t="str">
        <f>HYPERLINK(".\sm_car_250915_0045\sm_car_250915_0045_186_Ca199TrN_MaDLC_DrSt_ode23t_1.png","figure")</f>
        <v>figure</v>
      </c>
      <c r="Q187" t="s">
        <v>15</v>
      </c>
    </row>
    <row r="188" spans="1:17" x14ac:dyDescent="0.25">
      <c r="A188">
        <v>187</v>
      </c>
      <c r="B188">
        <v>199</v>
      </c>
      <c r="C188" t="s">
        <v>46</v>
      </c>
      <c r="D188" t="s">
        <v>17</v>
      </c>
      <c r="E188" t="s">
        <v>109</v>
      </c>
      <c r="F188" t="s">
        <v>19</v>
      </c>
      <c r="G188" t="s">
        <v>26</v>
      </c>
      <c r="H188" t="s">
        <v>65</v>
      </c>
      <c r="I188" t="s">
        <v>53</v>
      </c>
      <c r="J188" t="s">
        <v>148</v>
      </c>
      <c r="K188" t="s">
        <v>23</v>
      </c>
      <c r="L188">
        <v>573</v>
      </c>
      <c r="M188" s="10">
        <v>15.2823894</v>
      </c>
      <c r="N188" s="10">
        <v>255.7040080152837</v>
      </c>
      <c r="O188" s="10">
        <v>6.7304560863547636E-2</v>
      </c>
      <c r="P188" s="1" t="str">
        <f>HYPERLINK(".\sm_car_250915_0045\sm_car_250915_0045_187_Ca199TrE_MaDLC_DrSt_ode23t_1.png","figure")</f>
        <v>figure</v>
      </c>
      <c r="Q188" t="s">
        <v>15</v>
      </c>
    </row>
    <row r="189" spans="1:17" x14ac:dyDescent="0.25">
      <c r="A189">
        <v>188</v>
      </c>
      <c r="B189">
        <v>199</v>
      </c>
      <c r="C189" t="s">
        <v>46</v>
      </c>
      <c r="D189" t="s">
        <v>17</v>
      </c>
      <c r="E189" t="s">
        <v>109</v>
      </c>
      <c r="F189" t="s">
        <v>19</v>
      </c>
      <c r="G189" t="s">
        <v>26</v>
      </c>
      <c r="H189" t="s">
        <v>66</v>
      </c>
      <c r="I189" t="s">
        <v>53</v>
      </c>
      <c r="J189" t="s">
        <v>148</v>
      </c>
      <c r="K189" t="s">
        <v>23</v>
      </c>
      <c r="L189">
        <v>2253</v>
      </c>
      <c r="M189" s="10">
        <v>137.42643989999999</v>
      </c>
      <c r="N189" s="10">
        <v>257.35691330643749</v>
      </c>
      <c r="O189" s="10">
        <v>6.0301558865338833E-2</v>
      </c>
      <c r="P189" s="1" t="str">
        <f>HYPERLINK(".\sm_car_250915_0045\sm_car_250915_0045_188_Ca199TrT_MaDLC_DrSt_ode23t_1.png","figure")</f>
        <v>figure</v>
      </c>
      <c r="Q189" t="s">
        <v>15</v>
      </c>
    </row>
    <row r="190" spans="1:17" x14ac:dyDescent="0.25">
      <c r="A190">
        <v>189</v>
      </c>
      <c r="B190">
        <v>199</v>
      </c>
      <c r="C190" t="s">
        <v>46</v>
      </c>
      <c r="D190" t="s">
        <v>17</v>
      </c>
      <c r="E190" t="s">
        <v>109</v>
      </c>
      <c r="F190" t="s">
        <v>19</v>
      </c>
      <c r="G190" t="s">
        <v>26</v>
      </c>
      <c r="H190" t="s">
        <v>65</v>
      </c>
      <c r="I190" t="s">
        <v>53</v>
      </c>
      <c r="J190" t="s">
        <v>148</v>
      </c>
      <c r="K190" t="s">
        <v>23</v>
      </c>
      <c r="L190">
        <v>574</v>
      </c>
      <c r="M190" s="10">
        <v>11.216669100000001</v>
      </c>
      <c r="N190" s="10">
        <v>254.25152553633552</v>
      </c>
      <c r="O190" s="10">
        <v>7.3964564757967644E-2</v>
      </c>
      <c r="P190" s="1" t="str">
        <f>HYPERLINK(".\sm_car_250915_0045\sm_car_250915_0045_189_Ca199TrE_MaDLC_DrSt_ode23t_1.png","figure")</f>
        <v>figure</v>
      </c>
      <c r="Q190" t="s">
        <v>15</v>
      </c>
    </row>
    <row r="191" spans="1:17" x14ac:dyDescent="0.25">
      <c r="A191">
        <v>190</v>
      </c>
      <c r="B191">
        <v>189</v>
      </c>
      <c r="C191" t="s">
        <v>45</v>
      </c>
      <c r="D191" t="s">
        <v>17</v>
      </c>
      <c r="E191" t="s">
        <v>107</v>
      </c>
      <c r="F191" t="s">
        <v>19</v>
      </c>
      <c r="G191" t="s">
        <v>26</v>
      </c>
      <c r="H191" t="s">
        <v>65</v>
      </c>
      <c r="I191" t="s">
        <v>67</v>
      </c>
      <c r="J191" t="s">
        <v>148</v>
      </c>
      <c r="K191" t="s">
        <v>23</v>
      </c>
      <c r="L191">
        <v>415</v>
      </c>
      <c r="M191" s="10">
        <v>10.017229</v>
      </c>
      <c r="N191" s="10">
        <v>264.55269728368717</v>
      </c>
      <c r="O191" s="10">
        <v>1.2687205122960954E-3</v>
      </c>
      <c r="P191" s="1" t="str">
        <f>HYPERLINK(".\sm_car_250915_0045\sm_car_250915_0045_190_Ca189TrE_MaTRD_DrSt_ode23t_1.png","figure")</f>
        <v>figure</v>
      </c>
      <c r="Q191" t="s">
        <v>15</v>
      </c>
    </row>
    <row r="192" spans="1:17" x14ac:dyDescent="0.25">
      <c r="A192">
        <v>191</v>
      </c>
      <c r="B192">
        <v>189</v>
      </c>
      <c r="C192" t="s">
        <v>45</v>
      </c>
      <c r="D192" t="s">
        <v>17</v>
      </c>
      <c r="E192" t="s">
        <v>107</v>
      </c>
      <c r="F192" t="s">
        <v>19</v>
      </c>
      <c r="G192" t="s">
        <v>26</v>
      </c>
      <c r="H192" t="s">
        <v>65</v>
      </c>
      <c r="I192" t="s">
        <v>67</v>
      </c>
      <c r="J192" t="s">
        <v>148</v>
      </c>
      <c r="K192" t="s">
        <v>23</v>
      </c>
      <c r="L192">
        <v>579</v>
      </c>
      <c r="M192" s="10">
        <v>13.7881988</v>
      </c>
      <c r="N192" s="10">
        <v>264.42942288660453</v>
      </c>
      <c r="O192" s="10">
        <v>-8.8184488603772149E-2</v>
      </c>
      <c r="P192" s="1" t="str">
        <f>HYPERLINK(".\sm_car_250915_0045\sm_car_250915_0045_191_Ca189TrU_MaTRD_DrSt_ode23t_1.png","figure")</f>
        <v>figure</v>
      </c>
      <c r="Q192" t="s">
        <v>15</v>
      </c>
    </row>
    <row r="193" spans="1:17" x14ac:dyDescent="0.25">
      <c r="A193">
        <v>192</v>
      </c>
      <c r="B193">
        <v>149</v>
      </c>
      <c r="C193" t="s">
        <v>46</v>
      </c>
      <c r="D193" t="s">
        <v>17</v>
      </c>
      <c r="E193" t="s">
        <v>68</v>
      </c>
      <c r="F193" t="s">
        <v>19</v>
      </c>
      <c r="G193" t="s">
        <v>26</v>
      </c>
      <c r="H193" t="s">
        <v>21</v>
      </c>
      <c r="I193" t="s">
        <v>177</v>
      </c>
      <c r="J193" t="s">
        <v>148</v>
      </c>
      <c r="K193" t="s">
        <v>23</v>
      </c>
      <c r="L193">
        <v>1117</v>
      </c>
      <c r="M193" s="10">
        <v>12.6810779</v>
      </c>
      <c r="N193" s="10">
        <v>-6.5412933863107092E-3</v>
      </c>
      <c r="O193" s="10">
        <v>-2.1694737564217637E-3</v>
      </c>
      <c r="P193" s="1" t="str">
        <f>HYPERLINK(".\sm_car_250915_0045\sm_car_250915_0045_192_Ca149TrN_MaPS1_DrSt_ode23t_1.png","figure")</f>
        <v>figure</v>
      </c>
      <c r="Q193" t="s">
        <v>15</v>
      </c>
    </row>
    <row r="194" spans="1:17" x14ac:dyDescent="0.25">
      <c r="A194">
        <v>193</v>
      </c>
      <c r="B194">
        <v>149</v>
      </c>
      <c r="C194" t="s">
        <v>46</v>
      </c>
      <c r="D194" t="s">
        <v>17</v>
      </c>
      <c r="E194" t="s">
        <v>68</v>
      </c>
      <c r="F194" t="s">
        <v>19</v>
      </c>
      <c r="G194" t="s">
        <v>26</v>
      </c>
      <c r="H194" t="s">
        <v>21</v>
      </c>
      <c r="I194" t="s">
        <v>178</v>
      </c>
      <c r="J194" t="s">
        <v>148</v>
      </c>
      <c r="K194" t="s">
        <v>23</v>
      </c>
      <c r="L194">
        <v>5160</v>
      </c>
      <c r="M194" s="10">
        <v>45.8509612</v>
      </c>
      <c r="N194" s="10">
        <v>-6.3091684602594178E-3</v>
      </c>
      <c r="O194" s="10">
        <v>7.128177492290555E-3</v>
      </c>
      <c r="P194" s="1" t="str">
        <f>HYPERLINK(".\sm_car_250915_0045\sm_car_250915_0045_193_Ca149TrN_MaPSD_DrSt_ode23t_1.png","figure")</f>
        <v>figure</v>
      </c>
      <c r="Q194" t="s">
        <v>15</v>
      </c>
    </row>
    <row r="195" spans="1:17" x14ac:dyDescent="0.25">
      <c r="A195">
        <v>194</v>
      </c>
      <c r="B195">
        <v>139</v>
      </c>
      <c r="C195" t="s">
        <v>45</v>
      </c>
      <c r="D195" t="s">
        <v>17</v>
      </c>
      <c r="E195" t="s">
        <v>18</v>
      </c>
      <c r="F195" t="s">
        <v>19</v>
      </c>
      <c r="G195" t="s">
        <v>26</v>
      </c>
      <c r="H195" t="s">
        <v>21</v>
      </c>
      <c r="I195" t="s">
        <v>70</v>
      </c>
      <c r="J195" t="s">
        <v>148</v>
      </c>
      <c r="K195" t="s">
        <v>23</v>
      </c>
      <c r="L195">
        <v>1546</v>
      </c>
      <c r="M195" s="10">
        <v>33.017422600000003</v>
      </c>
      <c r="N195" s="10">
        <v>36.378315225112189</v>
      </c>
      <c r="O195" s="10">
        <v>0.2328612100186391</v>
      </c>
      <c r="P195" s="1" t="str">
        <f>HYPERLINK(".\sm_car_250915_0045\sm_car_250915_0045_194_Ca139TrN_MaSKD_DrSt_ode23t_1.png","figure")</f>
        <v>figure</v>
      </c>
      <c r="Q195" t="s">
        <v>15</v>
      </c>
    </row>
    <row r="196" spans="1:17" x14ac:dyDescent="0.25">
      <c r="A196">
        <v>195</v>
      </c>
      <c r="B196">
        <v>139</v>
      </c>
      <c r="C196" t="s">
        <v>45</v>
      </c>
      <c r="D196" t="s">
        <v>17</v>
      </c>
      <c r="E196" t="s">
        <v>18</v>
      </c>
      <c r="F196" t="s">
        <v>19</v>
      </c>
      <c r="G196" t="s">
        <v>26</v>
      </c>
      <c r="H196" t="s">
        <v>21</v>
      </c>
      <c r="I196" t="s">
        <v>71</v>
      </c>
      <c r="J196" t="s">
        <v>148</v>
      </c>
      <c r="K196" t="s">
        <v>23</v>
      </c>
      <c r="L196">
        <v>806</v>
      </c>
      <c r="M196" s="10">
        <v>17.074856199999999</v>
      </c>
      <c r="N196" s="10">
        <v>-4.3518918274756402E-3</v>
      </c>
      <c r="O196" s="10">
        <v>20.559740438323242</v>
      </c>
      <c r="P196" s="1" t="str">
        <f>HYPERLINK(".\sm_car_250915_0045\sm_car_250915_0045_195_Ca139TrN_MaRAD_DrSt_ode23t_1.png","figure")</f>
        <v>figure</v>
      </c>
      <c r="Q196" t="s">
        <v>15</v>
      </c>
    </row>
    <row r="197" spans="1:17" x14ac:dyDescent="0.25">
      <c r="A197">
        <v>196</v>
      </c>
      <c r="B197">
        <v>184</v>
      </c>
      <c r="C197" t="s">
        <v>105</v>
      </c>
      <c r="D197" t="s">
        <v>120</v>
      </c>
      <c r="E197" t="s">
        <v>49</v>
      </c>
      <c r="F197" t="s">
        <v>19</v>
      </c>
      <c r="G197" t="s">
        <v>20</v>
      </c>
      <c r="H197" t="s">
        <v>21</v>
      </c>
      <c r="I197" t="s">
        <v>70</v>
      </c>
      <c r="J197" t="s">
        <v>148</v>
      </c>
      <c r="K197" t="s">
        <v>23</v>
      </c>
      <c r="L197">
        <v>1298</v>
      </c>
      <c r="M197" s="10">
        <v>46.396823900000001</v>
      </c>
      <c r="N197" s="10">
        <v>36.457020287878969</v>
      </c>
      <c r="O197" s="10">
        <v>0.15937304260178259</v>
      </c>
      <c r="P197" s="1" t="str">
        <f>HYPERLINK(".\sm_car_250915_0045\sm_car_250915_0045_196_Ca184TrN_MaSKD_DrSt_ode23t_1.png","figure")</f>
        <v>figure</v>
      </c>
      <c r="Q197" t="s">
        <v>15</v>
      </c>
    </row>
    <row r="198" spans="1:17" x14ac:dyDescent="0.25">
      <c r="A198">
        <v>197</v>
      </c>
      <c r="B198">
        <v>184</v>
      </c>
      <c r="C198" t="s">
        <v>105</v>
      </c>
      <c r="D198" t="s">
        <v>120</v>
      </c>
      <c r="E198" t="s">
        <v>49</v>
      </c>
      <c r="F198" t="s">
        <v>19</v>
      </c>
      <c r="G198" t="s">
        <v>20</v>
      </c>
      <c r="H198" t="s">
        <v>21</v>
      </c>
      <c r="I198" t="s">
        <v>71</v>
      </c>
      <c r="J198" t="s">
        <v>148</v>
      </c>
      <c r="K198" t="s">
        <v>23</v>
      </c>
      <c r="L198">
        <v>644</v>
      </c>
      <c r="M198" s="10">
        <v>22.281571100000001</v>
      </c>
      <c r="N198" s="10">
        <v>7.479869596962736</v>
      </c>
      <c r="O198" s="10">
        <v>10.385538385474771</v>
      </c>
      <c r="P198" s="1" t="str">
        <f>HYPERLINK(".\sm_car_250915_0045\sm_car_250915_0045_197_Ca184TrN_MaRAD_DrSt_ode23t_1.png","figure")</f>
        <v>figure</v>
      </c>
      <c r="Q198" t="s">
        <v>15</v>
      </c>
    </row>
    <row r="199" spans="1:17" x14ac:dyDescent="0.25">
      <c r="A199">
        <v>198</v>
      </c>
      <c r="B199">
        <v>228</v>
      </c>
      <c r="C199" t="s">
        <v>160</v>
      </c>
      <c r="D199" t="s">
        <v>35</v>
      </c>
      <c r="E199" t="s">
        <v>107</v>
      </c>
      <c r="F199" t="s">
        <v>19</v>
      </c>
      <c r="G199" t="s">
        <v>26</v>
      </c>
      <c r="H199" t="s">
        <v>21</v>
      </c>
      <c r="I199" t="s">
        <v>70</v>
      </c>
      <c r="J199" t="s">
        <v>148</v>
      </c>
      <c r="K199" t="s">
        <v>23</v>
      </c>
      <c r="L199">
        <v>1676</v>
      </c>
      <c r="M199" s="10">
        <v>6.7013993000000003</v>
      </c>
      <c r="N199" s="10">
        <v>36.422025979864998</v>
      </c>
      <c r="O199" s="10">
        <v>0.57895066273667894</v>
      </c>
      <c r="P199" s="1" t="str">
        <f>HYPERLINK(".\sm_car_250915_0045\sm_car_250915_0045_198_Ca228TrN_MaSKD_DrSt_ode23t_1.png","figure")</f>
        <v>figure</v>
      </c>
      <c r="Q199" t="s">
        <v>15</v>
      </c>
    </row>
    <row r="200" spans="1:17" x14ac:dyDescent="0.25">
      <c r="A200">
        <v>199</v>
      </c>
      <c r="B200">
        <v>228</v>
      </c>
      <c r="C200" t="s">
        <v>160</v>
      </c>
      <c r="D200" t="s">
        <v>35</v>
      </c>
      <c r="E200" t="s">
        <v>107</v>
      </c>
      <c r="F200" t="s">
        <v>19</v>
      </c>
      <c r="G200" t="s">
        <v>26</v>
      </c>
      <c r="H200" t="s">
        <v>21</v>
      </c>
      <c r="I200" t="s">
        <v>71</v>
      </c>
      <c r="J200" t="s">
        <v>148</v>
      </c>
      <c r="K200" t="s">
        <v>23</v>
      </c>
      <c r="L200">
        <v>749</v>
      </c>
      <c r="M200" s="10">
        <v>3.2047450999999998</v>
      </c>
      <c r="N200" s="10">
        <v>6.988534577707064</v>
      </c>
      <c r="O200" s="10">
        <v>19.413178131883345</v>
      </c>
      <c r="P200" s="1" t="str">
        <f>HYPERLINK(".\sm_car_250915_0045\sm_car_250915_0045_199_Ca228TrN_MaRAD_DrSt_ode23t_1.png","figure")</f>
        <v>figure</v>
      </c>
      <c r="Q200" t="s">
        <v>15</v>
      </c>
    </row>
    <row r="201" spans="1:17" x14ac:dyDescent="0.25">
      <c r="A201">
        <v>200</v>
      </c>
      <c r="B201">
        <v>230</v>
      </c>
      <c r="C201" t="s">
        <v>160</v>
      </c>
      <c r="D201" t="s">
        <v>161</v>
      </c>
      <c r="E201" t="s">
        <v>162</v>
      </c>
      <c r="F201" t="s">
        <v>19</v>
      </c>
      <c r="G201" t="s">
        <v>26</v>
      </c>
      <c r="H201" t="s">
        <v>21</v>
      </c>
      <c r="I201" t="s">
        <v>70</v>
      </c>
      <c r="J201" t="s">
        <v>148</v>
      </c>
      <c r="K201" t="s">
        <v>23</v>
      </c>
      <c r="L201">
        <v>1382</v>
      </c>
      <c r="M201" s="10">
        <v>24.004521499999999</v>
      </c>
      <c r="N201" s="10">
        <v>36.718493258802511</v>
      </c>
      <c r="O201" s="10">
        <v>0.18065576146871895</v>
      </c>
      <c r="P201" s="1" t="str">
        <f>HYPERLINK(".\sm_car_250915_0045\sm_car_250915_0045_200_Ca230TrN_MaSKD_DrSt_ode23t_1.png","figure")</f>
        <v>figure</v>
      </c>
      <c r="Q201" t="s">
        <v>15</v>
      </c>
    </row>
    <row r="202" spans="1:17" x14ac:dyDescent="0.25">
      <c r="A202">
        <v>201</v>
      </c>
      <c r="B202">
        <v>230</v>
      </c>
      <c r="C202" t="s">
        <v>160</v>
      </c>
      <c r="D202" t="s">
        <v>161</v>
      </c>
      <c r="E202" t="s">
        <v>162</v>
      </c>
      <c r="F202" t="s">
        <v>19</v>
      </c>
      <c r="G202" t="s">
        <v>26</v>
      </c>
      <c r="H202" t="s">
        <v>21</v>
      </c>
      <c r="I202" t="s">
        <v>71</v>
      </c>
      <c r="J202" t="s">
        <v>148</v>
      </c>
      <c r="K202" t="s">
        <v>23</v>
      </c>
      <c r="L202">
        <v>700</v>
      </c>
      <c r="M202" s="10">
        <v>12.3306415</v>
      </c>
      <c r="N202" s="10">
        <v>5.4379720150922211</v>
      </c>
      <c r="O202" s="10">
        <v>14.268858416413259</v>
      </c>
      <c r="P202" s="1" t="str">
        <f>HYPERLINK(".\sm_car_250915_0045\sm_car_250915_0045_201_Ca230TrN_MaRAD_DrSt_ode23t_1.png","figure")</f>
        <v>figure</v>
      </c>
      <c r="Q202" t="s">
        <v>15</v>
      </c>
    </row>
    <row r="203" spans="1:17" x14ac:dyDescent="0.25">
      <c r="A203">
        <v>202</v>
      </c>
      <c r="B203">
        <v>231</v>
      </c>
      <c r="C203" t="s">
        <v>160</v>
      </c>
      <c r="D203" t="s">
        <v>172</v>
      </c>
      <c r="E203" t="s">
        <v>162</v>
      </c>
      <c r="F203" t="s">
        <v>19</v>
      </c>
      <c r="G203" t="s">
        <v>26</v>
      </c>
      <c r="H203" t="s">
        <v>21</v>
      </c>
      <c r="I203" t="s">
        <v>70</v>
      </c>
      <c r="J203" t="s">
        <v>148</v>
      </c>
      <c r="K203" t="s">
        <v>23</v>
      </c>
      <c r="L203">
        <v>1497</v>
      </c>
      <c r="M203" s="10">
        <v>25.773229799999999</v>
      </c>
      <c r="N203" s="10">
        <v>36.487665953022336</v>
      </c>
      <c r="O203" s="10">
        <v>-0.14090850809456432</v>
      </c>
      <c r="P203" s="1" t="str">
        <f>HYPERLINK(".\sm_car_250915_0045\sm_car_250915_0045_202_Ca231TrN_MaSKD_DrSt_ode23t_1.png","figure")</f>
        <v>figure</v>
      </c>
      <c r="Q203" t="s">
        <v>15</v>
      </c>
    </row>
    <row r="204" spans="1:17" x14ac:dyDescent="0.25">
      <c r="A204">
        <v>203</v>
      </c>
      <c r="B204">
        <v>231</v>
      </c>
      <c r="C204" t="s">
        <v>160</v>
      </c>
      <c r="D204" t="s">
        <v>172</v>
      </c>
      <c r="E204" t="s">
        <v>162</v>
      </c>
      <c r="F204" t="s">
        <v>19</v>
      </c>
      <c r="G204" t="s">
        <v>26</v>
      </c>
      <c r="H204" t="s">
        <v>21</v>
      </c>
      <c r="I204" t="s">
        <v>71</v>
      </c>
      <c r="J204" t="s">
        <v>148</v>
      </c>
      <c r="K204" t="s">
        <v>23</v>
      </c>
      <c r="L204">
        <v>760</v>
      </c>
      <c r="M204" s="10">
        <v>12.811964</v>
      </c>
      <c r="N204" s="10">
        <v>6.55078141881242</v>
      </c>
      <c r="O204" s="10">
        <v>3.9336833229238182</v>
      </c>
      <c r="P204" s="1" t="str">
        <f>HYPERLINK(".\sm_car_250915_0045\sm_car_250915_0045_203_Ca231TrN_MaRAD_DrSt_ode23t_1.png","figure")</f>
        <v>figure</v>
      </c>
      <c r="Q204" t="s">
        <v>15</v>
      </c>
    </row>
    <row r="205" spans="1:17" x14ac:dyDescent="0.25">
      <c r="A205">
        <v>204</v>
      </c>
      <c r="B205">
        <v>198</v>
      </c>
      <c r="C205" t="s">
        <v>105</v>
      </c>
      <c r="D205" t="s">
        <v>120</v>
      </c>
      <c r="E205" t="s">
        <v>107</v>
      </c>
      <c r="F205" t="s">
        <v>19</v>
      </c>
      <c r="G205" t="s">
        <v>20</v>
      </c>
      <c r="H205" t="s">
        <v>21</v>
      </c>
      <c r="I205" t="s">
        <v>70</v>
      </c>
      <c r="J205" t="s">
        <v>148</v>
      </c>
      <c r="K205" t="s">
        <v>23</v>
      </c>
      <c r="L205">
        <v>1411</v>
      </c>
      <c r="M205" s="10">
        <v>28.874330400000002</v>
      </c>
      <c r="N205" s="10">
        <v>36.919295193986578</v>
      </c>
      <c r="O205" s="10">
        <v>0.14485326373866303</v>
      </c>
      <c r="P205" s="1" t="str">
        <f>HYPERLINK(".\sm_car_250915_0045\sm_car_250915_0045_204_Ca198TrN_MaSKD_DrSt_ode23t_1.png","figure")</f>
        <v>figure</v>
      </c>
      <c r="Q205" t="s">
        <v>15</v>
      </c>
    </row>
    <row r="206" spans="1:17" x14ac:dyDescent="0.25">
      <c r="A206">
        <v>205</v>
      </c>
      <c r="B206">
        <v>198</v>
      </c>
      <c r="C206" t="s">
        <v>105</v>
      </c>
      <c r="D206" t="s">
        <v>120</v>
      </c>
      <c r="E206" t="s">
        <v>107</v>
      </c>
      <c r="F206" t="s">
        <v>19</v>
      </c>
      <c r="G206" t="s">
        <v>20</v>
      </c>
      <c r="H206" t="s">
        <v>21</v>
      </c>
      <c r="I206" t="s">
        <v>71</v>
      </c>
      <c r="J206" t="s">
        <v>148</v>
      </c>
      <c r="K206" t="s">
        <v>23</v>
      </c>
      <c r="L206">
        <v>685</v>
      </c>
      <c r="M206" s="10">
        <v>14.291923000000001</v>
      </c>
      <c r="N206" s="10">
        <v>7.5245067925921454</v>
      </c>
      <c r="O206" s="10">
        <v>10.291096042233358</v>
      </c>
      <c r="P206" s="1" t="str">
        <f>HYPERLINK(".\sm_car_250915_0045\sm_car_250915_0045_205_Ca198TrN_MaRAD_DrSt_ode23t_1.png","figure")</f>
        <v>figure</v>
      </c>
      <c r="Q206" t="s">
        <v>15</v>
      </c>
    </row>
    <row r="207" spans="1:17" x14ac:dyDescent="0.25">
      <c r="A207">
        <v>206</v>
      </c>
      <c r="B207">
        <v>189</v>
      </c>
      <c r="C207" t="s">
        <v>45</v>
      </c>
      <c r="D207" t="s">
        <v>17</v>
      </c>
      <c r="E207" t="s">
        <v>107</v>
      </c>
      <c r="F207" t="s">
        <v>19</v>
      </c>
      <c r="G207" t="s">
        <v>26</v>
      </c>
      <c r="H207" t="s">
        <v>21</v>
      </c>
      <c r="I207" t="s">
        <v>132</v>
      </c>
      <c r="J207" t="s">
        <v>148</v>
      </c>
      <c r="K207" t="s">
        <v>23</v>
      </c>
      <c r="L207">
        <v>581</v>
      </c>
      <c r="M207" s="10">
        <v>10.1097591</v>
      </c>
      <c r="N207" s="10">
        <v>135.46175024790969</v>
      </c>
      <c r="O207" s="10">
        <v>-14.126616229118742</v>
      </c>
      <c r="P207" s="1" t="str">
        <f>HYPERLINK(".\sm_car_250915_0045\sm_car_250915_0045_206_Ca189TrN_MaFSH_DrSt_ode23t_1.png","figure")</f>
        <v>figure</v>
      </c>
      <c r="Q207" t="s">
        <v>15</v>
      </c>
    </row>
    <row r="208" spans="1:17" x14ac:dyDescent="0.25">
      <c r="A208">
        <v>207</v>
      </c>
      <c r="B208">
        <v>189</v>
      </c>
      <c r="C208" t="s">
        <v>45</v>
      </c>
      <c r="D208" t="s">
        <v>17</v>
      </c>
      <c r="E208" t="s">
        <v>107</v>
      </c>
      <c r="F208" t="s">
        <v>19</v>
      </c>
      <c r="G208" t="s">
        <v>26</v>
      </c>
      <c r="H208" t="s">
        <v>21</v>
      </c>
      <c r="I208" t="s">
        <v>133</v>
      </c>
      <c r="J208" t="s">
        <v>148</v>
      </c>
      <c r="K208" t="s">
        <v>23</v>
      </c>
      <c r="L208">
        <v>437</v>
      </c>
      <c r="M208" s="10">
        <v>6.8707719999999997</v>
      </c>
      <c r="N208" s="10">
        <v>129.58922852416995</v>
      </c>
      <c r="O208" s="10">
        <v>-9.2820548135194869</v>
      </c>
      <c r="P208" s="1" t="str">
        <f>HYPERLINK(".\sm_car_250915_0045\sm_car_250915_0045_207_Ca189TrN_MaSWD_DrSt_ode23t_1.png","figure")</f>
        <v>figure</v>
      </c>
      <c r="Q208" t="s">
        <v>15</v>
      </c>
    </row>
    <row r="209" spans="1:17" x14ac:dyDescent="0.25">
      <c r="A209">
        <v>208</v>
      </c>
      <c r="B209">
        <v>189</v>
      </c>
      <c r="C209" t="s">
        <v>45</v>
      </c>
      <c r="D209" t="s">
        <v>17</v>
      </c>
      <c r="E209" t="s">
        <v>107</v>
      </c>
      <c r="F209" t="s">
        <v>19</v>
      </c>
      <c r="G209" t="s">
        <v>26</v>
      </c>
      <c r="H209" t="s">
        <v>21</v>
      </c>
      <c r="I209" t="s">
        <v>134</v>
      </c>
      <c r="J209" t="s">
        <v>148</v>
      </c>
      <c r="K209" t="s">
        <v>23</v>
      </c>
      <c r="L209">
        <v>441</v>
      </c>
      <c r="M209" s="10">
        <v>7.7514779000000003</v>
      </c>
      <c r="N209" s="10">
        <v>113.35663535698288</v>
      </c>
      <c r="O209" s="10">
        <v>18.074327820912824</v>
      </c>
      <c r="P209" s="1" t="str">
        <f>HYPERLINK(".\sm_car_250915_0045\sm_car_250915_0045_208_Ca189TrN_MaRST_DrSt_ode23t_1.png","figure")</f>
        <v>figure</v>
      </c>
      <c r="Q209" t="s">
        <v>15</v>
      </c>
    </row>
    <row r="210" spans="1:17" x14ac:dyDescent="0.25">
      <c r="A210">
        <v>209</v>
      </c>
      <c r="B210">
        <v>189</v>
      </c>
      <c r="C210" t="s">
        <v>45</v>
      </c>
      <c r="D210" t="s">
        <v>17</v>
      </c>
      <c r="E210" t="s">
        <v>107</v>
      </c>
      <c r="F210" t="s">
        <v>19</v>
      </c>
      <c r="G210" t="s">
        <v>26</v>
      </c>
      <c r="H210" t="s">
        <v>21</v>
      </c>
      <c r="I210" t="s">
        <v>135</v>
      </c>
      <c r="J210" t="s">
        <v>148</v>
      </c>
      <c r="K210" t="s">
        <v>23</v>
      </c>
      <c r="L210">
        <v>594</v>
      </c>
      <c r="M210" s="10">
        <v>17.313418599999999</v>
      </c>
      <c r="N210" s="10">
        <v>224.06100567223712</v>
      </c>
      <c r="O210" s="10">
        <v>0.10729469809239842</v>
      </c>
      <c r="P210" s="1" t="str">
        <f>HYPERLINK(".\sm_car_250915_0045\sm_car_250915_0045_209_Ca189TrN_MaSLA_DrSt_ode23t_1.png","figure")</f>
        <v>figure</v>
      </c>
      <c r="Q210" t="s">
        <v>15</v>
      </c>
    </row>
    <row r="211" spans="1:17" x14ac:dyDescent="0.25">
      <c r="A211">
        <v>210</v>
      </c>
      <c r="B211">
        <v>218</v>
      </c>
      <c r="C211" t="s">
        <v>16</v>
      </c>
      <c r="D211" t="s">
        <v>128</v>
      </c>
      <c r="E211" t="s">
        <v>107</v>
      </c>
      <c r="F211" t="s">
        <v>19</v>
      </c>
      <c r="G211" t="s">
        <v>26</v>
      </c>
      <c r="H211" t="s">
        <v>21</v>
      </c>
      <c r="I211" t="s">
        <v>132</v>
      </c>
      <c r="J211" t="s">
        <v>148</v>
      </c>
      <c r="K211" t="s">
        <v>23</v>
      </c>
      <c r="L211">
        <v>585</v>
      </c>
      <c r="M211" s="10">
        <v>7.4137941999999999</v>
      </c>
      <c r="N211" s="10">
        <v>102.02253256096134</v>
      </c>
      <c r="O211" s="10">
        <v>-21.930855387980518</v>
      </c>
      <c r="P211" s="1" t="str">
        <f>HYPERLINK(".\sm_car_250915_0045\sm_car_250915_0045_210_Ca218TrN_MaFSH_DrSt_ode23t_1.png","figure")</f>
        <v>figure</v>
      </c>
      <c r="Q211" t="s">
        <v>15</v>
      </c>
    </row>
    <row r="212" spans="1:17" x14ac:dyDescent="0.25">
      <c r="A212">
        <v>211</v>
      </c>
      <c r="B212">
        <v>218</v>
      </c>
      <c r="C212" t="s">
        <v>16</v>
      </c>
      <c r="D212" t="s">
        <v>128</v>
      </c>
      <c r="E212" t="s">
        <v>107</v>
      </c>
      <c r="F212" t="s">
        <v>19</v>
      </c>
      <c r="G212" t="s">
        <v>26</v>
      </c>
      <c r="H212" t="s">
        <v>21</v>
      </c>
      <c r="I212" t="s">
        <v>133</v>
      </c>
      <c r="J212" t="s">
        <v>148</v>
      </c>
      <c r="K212" t="s">
        <v>23</v>
      </c>
      <c r="L212">
        <v>465</v>
      </c>
      <c r="M212" s="10">
        <v>5.5452621000000004</v>
      </c>
      <c r="N212" s="10">
        <v>136.84335085750084</v>
      </c>
      <c r="O212" s="10">
        <v>-8.909388056698468</v>
      </c>
      <c r="P212" s="1" t="str">
        <f>HYPERLINK(".\sm_car_250915_0045\sm_car_250915_0045_211_Ca218TrN_MaSWD_DrSt_ode23t_1.png","figure")</f>
        <v>figure</v>
      </c>
      <c r="Q212" t="s">
        <v>15</v>
      </c>
    </row>
    <row r="213" spans="1:17" x14ac:dyDescent="0.25">
      <c r="A213">
        <v>212</v>
      </c>
      <c r="B213">
        <v>218</v>
      </c>
      <c r="C213" t="s">
        <v>16</v>
      </c>
      <c r="D213" t="s">
        <v>128</v>
      </c>
      <c r="E213" t="s">
        <v>107</v>
      </c>
      <c r="F213" t="s">
        <v>19</v>
      </c>
      <c r="G213" t="s">
        <v>26</v>
      </c>
      <c r="H213" t="s">
        <v>21</v>
      </c>
      <c r="I213" t="s">
        <v>134</v>
      </c>
      <c r="J213" t="s">
        <v>148</v>
      </c>
      <c r="K213" t="s">
        <v>23</v>
      </c>
      <c r="L213">
        <v>392</v>
      </c>
      <c r="M213" s="10">
        <v>5.3151929999999998</v>
      </c>
      <c r="N213" s="10">
        <v>102.53300364638551</v>
      </c>
      <c r="O213" s="10">
        <v>29.40114417862117</v>
      </c>
      <c r="P213" s="1" t="str">
        <f>HYPERLINK(".\sm_car_250915_0045\sm_car_250915_0045_212_Ca218TrN_MaRST_DrSt_ode23t_1.png","figure")</f>
        <v>figure</v>
      </c>
      <c r="Q213" t="s">
        <v>15</v>
      </c>
    </row>
    <row r="214" spans="1:17" x14ac:dyDescent="0.25">
      <c r="A214">
        <v>213</v>
      </c>
      <c r="B214">
        <v>218</v>
      </c>
      <c r="C214" t="s">
        <v>16</v>
      </c>
      <c r="D214" t="s">
        <v>128</v>
      </c>
      <c r="E214" t="s">
        <v>107</v>
      </c>
      <c r="F214" t="s">
        <v>19</v>
      </c>
      <c r="G214" t="s">
        <v>26</v>
      </c>
      <c r="H214" t="s">
        <v>21</v>
      </c>
      <c r="I214" t="s">
        <v>135</v>
      </c>
      <c r="J214" t="s">
        <v>148</v>
      </c>
      <c r="K214" t="s">
        <v>23</v>
      </c>
      <c r="L214">
        <v>669</v>
      </c>
      <c r="M214" s="10">
        <v>16.612310699999998</v>
      </c>
      <c r="N214" s="10">
        <v>222.43855332819891</v>
      </c>
      <c r="O214" s="10">
        <v>0.10605694401245376</v>
      </c>
      <c r="P214" s="1" t="str">
        <f>HYPERLINK(".\sm_car_250915_0045\sm_car_250915_0045_213_Ca218TrN_MaSLA_DrSt_ode23t_1.png","figure")</f>
        <v>figure</v>
      </c>
      <c r="Q214" t="s">
        <v>15</v>
      </c>
    </row>
    <row r="215" spans="1:17" x14ac:dyDescent="0.25">
      <c r="A215">
        <v>214</v>
      </c>
      <c r="B215">
        <v>232</v>
      </c>
      <c r="C215" t="s">
        <v>160</v>
      </c>
      <c r="D215" t="s">
        <v>172</v>
      </c>
      <c r="E215" t="s">
        <v>162</v>
      </c>
      <c r="F215" t="s">
        <v>179</v>
      </c>
      <c r="G215" t="s">
        <v>26</v>
      </c>
      <c r="H215" t="s">
        <v>21</v>
      </c>
      <c r="I215" t="s">
        <v>132</v>
      </c>
      <c r="J215" t="s">
        <v>148</v>
      </c>
      <c r="K215" t="s">
        <v>23</v>
      </c>
      <c r="L215">
        <v>659</v>
      </c>
      <c r="M215" s="10">
        <v>9.4865148999999995</v>
      </c>
      <c r="N215" s="10">
        <v>106.51177836121295</v>
      </c>
      <c r="O215" s="10">
        <v>-14.169390891527096</v>
      </c>
      <c r="P215" s="1" t="str">
        <f>HYPERLINK(".\sm_car_250915_0045\sm_car_250915_0045_214_Ca232TrN_MaFSH_DrSt_ode23t_1.png","figure")</f>
        <v>figure</v>
      </c>
      <c r="Q215" t="s">
        <v>15</v>
      </c>
    </row>
    <row r="216" spans="1:17" x14ac:dyDescent="0.25">
      <c r="A216">
        <v>215</v>
      </c>
      <c r="B216">
        <v>156</v>
      </c>
      <c r="C216" t="s">
        <v>45</v>
      </c>
      <c r="D216" t="s">
        <v>17</v>
      </c>
      <c r="E216" t="s">
        <v>18</v>
      </c>
      <c r="F216" t="s">
        <v>19</v>
      </c>
      <c r="G216" t="s">
        <v>38</v>
      </c>
      <c r="H216" t="s">
        <v>21</v>
      </c>
      <c r="I216" t="s">
        <v>54</v>
      </c>
      <c r="J216" t="s">
        <v>148</v>
      </c>
      <c r="K216" t="s">
        <v>23</v>
      </c>
      <c r="L216">
        <v>25515</v>
      </c>
      <c r="M216" s="10">
        <v>339.24632700000001</v>
      </c>
      <c r="N216" s="10">
        <v>19.019540749590263</v>
      </c>
      <c r="O216" s="10">
        <v>2.3806846330358282</v>
      </c>
      <c r="P216" s="1" t="str">
        <f>HYPERLINK(".\sm_car_250915_0045\sm_car_250915_0045_215_Ca156TrN_MaIPA_DrSt_ode23t.png","figure")</f>
        <v>figure</v>
      </c>
      <c r="Q216" t="s">
        <v>15</v>
      </c>
    </row>
    <row r="217" spans="1:17" x14ac:dyDescent="0.25">
      <c r="A217">
        <v>216</v>
      </c>
      <c r="B217">
        <v>130</v>
      </c>
      <c r="C217" t="s">
        <v>16</v>
      </c>
      <c r="D217" t="s">
        <v>17</v>
      </c>
      <c r="E217" t="s">
        <v>18</v>
      </c>
      <c r="F217" t="s">
        <v>19</v>
      </c>
      <c r="G217" t="s">
        <v>38</v>
      </c>
      <c r="H217" t="s">
        <v>21</v>
      </c>
      <c r="I217" t="s">
        <v>54</v>
      </c>
      <c r="J217" t="s">
        <v>148</v>
      </c>
      <c r="K217" t="s">
        <v>23</v>
      </c>
      <c r="L217">
        <v>18151</v>
      </c>
      <c r="M217" s="10">
        <v>242.80826540000001</v>
      </c>
      <c r="N217" s="10">
        <v>16.23288487575531</v>
      </c>
      <c r="O217" s="10">
        <v>0.55308837518666298</v>
      </c>
      <c r="P217" s="1" t="str">
        <f>HYPERLINK(".\sm_car_250915_0045\sm_car_250915_0045_216_Ca130TrN_MaIPA_DrSt_ode23t.png","figure")</f>
        <v>figure</v>
      </c>
      <c r="Q217" t="s">
        <v>15</v>
      </c>
    </row>
    <row r="218" spans="1:17" x14ac:dyDescent="0.25">
      <c r="A218">
        <v>217</v>
      </c>
      <c r="B218">
        <v>171</v>
      </c>
      <c r="C218" t="s">
        <v>45</v>
      </c>
      <c r="D218" t="s">
        <v>17</v>
      </c>
      <c r="E218" t="s">
        <v>72</v>
      </c>
      <c r="F218" t="s">
        <v>19</v>
      </c>
      <c r="G218" t="s">
        <v>26</v>
      </c>
      <c r="H218" t="s">
        <v>21</v>
      </c>
      <c r="I218" t="s">
        <v>73</v>
      </c>
      <c r="J218" t="s">
        <v>148</v>
      </c>
      <c r="K218" t="s">
        <v>23</v>
      </c>
      <c r="L218">
        <v>1441</v>
      </c>
      <c r="M218" s="10">
        <v>20.844010300000001</v>
      </c>
      <c r="N218" s="10">
        <v>334.76810471859454</v>
      </c>
      <c r="O218" s="10">
        <v>0.69417584356687656</v>
      </c>
      <c r="P218" s="1" t="str">
        <f>HYPERLINK(".\sm_car_250915_0045\sm_car_250915_0045_217_Ca171TrN_MaRDP_DrSt_ode23t_1.png","figure")</f>
        <v>figure</v>
      </c>
      <c r="Q218" t="s">
        <v>15</v>
      </c>
    </row>
    <row r="219" spans="1:17" x14ac:dyDescent="0.25">
      <c r="A219">
        <v>218</v>
      </c>
      <c r="B219">
        <v>172</v>
      </c>
      <c r="C219" t="s">
        <v>46</v>
      </c>
      <c r="D219" t="s">
        <v>17</v>
      </c>
      <c r="E219" t="s">
        <v>72</v>
      </c>
      <c r="F219" t="s">
        <v>19</v>
      </c>
      <c r="G219" t="s">
        <v>26</v>
      </c>
      <c r="H219" t="s">
        <v>21</v>
      </c>
      <c r="I219" t="s">
        <v>73</v>
      </c>
      <c r="J219" t="s">
        <v>148</v>
      </c>
      <c r="K219" t="s">
        <v>23</v>
      </c>
      <c r="L219">
        <v>1254</v>
      </c>
      <c r="M219" s="10">
        <v>11.291805399999999</v>
      </c>
      <c r="N219" s="10">
        <v>135.47043073049227</v>
      </c>
      <c r="O219" s="10">
        <v>3.6020810688674069E-2</v>
      </c>
      <c r="P219" s="1" t="str">
        <f>HYPERLINK(".\sm_car_250915_0045\sm_car_250915_0045_218_Ca172TrN_MaRDP_DrSt_ode23t_1.png","figure")</f>
        <v>figure</v>
      </c>
      <c r="Q219" t="s">
        <v>15</v>
      </c>
    </row>
    <row r="220" spans="1:17" x14ac:dyDescent="0.25">
      <c r="A220">
        <v>219</v>
      </c>
      <c r="B220">
        <v>139</v>
      </c>
      <c r="C220" t="s">
        <v>45</v>
      </c>
      <c r="D220" t="s">
        <v>17</v>
      </c>
      <c r="E220" t="s">
        <v>18</v>
      </c>
      <c r="F220" t="s">
        <v>19</v>
      </c>
      <c r="G220" t="s">
        <v>26</v>
      </c>
      <c r="H220" t="s">
        <v>21</v>
      </c>
      <c r="I220" t="s">
        <v>74</v>
      </c>
      <c r="J220" t="s">
        <v>148</v>
      </c>
      <c r="K220" t="s">
        <v>23</v>
      </c>
      <c r="L220">
        <v>1580</v>
      </c>
      <c r="M220" s="10">
        <v>18.1951359</v>
      </c>
      <c r="N220" s="10">
        <v>361.4467870707312</v>
      </c>
      <c r="O220" s="10">
        <v>0.77040919508388472</v>
      </c>
      <c r="P220" s="1" t="str">
        <f>HYPERLINK(".\sm_car_250915_0045\sm_car_250915_0045_219_Ca139TrN_MaZPL_DrSt_ode23t_1.png","figure")</f>
        <v>figure</v>
      </c>
      <c r="Q220" t="s">
        <v>15</v>
      </c>
    </row>
    <row r="221" spans="1:17" x14ac:dyDescent="0.25">
      <c r="A221">
        <v>220</v>
      </c>
      <c r="B221">
        <v>165</v>
      </c>
      <c r="C221" t="s">
        <v>45</v>
      </c>
      <c r="D221" t="s">
        <v>35</v>
      </c>
      <c r="E221" t="s">
        <v>49</v>
      </c>
      <c r="F221" t="s">
        <v>19</v>
      </c>
      <c r="G221" t="s">
        <v>26</v>
      </c>
      <c r="H221" t="s">
        <v>21</v>
      </c>
      <c r="I221" t="s">
        <v>74</v>
      </c>
      <c r="J221" t="s">
        <v>148</v>
      </c>
      <c r="K221" t="s">
        <v>23</v>
      </c>
      <c r="L221">
        <v>1969</v>
      </c>
      <c r="M221" s="10">
        <v>9.8200705999999993</v>
      </c>
      <c r="N221" s="10">
        <v>397.8212151398987</v>
      </c>
      <c r="O221" s="10">
        <v>0.34071888460438249</v>
      </c>
      <c r="P221" s="1" t="str">
        <f>HYPERLINK(".\sm_car_250915_0045\sm_car_250915_0045_220_Ca165TrN_MaZPL_DrSt_ode23t_1.png","figure")</f>
        <v>figure</v>
      </c>
      <c r="Q221" t="s">
        <v>15</v>
      </c>
    </row>
    <row r="222" spans="1:17" x14ac:dyDescent="0.25">
      <c r="A222">
        <v>221</v>
      </c>
      <c r="B222">
        <v>171</v>
      </c>
      <c r="C222" t="s">
        <v>45</v>
      </c>
      <c r="D222" t="s">
        <v>17</v>
      </c>
      <c r="E222" t="s">
        <v>72</v>
      </c>
      <c r="F222" t="s">
        <v>19</v>
      </c>
      <c r="G222" t="s">
        <v>26</v>
      </c>
      <c r="H222" t="s">
        <v>21</v>
      </c>
      <c r="I222" t="s">
        <v>74</v>
      </c>
      <c r="J222" t="s">
        <v>148</v>
      </c>
      <c r="K222" t="s">
        <v>23</v>
      </c>
      <c r="L222">
        <v>1563</v>
      </c>
      <c r="M222" s="10">
        <v>23.941297299999999</v>
      </c>
      <c r="N222" s="10">
        <v>361.13324062858453</v>
      </c>
      <c r="O222" s="10">
        <v>0.77704564497069284</v>
      </c>
      <c r="P222" s="1" t="str">
        <f>HYPERLINK(".\sm_car_250915_0045\sm_car_250915_0045_221_Ca171TrN_MaZPL_DrSt_ode23t_1.png","figure")</f>
        <v>figure</v>
      </c>
      <c r="Q222" t="s">
        <v>15</v>
      </c>
    </row>
    <row r="223" spans="1:17" x14ac:dyDescent="0.25">
      <c r="A223">
        <v>222</v>
      </c>
      <c r="B223">
        <v>165</v>
      </c>
      <c r="C223" t="s">
        <v>45</v>
      </c>
      <c r="D223" t="s">
        <v>35</v>
      </c>
      <c r="E223" t="s">
        <v>49</v>
      </c>
      <c r="F223" t="s">
        <v>19</v>
      </c>
      <c r="G223" t="s">
        <v>26</v>
      </c>
      <c r="H223" t="s">
        <v>21</v>
      </c>
      <c r="I223" t="s">
        <v>75</v>
      </c>
      <c r="J223" t="s">
        <v>148</v>
      </c>
      <c r="K223" t="s">
        <v>23</v>
      </c>
      <c r="L223">
        <v>482</v>
      </c>
      <c r="M223" s="10">
        <v>4.3598267000000002</v>
      </c>
      <c r="N223" s="10">
        <v>378.47333365579084</v>
      </c>
      <c r="O223" s="10">
        <v>0.32785245278121822</v>
      </c>
      <c r="P223" s="1" t="str">
        <f>HYPERLINK(".\sm_car_250915_0045\sm_car_250915_0045_222_Ca165TrN_MaCPL_DrSt_ode23t_1.png","figure")</f>
        <v>figure</v>
      </c>
      <c r="Q223" t="s">
        <v>15</v>
      </c>
    </row>
    <row r="224" spans="1:17" x14ac:dyDescent="0.25">
      <c r="A224">
        <v>223</v>
      </c>
      <c r="B224">
        <v>170</v>
      </c>
      <c r="C224" t="s">
        <v>45</v>
      </c>
      <c r="D224" t="s">
        <v>35</v>
      </c>
      <c r="E224" t="s">
        <v>49</v>
      </c>
      <c r="F224" t="s">
        <v>19</v>
      </c>
      <c r="G224" t="s">
        <v>20</v>
      </c>
      <c r="H224" t="s">
        <v>21</v>
      </c>
      <c r="I224" t="s">
        <v>75</v>
      </c>
      <c r="J224" t="s">
        <v>148</v>
      </c>
      <c r="K224" t="s">
        <v>23</v>
      </c>
      <c r="L224">
        <v>470</v>
      </c>
      <c r="M224" s="10">
        <v>3.3321234</v>
      </c>
      <c r="N224" s="10">
        <v>381.42969780778117</v>
      </c>
      <c r="O224" s="10">
        <v>0.33424114293474594</v>
      </c>
      <c r="P224" s="1" t="str">
        <f>HYPERLINK(".\sm_car_250915_0045\sm_car_250915_0045_223_Ca170TrN_MaCPL_DrSt_ode23t_1.png","figure")</f>
        <v>figure</v>
      </c>
      <c r="Q224" t="s">
        <v>15</v>
      </c>
    </row>
    <row r="225" spans="1:17" x14ac:dyDescent="0.25">
      <c r="A225">
        <v>224</v>
      </c>
      <c r="B225">
        <v>171</v>
      </c>
      <c r="C225" t="s">
        <v>45</v>
      </c>
      <c r="D225" t="s">
        <v>17</v>
      </c>
      <c r="E225" t="s">
        <v>72</v>
      </c>
      <c r="F225" t="s">
        <v>19</v>
      </c>
      <c r="G225" t="s">
        <v>26</v>
      </c>
      <c r="H225" t="s">
        <v>21</v>
      </c>
      <c r="I225" t="s">
        <v>76</v>
      </c>
      <c r="J225" t="s">
        <v>148</v>
      </c>
      <c r="K225" t="s">
        <v>23</v>
      </c>
      <c r="L225">
        <v>2818</v>
      </c>
      <c r="M225" s="10">
        <v>45.1285478</v>
      </c>
      <c r="N225" s="10">
        <v>165.07767719861494</v>
      </c>
      <c r="O225" s="10">
        <v>1.1256986965401854E-3</v>
      </c>
      <c r="P225" s="1" t="str">
        <f>HYPERLINK(".\sm_car_250915_0045\sm_car_250915_0045_224_Ca171TrN_MaRDR_DrSt_ode23t_1.png","figure")</f>
        <v>figure</v>
      </c>
      <c r="Q225" t="s">
        <v>15</v>
      </c>
    </row>
    <row r="226" spans="1:17" x14ac:dyDescent="0.25">
      <c r="A226">
        <v>225</v>
      </c>
      <c r="B226">
        <v>172</v>
      </c>
      <c r="C226" t="s">
        <v>46</v>
      </c>
      <c r="D226" t="s">
        <v>17</v>
      </c>
      <c r="E226" t="s">
        <v>72</v>
      </c>
      <c r="F226" t="s">
        <v>19</v>
      </c>
      <c r="G226" t="s">
        <v>26</v>
      </c>
      <c r="H226" t="s">
        <v>21</v>
      </c>
      <c r="I226" t="s">
        <v>76</v>
      </c>
      <c r="J226" t="s">
        <v>148</v>
      </c>
      <c r="K226" t="s">
        <v>23</v>
      </c>
      <c r="L226">
        <v>3261</v>
      </c>
      <c r="M226" s="10">
        <v>26.511858700000001</v>
      </c>
      <c r="N226" s="10">
        <v>162.25426665635621</v>
      </c>
      <c r="O226" s="10">
        <v>3.6925208301435633E-4</v>
      </c>
      <c r="P226" s="1" t="str">
        <f>HYPERLINK(".\sm_car_250915_0045\sm_car_250915_0045_225_Ca172TrN_MaRDR_DrSt_ode23t_1.png","figure")</f>
        <v>figure</v>
      </c>
      <c r="Q226" t="s">
        <v>15</v>
      </c>
    </row>
    <row r="227" spans="1:17" x14ac:dyDescent="0.25">
      <c r="A227">
        <v>226</v>
      </c>
      <c r="B227">
        <v>139</v>
      </c>
      <c r="C227" t="s">
        <v>45</v>
      </c>
      <c r="D227" t="s">
        <v>17</v>
      </c>
      <c r="E227" t="s">
        <v>18</v>
      </c>
      <c r="F227" t="s">
        <v>19</v>
      </c>
      <c r="G227" t="s">
        <v>26</v>
      </c>
      <c r="H227" t="s">
        <v>21</v>
      </c>
      <c r="I227" t="s">
        <v>77</v>
      </c>
      <c r="J227" t="s">
        <v>148</v>
      </c>
      <c r="K227" t="s">
        <v>23</v>
      </c>
      <c r="L227">
        <v>2991</v>
      </c>
      <c r="M227" s="10">
        <v>31.683998200000001</v>
      </c>
      <c r="N227" s="10">
        <v>189.26801794729977</v>
      </c>
      <c r="O227" s="10">
        <v>7.2907290292372254E-4</v>
      </c>
      <c r="P227" s="1" t="str">
        <f>HYPERLINK(".\sm_car_250915_0045\sm_car_250915_0045_226_Ca139TrN_MaZRR_DrSt_ode23t_1.png","figure")</f>
        <v>figure</v>
      </c>
      <c r="Q227" t="s">
        <v>15</v>
      </c>
    </row>
    <row r="228" spans="1:17" x14ac:dyDescent="0.25">
      <c r="A228">
        <v>227</v>
      </c>
      <c r="B228">
        <v>165</v>
      </c>
      <c r="C228" t="s">
        <v>45</v>
      </c>
      <c r="D228" t="s">
        <v>35</v>
      </c>
      <c r="E228" t="s">
        <v>49</v>
      </c>
      <c r="F228" t="s">
        <v>19</v>
      </c>
      <c r="G228" t="s">
        <v>26</v>
      </c>
      <c r="H228" t="s">
        <v>21</v>
      </c>
      <c r="I228" t="s">
        <v>77</v>
      </c>
      <c r="J228" t="s">
        <v>148</v>
      </c>
      <c r="K228" t="s">
        <v>23</v>
      </c>
      <c r="L228">
        <v>3291</v>
      </c>
      <c r="M228" s="10">
        <v>19.1524204</v>
      </c>
      <c r="N228" s="10">
        <v>189.40929842974225</v>
      </c>
      <c r="O228" s="10">
        <v>5.3807206510679551E-5</v>
      </c>
      <c r="P228" s="1" t="str">
        <f>HYPERLINK(".\sm_car_250915_0045\sm_car_250915_0045_227_Ca165TrN_MaZRR_DrSt_ode23t_1.png","figure")</f>
        <v>figure</v>
      </c>
      <c r="Q228" t="s">
        <v>15</v>
      </c>
    </row>
    <row r="229" spans="1:17" x14ac:dyDescent="0.25">
      <c r="A229">
        <v>228</v>
      </c>
      <c r="B229">
        <v>171</v>
      </c>
      <c r="C229" t="s">
        <v>45</v>
      </c>
      <c r="D229" t="s">
        <v>17</v>
      </c>
      <c r="E229" t="s">
        <v>72</v>
      </c>
      <c r="F229" t="s">
        <v>19</v>
      </c>
      <c r="G229" t="s">
        <v>26</v>
      </c>
      <c r="H229" t="s">
        <v>21</v>
      </c>
      <c r="I229" t="s">
        <v>77</v>
      </c>
      <c r="J229" t="s">
        <v>148</v>
      </c>
      <c r="K229" t="s">
        <v>23</v>
      </c>
      <c r="L229">
        <v>3051</v>
      </c>
      <c r="M229" s="10">
        <v>46.9602261</v>
      </c>
      <c r="N229" s="10">
        <v>189.26858234874143</v>
      </c>
      <c r="O229" s="10">
        <v>7.275286830308751E-4</v>
      </c>
      <c r="P229" s="1" t="str">
        <f>HYPERLINK(".\sm_car_250915_0045\sm_car_250915_0045_228_Ca171TrN_MaZRR_DrSt_ode23t_1.png","figure")</f>
        <v>figure</v>
      </c>
      <c r="Q229" t="s">
        <v>15</v>
      </c>
    </row>
    <row r="230" spans="1:17" x14ac:dyDescent="0.25">
      <c r="A230">
        <v>229</v>
      </c>
      <c r="B230">
        <v>170</v>
      </c>
      <c r="C230" t="s">
        <v>45</v>
      </c>
      <c r="D230" t="s">
        <v>35</v>
      </c>
      <c r="E230" t="s">
        <v>49</v>
      </c>
      <c r="F230" t="s">
        <v>19</v>
      </c>
      <c r="G230" t="s">
        <v>20</v>
      </c>
      <c r="H230" t="s">
        <v>21</v>
      </c>
      <c r="I230" t="s">
        <v>78</v>
      </c>
      <c r="J230" t="s">
        <v>148</v>
      </c>
      <c r="K230" t="s">
        <v>23</v>
      </c>
      <c r="L230">
        <v>6162</v>
      </c>
      <c r="M230" s="10">
        <v>20.176486799999999</v>
      </c>
      <c r="N230" s="10">
        <v>-5.9995834759941893</v>
      </c>
      <c r="O230" s="10">
        <v>-6.2044531697699407E-3</v>
      </c>
      <c r="P230" s="1" t="str">
        <f>HYPERLINK(".\sm_car_250915_0045\sm_car_250915_0045_229_Ca170TrN_MaCMP_DrSt_ode23t_1.png","figure")</f>
        <v>figure</v>
      </c>
      <c r="Q230" t="s">
        <v>15</v>
      </c>
    </row>
    <row r="231" spans="1:17" x14ac:dyDescent="0.25">
      <c r="A231">
        <v>230</v>
      </c>
      <c r="B231">
        <v>170</v>
      </c>
      <c r="C231" t="s">
        <v>45</v>
      </c>
      <c r="D231" t="s">
        <v>35</v>
      </c>
      <c r="E231" t="s">
        <v>49</v>
      </c>
      <c r="F231" t="s">
        <v>19</v>
      </c>
      <c r="G231" t="s">
        <v>20</v>
      </c>
      <c r="H231" t="s">
        <v>21</v>
      </c>
      <c r="I231" t="s">
        <v>79</v>
      </c>
      <c r="J231" t="s">
        <v>148</v>
      </c>
      <c r="K231" t="s">
        <v>23</v>
      </c>
      <c r="L231">
        <v>1628</v>
      </c>
      <c r="M231" s="10">
        <v>11.1460434</v>
      </c>
      <c r="N231" s="10">
        <v>-5.9999343011142194</v>
      </c>
      <c r="O231" s="10">
        <v>-6.2469348274803395E-3</v>
      </c>
      <c r="P231" s="1" t="str">
        <f>HYPERLINK(".\sm_car_250915_0045\sm_car_250915_0045_230_Ca170TrN_MaCMF_DrSt_ode23t_1.png","figure")</f>
        <v>figure</v>
      </c>
      <c r="Q231" t="s">
        <v>15</v>
      </c>
    </row>
    <row r="232" spans="1:17" x14ac:dyDescent="0.25">
      <c r="A232">
        <v>231</v>
      </c>
      <c r="B232">
        <v>170</v>
      </c>
      <c r="C232" t="s">
        <v>45</v>
      </c>
      <c r="D232" t="s">
        <v>35</v>
      </c>
      <c r="E232" t="s">
        <v>49</v>
      </c>
      <c r="F232" t="s">
        <v>19</v>
      </c>
      <c r="G232" t="s">
        <v>20</v>
      </c>
      <c r="H232" t="s">
        <v>21</v>
      </c>
      <c r="I232" t="s">
        <v>80</v>
      </c>
      <c r="J232" t="s">
        <v>148</v>
      </c>
      <c r="K232" t="s">
        <v>23</v>
      </c>
      <c r="L232">
        <v>5404</v>
      </c>
      <c r="M232" s="10">
        <v>41.734178399999998</v>
      </c>
      <c r="N232" s="10">
        <v>-216.62050577852108</v>
      </c>
      <c r="O232" s="10">
        <v>5.7217346917508172</v>
      </c>
      <c r="P232" s="1" t="str">
        <f>HYPERLINK(".\sm_car_250915_0045\sm_car_250915_0045_231_Ca170TrN_MaMPO_DrSt_ode23t_1.png","figure")</f>
        <v>figure</v>
      </c>
      <c r="Q232" t="s">
        <v>15</v>
      </c>
    </row>
    <row r="233" spans="1:17" x14ac:dyDescent="0.25">
      <c r="A233">
        <v>232</v>
      </c>
      <c r="B233">
        <v>170</v>
      </c>
      <c r="C233" t="s">
        <v>45</v>
      </c>
      <c r="D233" t="s">
        <v>35</v>
      </c>
      <c r="E233" t="s">
        <v>49</v>
      </c>
      <c r="F233" t="s">
        <v>19</v>
      </c>
      <c r="G233" t="s">
        <v>20</v>
      </c>
      <c r="H233" t="s">
        <v>21</v>
      </c>
      <c r="I233" t="s">
        <v>81</v>
      </c>
      <c r="J233" t="s">
        <v>148</v>
      </c>
      <c r="K233" t="s">
        <v>23</v>
      </c>
      <c r="L233">
        <v>1206</v>
      </c>
      <c r="M233" s="10">
        <v>19.506542799999998</v>
      </c>
      <c r="N233" s="10">
        <v>-14.234633990631558</v>
      </c>
      <c r="O233" s="10">
        <v>-9.6216919627067909E-3</v>
      </c>
      <c r="P233" s="1" t="str">
        <f>HYPERLINK(".\sm_car_250915_0045\sm_car_250915_0045_232_Ca170TrN_MaMCI_DrSt_ode23t_1.png","figure")</f>
        <v>figure</v>
      </c>
      <c r="Q233" t="s">
        <v>15</v>
      </c>
    </row>
    <row r="234" spans="1:17" x14ac:dyDescent="0.25">
      <c r="A234">
        <v>233</v>
      </c>
      <c r="B234">
        <v>170</v>
      </c>
      <c r="C234" t="s">
        <v>45</v>
      </c>
      <c r="D234" t="s">
        <v>35</v>
      </c>
      <c r="E234" t="s">
        <v>49</v>
      </c>
      <c r="F234" t="s">
        <v>19</v>
      </c>
      <c r="G234" t="s">
        <v>20</v>
      </c>
      <c r="H234" t="s">
        <v>21</v>
      </c>
      <c r="I234" t="s">
        <v>110</v>
      </c>
      <c r="J234" t="s">
        <v>148</v>
      </c>
      <c r="K234" t="s">
        <v>23</v>
      </c>
      <c r="L234">
        <v>4059</v>
      </c>
      <c r="M234" s="10">
        <v>23.517495400000001</v>
      </c>
      <c r="N234" s="10">
        <v>-5.9996355269792403</v>
      </c>
      <c r="O234" s="10">
        <v>-4.6966958661946974E-3</v>
      </c>
      <c r="P234" s="1" t="str">
        <f>HYPERLINK(".\sm_car_250915_0045\sm_car_250915_0045_233_Ca170TrN_MaCHO_DrSt_ode23t_1.png","figure")</f>
        <v>figure</v>
      </c>
      <c r="Q234" t="s">
        <v>15</v>
      </c>
    </row>
    <row r="235" spans="1:17" x14ac:dyDescent="0.25">
      <c r="A235">
        <v>234</v>
      </c>
      <c r="B235">
        <v>170</v>
      </c>
      <c r="C235" t="s">
        <v>45</v>
      </c>
      <c r="D235" t="s">
        <v>35</v>
      </c>
      <c r="E235" t="s">
        <v>49</v>
      </c>
      <c r="F235" t="s">
        <v>19</v>
      </c>
      <c r="G235" t="s">
        <v>20</v>
      </c>
      <c r="H235" t="s">
        <v>21</v>
      </c>
      <c r="I235" t="s">
        <v>111</v>
      </c>
      <c r="J235" t="s">
        <v>148</v>
      </c>
      <c r="K235" t="s">
        <v>23</v>
      </c>
      <c r="L235">
        <v>2605</v>
      </c>
      <c r="M235" s="10">
        <v>22.554290999999999</v>
      </c>
      <c r="N235" s="10">
        <v>-5.9691487538113366</v>
      </c>
      <c r="O235" s="10">
        <v>-4.72090503139805E-3</v>
      </c>
      <c r="P235" s="1" t="str">
        <f>HYPERLINK(".\sm_car_250915_0045\sm_car_250915_0045_234_Ca170TrN_MaCHF_DrSt_ode23t_1.png","figure")</f>
        <v>figure</v>
      </c>
      <c r="Q235" t="s">
        <v>15</v>
      </c>
    </row>
    <row r="236" spans="1:17" x14ac:dyDescent="0.25">
      <c r="A236">
        <v>235</v>
      </c>
      <c r="B236">
        <v>170</v>
      </c>
      <c r="C236" t="s">
        <v>45</v>
      </c>
      <c r="D236" t="s">
        <v>35</v>
      </c>
      <c r="E236" t="s">
        <v>49</v>
      </c>
      <c r="F236" t="s">
        <v>19</v>
      </c>
      <c r="G236" t="s">
        <v>20</v>
      </c>
      <c r="H236" t="s">
        <v>21</v>
      </c>
      <c r="I236" t="s">
        <v>82</v>
      </c>
      <c r="J236" t="s">
        <v>148</v>
      </c>
      <c r="K236" t="s">
        <v>23</v>
      </c>
      <c r="L236">
        <v>9371</v>
      </c>
      <c r="M236" s="10">
        <v>38.6264009</v>
      </c>
      <c r="N236" s="10">
        <v>-768.71581369894466</v>
      </c>
      <c r="O236" s="10">
        <v>638.6430370985579</v>
      </c>
      <c r="P236" s="1" t="str">
        <f>HYPERLINK(".\sm_car_250915_0045\sm_car_250915_0045_235_Ca170TrN_MaCKY_DrSt_ode23t_1.png","figure")</f>
        <v>figure</v>
      </c>
      <c r="Q236" t="s">
        <v>15</v>
      </c>
    </row>
    <row r="237" spans="1:17" x14ac:dyDescent="0.25">
      <c r="A237">
        <v>236</v>
      </c>
      <c r="B237">
        <v>170</v>
      </c>
      <c r="C237" t="s">
        <v>45</v>
      </c>
      <c r="D237" t="s">
        <v>35</v>
      </c>
      <c r="E237" t="s">
        <v>49</v>
      </c>
      <c r="F237" t="s">
        <v>19</v>
      </c>
      <c r="G237" t="s">
        <v>20</v>
      </c>
      <c r="H237" t="s">
        <v>21</v>
      </c>
      <c r="I237" t="s">
        <v>83</v>
      </c>
      <c r="J237" t="s">
        <v>148</v>
      </c>
      <c r="K237" t="s">
        <v>23</v>
      </c>
      <c r="L237">
        <v>1695</v>
      </c>
      <c r="M237" s="10">
        <v>13.4262678</v>
      </c>
      <c r="N237" s="10">
        <v>-772.67744938981775</v>
      </c>
      <c r="O237" s="10">
        <v>640.74591920904072</v>
      </c>
      <c r="P237" s="1" t="str">
        <f>HYPERLINK(".\sm_car_250915_0045\sm_car_250915_0045_236_Ca170TrN_MaCKF_DrSt_ode23t_1.png","figure")</f>
        <v>figure</v>
      </c>
      <c r="Q237" t="s">
        <v>15</v>
      </c>
    </row>
    <row r="238" spans="1:17" x14ac:dyDescent="0.25">
      <c r="A238">
        <v>237</v>
      </c>
      <c r="B238">
        <v>170</v>
      </c>
      <c r="C238" t="s">
        <v>45</v>
      </c>
      <c r="D238" t="s">
        <v>35</v>
      </c>
      <c r="E238" t="s">
        <v>49</v>
      </c>
      <c r="F238" t="s">
        <v>19</v>
      </c>
      <c r="G238" t="s">
        <v>20</v>
      </c>
      <c r="H238" t="s">
        <v>21</v>
      </c>
      <c r="I238" t="s">
        <v>84</v>
      </c>
      <c r="J238" t="s">
        <v>148</v>
      </c>
      <c r="K238" t="s">
        <v>23</v>
      </c>
      <c r="L238">
        <v>2351</v>
      </c>
      <c r="M238" s="10">
        <v>29.275860900000001</v>
      </c>
      <c r="N238" s="10">
        <v>189.3135582238524</v>
      </c>
      <c r="O238" s="10">
        <v>308.88777911451064</v>
      </c>
      <c r="P238" s="1" t="str">
        <f>HYPERLINK(".\sm_car_250915_0045\sm_car_250915_0045_237_Ca170TrN_MaCNN_DrSt_ode23t_1.png","figure")</f>
        <v>figure</v>
      </c>
      <c r="Q238" t="s">
        <v>15</v>
      </c>
    </row>
    <row r="239" spans="1:17" x14ac:dyDescent="0.25">
      <c r="A239">
        <v>238</v>
      </c>
      <c r="B239">
        <v>170</v>
      </c>
      <c r="C239" t="s">
        <v>45</v>
      </c>
      <c r="D239" t="s">
        <v>35</v>
      </c>
      <c r="E239" t="s">
        <v>49</v>
      </c>
      <c r="F239" t="s">
        <v>19</v>
      </c>
      <c r="G239" t="s">
        <v>20</v>
      </c>
      <c r="H239" t="s">
        <v>21</v>
      </c>
      <c r="I239" t="s">
        <v>85</v>
      </c>
      <c r="J239" t="s">
        <v>148</v>
      </c>
      <c r="K239" t="s">
        <v>23</v>
      </c>
      <c r="L239">
        <v>3557</v>
      </c>
      <c r="M239" s="10">
        <v>142.93974739999999</v>
      </c>
      <c r="N239" s="10">
        <v>2981.6935817572562</v>
      </c>
      <c r="O239" s="10">
        <v>-3077.7754355581251</v>
      </c>
      <c r="P239" s="1" t="str">
        <f>HYPERLINK(".\sm_car_250915_0045\sm_car_250915_0045_238_Ca170TrN_MaCNF_DrSt_ode23t_1.png","figure")</f>
        <v>figure</v>
      </c>
      <c r="Q239" t="s">
        <v>15</v>
      </c>
    </row>
    <row r="240" spans="1:17" x14ac:dyDescent="0.25">
      <c r="A240">
        <v>239</v>
      </c>
      <c r="B240">
        <v>170</v>
      </c>
      <c r="C240" t="s">
        <v>45</v>
      </c>
      <c r="D240" t="s">
        <v>35</v>
      </c>
      <c r="E240" t="s">
        <v>49</v>
      </c>
      <c r="F240" t="s">
        <v>19</v>
      </c>
      <c r="G240" t="s">
        <v>20</v>
      </c>
      <c r="H240" t="s">
        <v>21</v>
      </c>
      <c r="I240" t="s">
        <v>86</v>
      </c>
      <c r="J240" t="s">
        <v>148</v>
      </c>
      <c r="K240" t="s">
        <v>23</v>
      </c>
      <c r="L240">
        <v>3008</v>
      </c>
      <c r="M240" s="10">
        <v>19.427906400000001</v>
      </c>
      <c r="N240" s="10">
        <v>497.8632436019351</v>
      </c>
      <c r="O240" s="10">
        <v>-175.70296327317655</v>
      </c>
      <c r="P240" s="1" t="str">
        <f>HYPERLINK(".\sm_car_250915_0045\sm_car_250915_0045_239_Ca170TrN_MaCSZ_DrSt_ode23t_1.png","figure")</f>
        <v>figure</v>
      </c>
      <c r="Q240" t="s">
        <v>15</v>
      </c>
    </row>
    <row r="241" spans="1:17" x14ac:dyDescent="0.25">
      <c r="A241">
        <v>240</v>
      </c>
      <c r="B241">
        <v>170</v>
      </c>
      <c r="C241" t="s">
        <v>45</v>
      </c>
      <c r="D241" t="s">
        <v>35</v>
      </c>
      <c r="E241" t="s">
        <v>49</v>
      </c>
      <c r="F241" t="s">
        <v>19</v>
      </c>
      <c r="G241" t="s">
        <v>20</v>
      </c>
      <c r="H241" t="s">
        <v>21</v>
      </c>
      <c r="I241" t="s">
        <v>87</v>
      </c>
      <c r="J241" t="s">
        <v>148</v>
      </c>
      <c r="K241" t="s">
        <v>23</v>
      </c>
      <c r="L241">
        <v>5143</v>
      </c>
      <c r="M241" s="10">
        <v>114.3232647</v>
      </c>
      <c r="N241" s="10">
        <v>-8.9877318715008538</v>
      </c>
      <c r="O241" s="10">
        <v>8.1692161049674947E-3</v>
      </c>
      <c r="P241" s="1" t="str">
        <f>HYPERLINK(".\sm_car_250915_0045\sm_car_250915_0045_240_Ca170TrN_MaCSF_DrSt_ode23t_1.png","figure")</f>
        <v>figure</v>
      </c>
      <c r="Q241" t="s">
        <v>15</v>
      </c>
    </row>
    <row r="242" spans="1:17" x14ac:dyDescent="0.25">
      <c r="A242">
        <v>241</v>
      </c>
      <c r="B242">
        <v>170</v>
      </c>
      <c r="C242" t="s">
        <v>45</v>
      </c>
      <c r="D242" t="s">
        <v>35</v>
      </c>
      <c r="E242" t="s">
        <v>49</v>
      </c>
      <c r="F242" t="s">
        <v>19</v>
      </c>
      <c r="G242" t="s">
        <v>20</v>
      </c>
      <c r="H242" t="s">
        <v>21</v>
      </c>
      <c r="I242" t="s">
        <v>88</v>
      </c>
      <c r="J242" t="s">
        <v>148</v>
      </c>
      <c r="K242" t="s">
        <v>23</v>
      </c>
      <c r="L242">
        <v>1869</v>
      </c>
      <c r="M242" s="10">
        <v>37.756260900000001</v>
      </c>
      <c r="N242" s="10">
        <v>247.79612926682978</v>
      </c>
      <c r="O242" s="10">
        <v>391.3784998910682</v>
      </c>
      <c r="P242" s="1" t="str">
        <f>HYPERLINK(".\sm_car_250915_0045\sm_car_250915_0045_241_Ca170TrN_MaCPU_DrSt_ode23t_1.png","figure")</f>
        <v>figure</v>
      </c>
      <c r="Q242" t="s">
        <v>15</v>
      </c>
    </row>
    <row r="243" spans="1:17" x14ac:dyDescent="0.25">
      <c r="A243">
        <v>242</v>
      </c>
      <c r="B243">
        <v>170</v>
      </c>
      <c r="C243" t="s">
        <v>45</v>
      </c>
      <c r="D243" t="s">
        <v>35</v>
      </c>
      <c r="E243" t="s">
        <v>49</v>
      </c>
      <c r="F243" t="s">
        <v>19</v>
      </c>
      <c r="G243" t="s">
        <v>20</v>
      </c>
      <c r="H243" t="s">
        <v>21</v>
      </c>
      <c r="I243" t="s">
        <v>89</v>
      </c>
      <c r="J243" t="s">
        <v>148</v>
      </c>
      <c r="K243" t="s">
        <v>23</v>
      </c>
      <c r="L243">
        <v>2467</v>
      </c>
      <c r="M243" s="10">
        <v>27.219116</v>
      </c>
      <c r="N243" s="10">
        <v>179.59002608893684</v>
      </c>
      <c r="O243" s="10">
        <v>-180.28297009584094</v>
      </c>
      <c r="P243" s="1" t="str">
        <f>HYPERLINK(".\sm_car_250915_0045\sm_car_250915_0045_242_Ca170TrN_MaCPD_DrSt_ode23t_1.png","figure")</f>
        <v>figure</v>
      </c>
      <c r="Q243" t="s">
        <v>15</v>
      </c>
    </row>
    <row r="244" spans="1:17" x14ac:dyDescent="0.25">
      <c r="A244">
        <v>243</v>
      </c>
      <c r="B244">
        <v>202</v>
      </c>
      <c r="C244" t="s">
        <v>45</v>
      </c>
      <c r="D244" t="s">
        <v>35</v>
      </c>
      <c r="E244" t="s">
        <v>107</v>
      </c>
      <c r="F244" t="s">
        <v>19</v>
      </c>
      <c r="G244" t="s">
        <v>20</v>
      </c>
      <c r="H244" t="s">
        <v>21</v>
      </c>
      <c r="I244" t="s">
        <v>79</v>
      </c>
      <c r="J244" t="s">
        <v>148</v>
      </c>
      <c r="K244" t="s">
        <v>23</v>
      </c>
      <c r="L244">
        <v>1622</v>
      </c>
      <c r="M244" s="10">
        <v>4.4327547999999997</v>
      </c>
      <c r="N244" s="10">
        <v>-5.9995531678314897</v>
      </c>
      <c r="O244" s="10">
        <v>-6.1920676439215254E-3</v>
      </c>
      <c r="P244" s="1" t="str">
        <f>HYPERLINK(".\sm_car_250915_0045\sm_car_250915_0045_243_Ca202TrN_MaCMF_DrSt_ode23t_1.png","figure")</f>
        <v>figure</v>
      </c>
      <c r="Q244" t="s">
        <v>15</v>
      </c>
    </row>
    <row r="245" spans="1:17" x14ac:dyDescent="0.25">
      <c r="A245">
        <v>244</v>
      </c>
      <c r="B245">
        <v>202</v>
      </c>
      <c r="C245" t="s">
        <v>45</v>
      </c>
      <c r="D245" t="s">
        <v>35</v>
      </c>
      <c r="E245" t="s">
        <v>107</v>
      </c>
      <c r="F245" t="s">
        <v>19</v>
      </c>
      <c r="G245" t="s">
        <v>20</v>
      </c>
      <c r="H245" t="s">
        <v>21</v>
      </c>
      <c r="I245" t="s">
        <v>80</v>
      </c>
      <c r="J245" t="s">
        <v>148</v>
      </c>
      <c r="K245" t="s">
        <v>23</v>
      </c>
      <c r="L245">
        <v>5364</v>
      </c>
      <c r="M245" s="10">
        <v>27.5951223</v>
      </c>
      <c r="N245" s="10">
        <v>-217.50123772121921</v>
      </c>
      <c r="O245" s="10">
        <v>5.860463348930586</v>
      </c>
      <c r="P245" s="1" t="str">
        <f>HYPERLINK(".\sm_car_250915_0045\sm_car_250915_0045_244_Ca202TrN_MaMPO_DrSt_ode23t_1.png","figure")</f>
        <v>figure</v>
      </c>
      <c r="Q245" t="s">
        <v>15</v>
      </c>
    </row>
    <row r="246" spans="1:17" x14ac:dyDescent="0.25">
      <c r="A246">
        <v>245</v>
      </c>
      <c r="B246">
        <v>202</v>
      </c>
      <c r="C246" t="s">
        <v>45</v>
      </c>
      <c r="D246" t="s">
        <v>35</v>
      </c>
      <c r="E246" t="s">
        <v>107</v>
      </c>
      <c r="F246" t="s">
        <v>19</v>
      </c>
      <c r="G246" t="s">
        <v>20</v>
      </c>
      <c r="H246" t="s">
        <v>21</v>
      </c>
      <c r="I246" t="s">
        <v>81</v>
      </c>
      <c r="J246" t="s">
        <v>148</v>
      </c>
      <c r="K246" t="s">
        <v>23</v>
      </c>
      <c r="L246">
        <v>1203</v>
      </c>
      <c r="M246" s="10">
        <v>10.5142642</v>
      </c>
      <c r="N246" s="10">
        <v>-14.231935716789089</v>
      </c>
      <c r="O246" s="10">
        <v>-7.6748040483209934E-3</v>
      </c>
      <c r="P246" s="1" t="str">
        <f>HYPERLINK(".\sm_car_250915_0045\sm_car_250915_0045_245_Ca202TrN_MaMCI_DrSt_ode23t_1.png","figure")</f>
        <v>figure</v>
      </c>
      <c r="Q246" t="s">
        <v>15</v>
      </c>
    </row>
    <row r="247" spans="1:17" x14ac:dyDescent="0.25">
      <c r="A247">
        <v>246</v>
      </c>
      <c r="B247">
        <v>202</v>
      </c>
      <c r="C247" t="s">
        <v>45</v>
      </c>
      <c r="D247" t="s">
        <v>35</v>
      </c>
      <c r="E247" t="s">
        <v>107</v>
      </c>
      <c r="F247" t="s">
        <v>19</v>
      </c>
      <c r="G247" t="s">
        <v>20</v>
      </c>
      <c r="H247" t="s">
        <v>21</v>
      </c>
      <c r="I247" t="s">
        <v>83</v>
      </c>
      <c r="J247" t="s">
        <v>148</v>
      </c>
      <c r="K247" t="s">
        <v>23</v>
      </c>
      <c r="L247">
        <v>2929</v>
      </c>
      <c r="M247" s="10">
        <v>11.1226897</v>
      </c>
      <c r="N247" s="10">
        <v>-5.994979412497635</v>
      </c>
      <c r="O247" s="10">
        <v>-2.6165206762155425E-2</v>
      </c>
      <c r="P247" s="1" t="str">
        <f>HYPERLINK(".\sm_car_250915_0045\sm_car_250915_0045_246_Ca202TrN_MaCKF_DrSt_ode23t_1.png","figure")</f>
        <v>figure</v>
      </c>
      <c r="Q247" t="s">
        <v>15</v>
      </c>
    </row>
    <row r="248" spans="1:17" x14ac:dyDescent="0.25">
      <c r="A248">
        <v>247</v>
      </c>
      <c r="B248">
        <v>202</v>
      </c>
      <c r="C248" t="s">
        <v>45</v>
      </c>
      <c r="D248" t="s">
        <v>35</v>
      </c>
      <c r="E248" t="s">
        <v>107</v>
      </c>
      <c r="F248" t="s">
        <v>19</v>
      </c>
      <c r="G248" t="s">
        <v>20</v>
      </c>
      <c r="H248" t="s">
        <v>21</v>
      </c>
      <c r="I248" t="s">
        <v>85</v>
      </c>
      <c r="J248" t="s">
        <v>148</v>
      </c>
      <c r="K248" t="s">
        <v>23</v>
      </c>
      <c r="L248">
        <v>8438</v>
      </c>
      <c r="M248" s="10">
        <v>219.33284420000001</v>
      </c>
      <c r="N248" s="10">
        <v>-8.9994764815845496</v>
      </c>
      <c r="O248" s="10">
        <v>2.4152697261988702E-2</v>
      </c>
      <c r="P248" s="1" t="str">
        <f>HYPERLINK(".\sm_car_250915_0045\sm_car_250915_0045_247_Ca202TrN_MaCNF_DrSt_ode23t_1.png","figure")</f>
        <v>figure</v>
      </c>
      <c r="Q248" t="s">
        <v>15</v>
      </c>
    </row>
    <row r="249" spans="1:17" x14ac:dyDescent="0.25">
      <c r="A249">
        <v>248</v>
      </c>
      <c r="B249">
        <v>202</v>
      </c>
      <c r="C249" t="s">
        <v>45</v>
      </c>
      <c r="D249" t="s">
        <v>35</v>
      </c>
      <c r="E249" t="s">
        <v>107</v>
      </c>
      <c r="F249" t="s">
        <v>19</v>
      </c>
      <c r="G249" t="s">
        <v>20</v>
      </c>
      <c r="H249" t="s">
        <v>21</v>
      </c>
      <c r="I249" t="s">
        <v>87</v>
      </c>
      <c r="J249" t="s">
        <v>148</v>
      </c>
      <c r="K249" t="s">
        <v>23</v>
      </c>
      <c r="L249">
        <v>5162</v>
      </c>
      <c r="M249" s="10">
        <v>63.156980400000002</v>
      </c>
      <c r="N249" s="10">
        <v>-8.9739243290149719</v>
      </c>
      <c r="O249" s="10">
        <v>8.0798088592120808E-3</v>
      </c>
      <c r="P249" s="1" t="str">
        <f>HYPERLINK(".\sm_car_250915_0045\sm_car_250915_0045_248_Ca202TrN_MaCSF_DrSt_ode23t_1.png","figure")</f>
        <v>figure</v>
      </c>
      <c r="Q249" t="s">
        <v>15</v>
      </c>
    </row>
    <row r="250" spans="1:17" x14ac:dyDescent="0.25">
      <c r="A250">
        <v>249</v>
      </c>
      <c r="B250">
        <v>202</v>
      </c>
      <c r="C250" t="s">
        <v>45</v>
      </c>
      <c r="D250" t="s">
        <v>35</v>
      </c>
      <c r="E250" t="s">
        <v>107</v>
      </c>
      <c r="F250" t="s">
        <v>19</v>
      </c>
      <c r="G250" t="s">
        <v>20</v>
      </c>
      <c r="H250" t="s">
        <v>21</v>
      </c>
      <c r="I250" t="s">
        <v>78</v>
      </c>
      <c r="J250" t="s">
        <v>148</v>
      </c>
      <c r="K250" t="s">
        <v>23</v>
      </c>
      <c r="L250">
        <v>7143</v>
      </c>
      <c r="M250" s="10">
        <v>23.1549859</v>
      </c>
      <c r="N250" s="10">
        <v>-5.9990528107106096</v>
      </c>
      <c r="O250" s="10">
        <v>-6.1897275048073287E-3</v>
      </c>
      <c r="P250" s="1" t="str">
        <f>HYPERLINK(".\sm_car_250915_0045\sm_car_250915_0045_249_Ca202TrN_MaCMP_DrSt_ode23t_1.png","figure")</f>
        <v>figure</v>
      </c>
      <c r="Q250" t="s">
        <v>15</v>
      </c>
    </row>
    <row r="251" spans="1:17" x14ac:dyDescent="0.25">
      <c r="A251">
        <v>250</v>
      </c>
      <c r="B251">
        <v>202</v>
      </c>
      <c r="C251" t="s">
        <v>45</v>
      </c>
      <c r="D251" t="s">
        <v>35</v>
      </c>
      <c r="E251" t="s">
        <v>107</v>
      </c>
      <c r="F251" t="s">
        <v>19</v>
      </c>
      <c r="G251" t="s">
        <v>20</v>
      </c>
      <c r="H251" t="s">
        <v>21</v>
      </c>
      <c r="I251" t="s">
        <v>82</v>
      </c>
      <c r="J251" t="s">
        <v>148</v>
      </c>
      <c r="K251" t="s">
        <v>23</v>
      </c>
      <c r="L251">
        <v>20230</v>
      </c>
      <c r="M251" s="10">
        <v>73.789304999999999</v>
      </c>
      <c r="N251" s="10">
        <v>-5.9990781621937055</v>
      </c>
      <c r="O251" s="10">
        <v>-2.7916069565450865E-2</v>
      </c>
      <c r="P251" s="1" t="str">
        <f>HYPERLINK(".\sm_car_250915_0045\sm_car_250915_0045_250_Ca202TrN_MaCKY_DrSt_ode23t_1.png","figure")</f>
        <v>figure</v>
      </c>
      <c r="Q251" t="s">
        <v>15</v>
      </c>
    </row>
    <row r="252" spans="1:17" x14ac:dyDescent="0.25">
      <c r="A252">
        <v>251</v>
      </c>
      <c r="B252">
        <v>202</v>
      </c>
      <c r="C252" t="s">
        <v>45</v>
      </c>
      <c r="D252" t="s">
        <v>35</v>
      </c>
      <c r="E252" t="s">
        <v>107</v>
      </c>
      <c r="F252" t="s">
        <v>19</v>
      </c>
      <c r="G252" t="s">
        <v>20</v>
      </c>
      <c r="H252" t="s">
        <v>21</v>
      </c>
      <c r="I252" t="s">
        <v>75</v>
      </c>
      <c r="J252" t="s">
        <v>148</v>
      </c>
      <c r="K252" t="s">
        <v>23</v>
      </c>
      <c r="L252">
        <v>455</v>
      </c>
      <c r="M252" s="10">
        <v>2.5699993999999999</v>
      </c>
      <c r="N252" s="10">
        <v>381.04323470632642</v>
      </c>
      <c r="O252" s="10">
        <v>0.3335145224833066</v>
      </c>
      <c r="P252" s="1" t="str">
        <f>HYPERLINK(".\sm_car_250915_0045\sm_car_250915_0045_251_Ca202TrN_MaCPL_DrSt_ode23t_1.png","figure")</f>
        <v>figure</v>
      </c>
      <c r="Q252" t="s">
        <v>15</v>
      </c>
    </row>
    <row r="253" spans="1:17" x14ac:dyDescent="0.25">
      <c r="A253">
        <v>252</v>
      </c>
      <c r="B253">
        <v>140</v>
      </c>
      <c r="C253" t="s">
        <v>45</v>
      </c>
      <c r="D253" t="s">
        <v>17</v>
      </c>
      <c r="E253" t="s">
        <v>49</v>
      </c>
      <c r="F253" t="s">
        <v>19</v>
      </c>
      <c r="G253" t="s">
        <v>26</v>
      </c>
      <c r="H253" t="s">
        <v>21</v>
      </c>
      <c r="I253" t="s">
        <v>112</v>
      </c>
      <c r="J253" t="s">
        <v>148</v>
      </c>
      <c r="K253" t="s">
        <v>23</v>
      </c>
      <c r="L253">
        <v>2639</v>
      </c>
      <c r="M253" s="10">
        <v>36.521759899999999</v>
      </c>
      <c r="N253" s="10">
        <v>189.15504558136064</v>
      </c>
      <c r="O253" s="10">
        <v>7.338003439638001E-4</v>
      </c>
      <c r="P253" s="1" t="str">
        <f>HYPERLINK(".\sm_car_250915_0045\sm_car_250915_0045_252_Ca140TrN_MaCRR_DrSt_ode23t_1.png","figure")</f>
        <v>figure</v>
      </c>
      <c r="Q253" t="s">
        <v>15</v>
      </c>
    </row>
    <row r="254" spans="1:17" x14ac:dyDescent="0.25">
      <c r="A254">
        <v>253</v>
      </c>
      <c r="B254">
        <v>189</v>
      </c>
      <c r="C254" t="s">
        <v>45</v>
      </c>
      <c r="D254" t="s">
        <v>17</v>
      </c>
      <c r="E254" t="s">
        <v>107</v>
      </c>
      <c r="F254" t="s">
        <v>19</v>
      </c>
      <c r="G254" t="s">
        <v>26</v>
      </c>
      <c r="H254" t="s">
        <v>21</v>
      </c>
      <c r="I254" t="s">
        <v>112</v>
      </c>
      <c r="J254" t="s">
        <v>148</v>
      </c>
      <c r="K254" t="s">
        <v>23</v>
      </c>
      <c r="L254">
        <v>3230</v>
      </c>
      <c r="M254" s="10">
        <v>32.917689699999997</v>
      </c>
      <c r="N254" s="10">
        <v>189.17904960201534</v>
      </c>
      <c r="O254" s="10">
        <v>6.7162219668328346E-4</v>
      </c>
      <c r="P254" s="1" t="str">
        <f>HYPERLINK(".\sm_car_250915_0045\sm_car_250915_0045_253_Ca189TrN_MaCRR_DrSt_ode23t_1.png","figure")</f>
        <v>figure</v>
      </c>
      <c r="Q254" t="s">
        <v>15</v>
      </c>
    </row>
    <row r="255" spans="1:17" x14ac:dyDescent="0.25">
      <c r="A255">
        <v>254</v>
      </c>
      <c r="B255">
        <v>173</v>
      </c>
      <c r="C255" t="s">
        <v>45</v>
      </c>
      <c r="D255" t="s">
        <v>35</v>
      </c>
      <c r="E255" t="s">
        <v>49</v>
      </c>
      <c r="F255" t="s">
        <v>19</v>
      </c>
      <c r="G255" t="s">
        <v>90</v>
      </c>
      <c r="H255" t="s">
        <v>21</v>
      </c>
      <c r="I255" t="s">
        <v>91</v>
      </c>
      <c r="J255" t="s">
        <v>148</v>
      </c>
      <c r="K255" t="s">
        <v>92</v>
      </c>
      <c r="L255">
        <v>1649</v>
      </c>
      <c r="M255" s="10">
        <v>60.802843500000002</v>
      </c>
      <c r="N255" s="10">
        <v>51.298886566551644</v>
      </c>
      <c r="O255" s="10">
        <v>9.1600121331859453E-3</v>
      </c>
      <c r="P255" s="1" t="str">
        <f>HYPERLINK(".\sm_car_250915_0045\sm_car_250915_0045_254_Ca173TrN_MaDCA_DrSt_daessc_1.png","figure")</f>
        <v>figure</v>
      </c>
      <c r="Q255" t="s">
        <v>15</v>
      </c>
    </row>
    <row r="256" spans="1:17" x14ac:dyDescent="0.25">
      <c r="A256">
        <v>255</v>
      </c>
      <c r="B256">
        <v>173</v>
      </c>
      <c r="C256" t="s">
        <v>45</v>
      </c>
      <c r="D256" t="s">
        <v>35</v>
      </c>
      <c r="E256" t="s">
        <v>49</v>
      </c>
      <c r="F256" t="s">
        <v>19</v>
      </c>
      <c r="G256" t="s">
        <v>90</v>
      </c>
      <c r="H256" t="s">
        <v>21</v>
      </c>
      <c r="I256" t="s">
        <v>93</v>
      </c>
      <c r="J256" t="s">
        <v>148</v>
      </c>
      <c r="K256" t="s">
        <v>92</v>
      </c>
      <c r="L256">
        <v>4131</v>
      </c>
      <c r="M256" s="10">
        <v>98.3557804</v>
      </c>
      <c r="N256" s="10">
        <v>980.46585859828781</v>
      </c>
      <c r="O256" s="10">
        <v>0.73499947378481834</v>
      </c>
      <c r="P256" s="1" t="str">
        <f>HYPERLINK(".\sm_car_250915_0045\sm_car_250915_0045_255_Ca173TrN_MaDC1_DrSt_daessc_1.png","figure")</f>
        <v>figure</v>
      </c>
      <c r="Q256" t="s">
        <v>15</v>
      </c>
    </row>
    <row r="257" spans="1:17" x14ac:dyDescent="0.25">
      <c r="A257">
        <v>256</v>
      </c>
      <c r="B257">
        <v>165</v>
      </c>
      <c r="C257" t="s">
        <v>45</v>
      </c>
      <c r="D257" t="s">
        <v>35</v>
      </c>
      <c r="E257" t="s">
        <v>49</v>
      </c>
      <c r="F257" t="s">
        <v>19</v>
      </c>
      <c r="G257" t="s">
        <v>26</v>
      </c>
      <c r="H257" t="s">
        <v>21</v>
      </c>
      <c r="I257" t="s">
        <v>91</v>
      </c>
      <c r="J257" t="s">
        <v>148</v>
      </c>
      <c r="K257" t="s">
        <v>23</v>
      </c>
      <c r="L257">
        <v>321</v>
      </c>
      <c r="M257" s="10">
        <v>3.5767411</v>
      </c>
      <c r="N257" s="10">
        <v>53.507908822754743</v>
      </c>
      <c r="O257" s="10">
        <v>1.0022891926770838E-2</v>
      </c>
      <c r="P257" s="1" t="str">
        <f>HYPERLINK(".\sm_car_250915_0045\sm_car_250915_0045_256_Ca165TrN_MaDCA_DrSt_ode23t_1.png","figure")</f>
        <v>figure</v>
      </c>
      <c r="Q257" t="s">
        <v>15</v>
      </c>
    </row>
    <row r="258" spans="1:17" x14ac:dyDescent="0.25">
      <c r="A258">
        <v>257</v>
      </c>
      <c r="B258">
        <v>165</v>
      </c>
      <c r="C258" t="s">
        <v>45</v>
      </c>
      <c r="D258" t="s">
        <v>35</v>
      </c>
      <c r="E258" t="s">
        <v>49</v>
      </c>
      <c r="F258" t="s">
        <v>19</v>
      </c>
      <c r="G258" t="s">
        <v>26</v>
      </c>
      <c r="H258" t="s">
        <v>21</v>
      </c>
      <c r="I258" t="s">
        <v>93</v>
      </c>
      <c r="J258" t="s">
        <v>148</v>
      </c>
      <c r="K258" t="s">
        <v>23</v>
      </c>
      <c r="L258">
        <v>1188</v>
      </c>
      <c r="M258" s="10">
        <v>7.6417982999999996</v>
      </c>
      <c r="N258" s="10">
        <v>992.65355689971409</v>
      </c>
      <c r="O258" s="10">
        <v>0.7140356118128186</v>
      </c>
      <c r="P258" s="1" t="str">
        <f>HYPERLINK(".\sm_car_250915_0045\sm_car_250915_0045_257_Ca165TrN_MaDC1_DrSt_ode23t_1.png","figure")</f>
        <v>figure</v>
      </c>
      <c r="Q258" t="s">
        <v>15</v>
      </c>
    </row>
    <row r="259" spans="1:17" x14ac:dyDescent="0.25">
      <c r="A259">
        <v>258</v>
      </c>
      <c r="B259">
        <v>196</v>
      </c>
      <c r="C259" t="s">
        <v>45</v>
      </c>
      <c r="D259" t="s">
        <v>35</v>
      </c>
      <c r="E259" t="s">
        <v>107</v>
      </c>
      <c r="F259" t="s">
        <v>19</v>
      </c>
      <c r="G259" t="s">
        <v>90</v>
      </c>
      <c r="H259" t="s">
        <v>21</v>
      </c>
      <c r="I259" t="s">
        <v>93</v>
      </c>
      <c r="J259" t="s">
        <v>148</v>
      </c>
      <c r="K259" t="s">
        <v>92</v>
      </c>
      <c r="L259">
        <v>3933</v>
      </c>
      <c r="M259" s="10">
        <v>41.3645067</v>
      </c>
      <c r="N259" s="10">
        <v>980.46188644517508</v>
      </c>
      <c r="O259" s="10">
        <v>0.73499638419677382</v>
      </c>
      <c r="P259" s="1" t="str">
        <f>HYPERLINK(".\sm_car_250915_0045\sm_car_250915_0045_258_Ca196TrN_MaDC1_DrSt_daessc_1.png","figure")</f>
        <v>figure</v>
      </c>
      <c r="Q259" t="s">
        <v>15</v>
      </c>
    </row>
    <row r="260" spans="1:17" x14ac:dyDescent="0.25">
      <c r="A260">
        <v>259</v>
      </c>
      <c r="B260">
        <v>179</v>
      </c>
      <c r="C260" t="s">
        <v>45</v>
      </c>
      <c r="D260" t="s">
        <v>57</v>
      </c>
      <c r="E260" t="s">
        <v>18</v>
      </c>
      <c r="F260" t="s">
        <v>19</v>
      </c>
      <c r="G260" t="s">
        <v>26</v>
      </c>
      <c r="H260" t="s">
        <v>21</v>
      </c>
      <c r="I260" t="s">
        <v>22</v>
      </c>
      <c r="J260" t="s">
        <v>148</v>
      </c>
      <c r="K260" t="s">
        <v>23</v>
      </c>
      <c r="L260">
        <v>481</v>
      </c>
      <c r="M260" s="10">
        <v>4.8744068</v>
      </c>
      <c r="N260" s="10">
        <v>147.83021340375822</v>
      </c>
      <c r="O260" s="10">
        <v>9.6220049666225063E-2</v>
      </c>
      <c r="P260" s="1" t="str">
        <f>HYPERLINK(".\sm_car_250915_0045\sm_car_250915_0045_259_Ca179TrN_MaWOT_DrSt_ode23t_1.png","figure")</f>
        <v>figure</v>
      </c>
      <c r="Q260" t="s">
        <v>15</v>
      </c>
    </row>
    <row r="261" spans="1:17" x14ac:dyDescent="0.25">
      <c r="A261">
        <v>260</v>
      </c>
      <c r="B261">
        <v>180</v>
      </c>
      <c r="C261" t="s">
        <v>45</v>
      </c>
      <c r="D261" t="s">
        <v>57</v>
      </c>
      <c r="E261" t="s">
        <v>49</v>
      </c>
      <c r="F261" t="s">
        <v>19</v>
      </c>
      <c r="G261" t="s">
        <v>26</v>
      </c>
      <c r="H261" t="s">
        <v>21</v>
      </c>
      <c r="I261" t="s">
        <v>22</v>
      </c>
      <c r="J261" t="s">
        <v>148</v>
      </c>
      <c r="K261" t="s">
        <v>23</v>
      </c>
      <c r="L261">
        <v>518</v>
      </c>
      <c r="M261" s="10">
        <v>6.7427831999999999</v>
      </c>
      <c r="N261" s="10">
        <v>147.81517781252907</v>
      </c>
      <c r="O261" s="10">
        <v>9.5973630059460843E-2</v>
      </c>
      <c r="P261" s="1" t="str">
        <f>HYPERLINK(".\sm_car_250915_0045\sm_car_250915_0045_260_Ca180TrN_MaWOT_DrSt_ode23t_1.png","figure")</f>
        <v>figure</v>
      </c>
      <c r="Q261" t="s">
        <v>15</v>
      </c>
    </row>
    <row r="262" spans="1:17" x14ac:dyDescent="0.25">
      <c r="A262">
        <v>261</v>
      </c>
      <c r="B262">
        <v>197</v>
      </c>
      <c r="C262" t="s">
        <v>45</v>
      </c>
      <c r="D262" t="s">
        <v>57</v>
      </c>
      <c r="E262" t="s">
        <v>107</v>
      </c>
      <c r="F262" t="s">
        <v>19</v>
      </c>
      <c r="G262" t="s">
        <v>26</v>
      </c>
      <c r="H262" t="s">
        <v>21</v>
      </c>
      <c r="I262" t="s">
        <v>22</v>
      </c>
      <c r="J262" t="s">
        <v>148</v>
      </c>
      <c r="K262" t="s">
        <v>23</v>
      </c>
      <c r="L262">
        <v>441</v>
      </c>
      <c r="M262" s="10">
        <v>2.0559444999999998</v>
      </c>
      <c r="N262" s="10">
        <v>147.84414880287738</v>
      </c>
      <c r="O262" s="10">
        <v>9.6095640353265108E-2</v>
      </c>
      <c r="P262" s="1" t="str">
        <f>HYPERLINK(".\sm_car_250915_0045\sm_car_250915_0045_261_Ca197TrN_MaWOT_DrSt_ode23t_1.png","figure")</f>
        <v>figure</v>
      </c>
      <c r="Q262" t="s">
        <v>15</v>
      </c>
    </row>
    <row r="263" spans="1:17" x14ac:dyDescent="0.25">
      <c r="A263">
        <v>262</v>
      </c>
      <c r="B263">
        <v>182</v>
      </c>
      <c r="C263" t="s">
        <v>45</v>
      </c>
      <c r="D263" t="s">
        <v>17</v>
      </c>
      <c r="E263" t="s">
        <v>49</v>
      </c>
      <c r="F263" t="s">
        <v>19</v>
      </c>
      <c r="G263" t="s">
        <v>26</v>
      </c>
      <c r="H263" t="s">
        <v>21</v>
      </c>
      <c r="I263" t="s">
        <v>64</v>
      </c>
      <c r="J263" t="s">
        <v>148</v>
      </c>
      <c r="K263" t="s">
        <v>23</v>
      </c>
      <c r="L263">
        <v>439</v>
      </c>
      <c r="M263" s="10">
        <v>11.8444681</v>
      </c>
      <c r="N263" s="10">
        <v>61.845688134986645</v>
      </c>
      <c r="O263" s="10">
        <v>-24.159762421707356</v>
      </c>
      <c r="P263" s="1" t="str">
        <f>HYPERLINK(".\sm_car_250915_0045\sm_car_250915_0045_262_Ca182TrN_MaTUR_DrSt_ode23t_1.png","figure")</f>
        <v>figure</v>
      </c>
      <c r="Q263" t="s">
        <v>15</v>
      </c>
    </row>
    <row r="264" spans="1:17" x14ac:dyDescent="0.25">
      <c r="A264">
        <v>263</v>
      </c>
      <c r="B264">
        <v>203</v>
      </c>
      <c r="C264" t="s">
        <v>45</v>
      </c>
      <c r="D264" t="s">
        <v>17</v>
      </c>
      <c r="E264" t="s">
        <v>107</v>
      </c>
      <c r="F264" t="s">
        <v>19</v>
      </c>
      <c r="G264" t="s">
        <v>26</v>
      </c>
      <c r="H264" t="s">
        <v>21</v>
      </c>
      <c r="I264" t="s">
        <v>64</v>
      </c>
      <c r="J264" t="s">
        <v>148</v>
      </c>
      <c r="K264" t="s">
        <v>23</v>
      </c>
      <c r="L264">
        <v>385</v>
      </c>
      <c r="M264" s="10">
        <v>4.3047196999999997</v>
      </c>
      <c r="N264" s="10">
        <v>61.846446695755446</v>
      </c>
      <c r="O264" s="10">
        <v>-24.169003415389373</v>
      </c>
      <c r="P264" s="1" t="str">
        <f>HYPERLINK(".\sm_car_250915_0045\sm_car_250915_0045_263_Ca203TrN_MaTUR_DrSt_ode23t_1.png","figure")</f>
        <v>figure</v>
      </c>
      <c r="Q264" t="s">
        <v>15</v>
      </c>
    </row>
    <row r="265" spans="1:17" x14ac:dyDescent="0.25">
      <c r="A265">
        <v>264</v>
      </c>
      <c r="B265">
        <v>185</v>
      </c>
      <c r="C265" t="s">
        <v>45</v>
      </c>
      <c r="D265" t="s">
        <v>17</v>
      </c>
      <c r="E265" t="s">
        <v>18</v>
      </c>
      <c r="F265" t="s">
        <v>19</v>
      </c>
      <c r="G265" t="s">
        <v>26</v>
      </c>
      <c r="H265" t="s">
        <v>21</v>
      </c>
      <c r="I265" t="s">
        <v>64</v>
      </c>
      <c r="J265" t="s">
        <v>148</v>
      </c>
      <c r="K265" t="s">
        <v>23</v>
      </c>
      <c r="L265">
        <v>517</v>
      </c>
      <c r="M265" s="10">
        <v>18.844919099999998</v>
      </c>
      <c r="N265" s="10">
        <v>111.95072654864306</v>
      </c>
      <c r="O265" s="10">
        <v>-78.472167178774967</v>
      </c>
      <c r="P265" s="1" t="str">
        <f>HYPERLINK(".\sm_car_250915_0045\sm_car_250915_0045_264_Ca185TrN_MaTUR_DrSt_ode23t_1.png","figure")</f>
        <v>figure</v>
      </c>
      <c r="Q265" t="s">
        <v>15</v>
      </c>
    </row>
    <row r="266" spans="1:17" x14ac:dyDescent="0.25">
      <c r="A266">
        <v>265</v>
      </c>
      <c r="B266">
        <v>188</v>
      </c>
      <c r="C266" t="s">
        <v>45</v>
      </c>
      <c r="D266" t="s">
        <v>113</v>
      </c>
      <c r="E266" t="s">
        <v>49</v>
      </c>
      <c r="F266" t="s">
        <v>19</v>
      </c>
      <c r="G266" t="s">
        <v>26</v>
      </c>
      <c r="H266" t="s">
        <v>21</v>
      </c>
      <c r="I266" t="s">
        <v>64</v>
      </c>
      <c r="J266" t="s">
        <v>148</v>
      </c>
      <c r="K266" t="s">
        <v>23</v>
      </c>
      <c r="L266">
        <v>546</v>
      </c>
      <c r="M266" s="10">
        <v>7.2223087000000001</v>
      </c>
      <c r="N266" s="10">
        <v>140.58293327256882</v>
      </c>
      <c r="O266" s="10">
        <v>-71.723857033267834</v>
      </c>
      <c r="P266" s="1" t="str">
        <f>HYPERLINK(".\sm_car_250915_0045\sm_car_250915_0045_265_Ca188TrN_MaTUR_DrSt_ode23t_1.png","figure")</f>
        <v>figure</v>
      </c>
      <c r="Q266" t="s">
        <v>15</v>
      </c>
    </row>
    <row r="267" spans="1:17" x14ac:dyDescent="0.25">
      <c r="A267">
        <v>266</v>
      </c>
      <c r="B267" t="s">
        <v>94</v>
      </c>
      <c r="C267" t="s">
        <v>95</v>
      </c>
      <c r="D267" t="s">
        <v>35</v>
      </c>
      <c r="E267" t="s">
        <v>18</v>
      </c>
      <c r="F267" t="s">
        <v>19</v>
      </c>
      <c r="G267" t="s">
        <v>96</v>
      </c>
      <c r="H267" t="s">
        <v>21</v>
      </c>
      <c r="I267" t="s">
        <v>22</v>
      </c>
      <c r="J267" t="s">
        <v>148</v>
      </c>
      <c r="K267" t="s">
        <v>23</v>
      </c>
      <c r="L267">
        <v>441</v>
      </c>
      <c r="M267" s="10">
        <v>14.1448625</v>
      </c>
      <c r="N267" s="10">
        <v>79.220922629445354</v>
      </c>
      <c r="O267" s="10">
        <v>-0.33365900389598846</v>
      </c>
      <c r="P267" s="1" t="str">
        <f>HYPERLINK(".\sm_car_250915_0045\sm_car_Axle3_250915_0045_266_CaAxle3_000TrN_MaWOT_DrSt_ode23t_1.png","figure")</f>
        <v>figure</v>
      </c>
      <c r="Q267" t="s">
        <v>15</v>
      </c>
    </row>
    <row r="268" spans="1:17" x14ac:dyDescent="0.25">
      <c r="A268">
        <v>267</v>
      </c>
      <c r="B268" t="s">
        <v>99</v>
      </c>
      <c r="C268" t="s">
        <v>100</v>
      </c>
      <c r="D268" t="s">
        <v>35</v>
      </c>
      <c r="E268" t="s">
        <v>18</v>
      </c>
      <c r="F268" t="s">
        <v>19</v>
      </c>
      <c r="G268" t="s">
        <v>96</v>
      </c>
      <c r="H268" t="s">
        <v>21</v>
      </c>
      <c r="I268" t="s">
        <v>22</v>
      </c>
      <c r="J268" t="s">
        <v>148</v>
      </c>
      <c r="K268" t="s">
        <v>23</v>
      </c>
      <c r="L268">
        <v>548</v>
      </c>
      <c r="M268" s="10">
        <v>16.116658900000001</v>
      </c>
      <c r="N268" s="10">
        <v>61.776462913405382</v>
      </c>
      <c r="O268" s="10">
        <v>-7.8931686155575068E-2</v>
      </c>
      <c r="P268" s="1" t="str">
        <f>HYPERLINK(".\sm_car_250915_0045\sm_car_Axle3_250915_0045_267_CaAxle3_008TrN_MaWOT_DrSt_ode23t_1.png","figure")</f>
        <v>figure</v>
      </c>
      <c r="Q268" t="s">
        <v>15</v>
      </c>
    </row>
    <row r="269" spans="1:17" x14ac:dyDescent="0.25">
      <c r="A269">
        <v>268</v>
      </c>
      <c r="B269" t="s">
        <v>97</v>
      </c>
      <c r="C269" t="s">
        <v>95</v>
      </c>
      <c r="D269" t="s">
        <v>35</v>
      </c>
      <c r="E269" t="s">
        <v>49</v>
      </c>
      <c r="F269" t="s">
        <v>19</v>
      </c>
      <c r="G269" t="s">
        <v>98</v>
      </c>
      <c r="H269" t="s">
        <v>21</v>
      </c>
      <c r="I269" t="s">
        <v>22</v>
      </c>
      <c r="J269" t="s">
        <v>148</v>
      </c>
      <c r="K269" t="s">
        <v>23</v>
      </c>
      <c r="L269">
        <v>425</v>
      </c>
      <c r="M269" s="10">
        <v>12.5555974</v>
      </c>
      <c r="N269" s="10">
        <v>79.267785357633912</v>
      </c>
      <c r="O269" s="10">
        <v>-0.31325812773398548</v>
      </c>
      <c r="P269" s="1" t="str">
        <f>HYPERLINK(".\sm_car_250915_0045\sm_car_Axle3_250915_0045_268_CaAxle3_003TrN_MaWOT_DrSt_ode23t_1.png","figure")</f>
        <v>figure</v>
      </c>
      <c r="Q269" t="s">
        <v>15</v>
      </c>
    </row>
    <row r="270" spans="1:17" x14ac:dyDescent="0.25">
      <c r="A270">
        <v>269</v>
      </c>
      <c r="B270" t="s">
        <v>114</v>
      </c>
      <c r="C270" t="s">
        <v>95</v>
      </c>
      <c r="D270" t="s">
        <v>35</v>
      </c>
      <c r="E270" t="s">
        <v>107</v>
      </c>
      <c r="F270" t="s">
        <v>19</v>
      </c>
      <c r="G270" t="s">
        <v>98</v>
      </c>
      <c r="H270" t="s">
        <v>21</v>
      </c>
      <c r="I270" t="s">
        <v>22</v>
      </c>
      <c r="J270" t="s">
        <v>148</v>
      </c>
      <c r="K270" t="s">
        <v>23</v>
      </c>
      <c r="L270">
        <v>427</v>
      </c>
      <c r="M270" s="10">
        <v>2.0634302</v>
      </c>
      <c r="N270" s="10">
        <v>80.145520056216895</v>
      </c>
      <c r="O270" s="10">
        <v>-0.31945069771391377</v>
      </c>
      <c r="P270" s="1" t="str">
        <f>HYPERLINK(".\sm_car_250915_0045\sm_car_Axle3_250915_0045_269_CaAxle3_017TrN_MaWOT_DrSt_ode23t_1.png","figure")</f>
        <v>figure</v>
      </c>
      <c r="Q270" t="s">
        <v>15</v>
      </c>
    </row>
    <row r="271" spans="1:17" x14ac:dyDescent="0.25">
      <c r="A271">
        <v>270</v>
      </c>
      <c r="B271" t="s">
        <v>101</v>
      </c>
      <c r="C271" t="s">
        <v>100</v>
      </c>
      <c r="D271" t="s">
        <v>35</v>
      </c>
      <c r="E271" t="s">
        <v>49</v>
      </c>
      <c r="F271" t="s">
        <v>19</v>
      </c>
      <c r="G271" t="s">
        <v>96</v>
      </c>
      <c r="H271" t="s">
        <v>102</v>
      </c>
      <c r="I271" t="s">
        <v>22</v>
      </c>
      <c r="J271" t="s">
        <v>148</v>
      </c>
      <c r="K271" t="s">
        <v>23</v>
      </c>
      <c r="L271">
        <v>393</v>
      </c>
      <c r="M271" s="10">
        <v>33.073149399999998</v>
      </c>
      <c r="N271" s="10">
        <v>44.215687696567301</v>
      </c>
      <c r="O271" s="10">
        <v>2.2703786629762572E-2</v>
      </c>
      <c r="P271" s="1" t="str">
        <f>HYPERLINK(".\sm_car_250915_0045\sm_car_Axle3_250915_0045_270_CaAxle3_010TrK_MaWOT_DrSt_ode23t_1.png","figure")</f>
        <v>figure</v>
      </c>
      <c r="Q271" t="s">
        <v>15</v>
      </c>
    </row>
    <row r="272" spans="1:17" x14ac:dyDescent="0.25">
      <c r="A272">
        <v>271</v>
      </c>
      <c r="B272" t="s">
        <v>101</v>
      </c>
      <c r="C272" t="s">
        <v>100</v>
      </c>
      <c r="D272" t="s">
        <v>35</v>
      </c>
      <c r="E272" t="s">
        <v>49</v>
      </c>
      <c r="F272" t="s">
        <v>19</v>
      </c>
      <c r="G272" t="s">
        <v>96</v>
      </c>
      <c r="H272" t="s">
        <v>102</v>
      </c>
      <c r="I272" t="s">
        <v>22</v>
      </c>
      <c r="J272" t="s">
        <v>148</v>
      </c>
      <c r="K272" t="s">
        <v>23</v>
      </c>
      <c r="L272">
        <v>406</v>
      </c>
      <c r="M272" s="10">
        <v>32.965541700000003</v>
      </c>
      <c r="N272" s="10">
        <v>44.315323063646517</v>
      </c>
      <c r="O272" s="10">
        <v>2.2834604036157842E-2</v>
      </c>
      <c r="P272" s="1" t="str">
        <f>HYPERLINK(".\sm_car_250915_0045\sm_car_Axle3_250915_0045_271_CaAxle3_010TrK_MaWOT_DrSt_ode23t_1.png","figure")</f>
        <v>figure</v>
      </c>
      <c r="Q272" t="s">
        <v>15</v>
      </c>
    </row>
    <row r="273" spans="1:17" x14ac:dyDescent="0.25">
      <c r="A273">
        <v>272</v>
      </c>
      <c r="B273" t="s">
        <v>115</v>
      </c>
      <c r="C273" t="s">
        <v>100</v>
      </c>
      <c r="D273" t="s">
        <v>35</v>
      </c>
      <c r="E273" t="s">
        <v>107</v>
      </c>
      <c r="F273" t="s">
        <v>19</v>
      </c>
      <c r="G273" t="s">
        <v>96</v>
      </c>
      <c r="H273" t="s">
        <v>102</v>
      </c>
      <c r="I273" t="s">
        <v>22</v>
      </c>
      <c r="J273" t="s">
        <v>148</v>
      </c>
      <c r="K273" t="s">
        <v>23</v>
      </c>
      <c r="L273">
        <v>398</v>
      </c>
      <c r="M273" s="10">
        <v>2.9026977</v>
      </c>
      <c r="N273" s="10">
        <v>48.1835066105021</v>
      </c>
      <c r="O273" s="10">
        <v>2.6474473560836397E-2</v>
      </c>
      <c r="P273" s="1" t="str">
        <f>HYPERLINK(".\sm_car_250915_0045\sm_car_Axle3_250915_0045_272_CaAxle3_019TrK_MaWOT_DrSt_ode23t_1.png","figure")</f>
        <v>figure</v>
      </c>
      <c r="Q273" t="s">
        <v>15</v>
      </c>
    </row>
    <row r="274" spans="1:17" x14ac:dyDescent="0.25">
      <c r="A274">
        <v>273</v>
      </c>
      <c r="B274" t="s">
        <v>115</v>
      </c>
      <c r="C274" t="s">
        <v>100</v>
      </c>
      <c r="D274" t="s">
        <v>35</v>
      </c>
      <c r="E274" t="s">
        <v>107</v>
      </c>
      <c r="F274" t="s">
        <v>19</v>
      </c>
      <c r="G274" t="s">
        <v>96</v>
      </c>
      <c r="H274" t="s">
        <v>102</v>
      </c>
      <c r="I274" t="s">
        <v>22</v>
      </c>
      <c r="J274" t="s">
        <v>148</v>
      </c>
      <c r="K274" t="s">
        <v>23</v>
      </c>
      <c r="L274">
        <v>401</v>
      </c>
      <c r="M274" s="10">
        <v>3.0145319000000002</v>
      </c>
      <c r="N274" s="10">
        <v>48.113113515806859</v>
      </c>
      <c r="O274" s="10">
        <v>2.6374438288324573E-2</v>
      </c>
      <c r="P274" s="1" t="str">
        <f>HYPERLINK(".\sm_car_250915_0045\sm_car_Axle3_250915_0045_273_CaAxle3_019TrK_MaWOT_DrSt_ode23t_1.png","figure")</f>
        <v>figure</v>
      </c>
      <c r="Q274" t="s">
        <v>15</v>
      </c>
    </row>
    <row r="275" spans="1:17" x14ac:dyDescent="0.25">
      <c r="A275">
        <v>274</v>
      </c>
      <c r="B275" t="s">
        <v>115</v>
      </c>
      <c r="C275" t="s">
        <v>100</v>
      </c>
      <c r="D275" t="s">
        <v>35</v>
      </c>
      <c r="E275" t="s">
        <v>107</v>
      </c>
      <c r="F275" t="s">
        <v>19</v>
      </c>
      <c r="G275" t="s">
        <v>96</v>
      </c>
      <c r="H275" t="s">
        <v>102</v>
      </c>
      <c r="I275" t="s">
        <v>53</v>
      </c>
      <c r="J275" t="s">
        <v>148</v>
      </c>
      <c r="K275" t="s">
        <v>23</v>
      </c>
      <c r="L275">
        <v>629</v>
      </c>
      <c r="M275" s="10">
        <v>4.6954722999999996</v>
      </c>
      <c r="N275" s="10">
        <v>256.67126948043006</v>
      </c>
      <c r="O275" s="10">
        <v>-0.11895358617447327</v>
      </c>
      <c r="P275" s="1" t="str">
        <f>HYPERLINK(".\sm_car_250915_0045\sm_car_Axle3_250915_0045_274_CaAxle3_019TrK_MaDLC_DrSt_ode23t_1.png","figure")</f>
        <v>figure</v>
      </c>
      <c r="Q275" t="s">
        <v>15</v>
      </c>
    </row>
    <row r="276" spans="1:17" x14ac:dyDescent="0.25">
      <c r="A276">
        <v>275</v>
      </c>
      <c r="B276" t="s">
        <v>115</v>
      </c>
      <c r="C276" t="s">
        <v>100</v>
      </c>
      <c r="D276" t="s">
        <v>35</v>
      </c>
      <c r="E276" t="s">
        <v>107</v>
      </c>
      <c r="F276" t="s">
        <v>19</v>
      </c>
      <c r="G276" t="s">
        <v>96</v>
      </c>
      <c r="H276" t="s">
        <v>102</v>
      </c>
      <c r="I276" t="s">
        <v>53</v>
      </c>
      <c r="J276" t="s">
        <v>148</v>
      </c>
      <c r="K276" t="s">
        <v>23</v>
      </c>
      <c r="L276">
        <v>785</v>
      </c>
      <c r="M276" s="10">
        <v>4.4650993999999997</v>
      </c>
      <c r="N276" s="10">
        <v>254.18801104845164</v>
      </c>
      <c r="O276" s="10">
        <v>-0.11497791524924317</v>
      </c>
      <c r="P276" s="1" t="str">
        <f>HYPERLINK(".\sm_car_250915_0045\sm_car_Axle3_250915_0045_275_CaAxle3_019TrK_MaDLC_DrSt_ode23t_1.png","figure")</f>
        <v>figure</v>
      </c>
      <c r="Q276" t="s">
        <v>15</v>
      </c>
    </row>
    <row r="277" spans="1:17" x14ac:dyDescent="0.25">
      <c r="A277">
        <v>276</v>
      </c>
      <c r="B277" t="s">
        <v>115</v>
      </c>
      <c r="C277" t="s">
        <v>100</v>
      </c>
      <c r="D277" t="s">
        <v>35</v>
      </c>
      <c r="E277" t="s">
        <v>107</v>
      </c>
      <c r="F277" t="s">
        <v>19</v>
      </c>
      <c r="G277" t="s">
        <v>96</v>
      </c>
      <c r="H277" t="s">
        <v>102</v>
      </c>
      <c r="I277" t="s">
        <v>53</v>
      </c>
      <c r="J277" t="s">
        <v>148</v>
      </c>
      <c r="K277" t="s">
        <v>23</v>
      </c>
      <c r="L277">
        <v>630</v>
      </c>
      <c r="M277" s="10">
        <v>4.3244822000000003</v>
      </c>
      <c r="N277" s="10">
        <v>253.60435512200428</v>
      </c>
      <c r="O277" s="10">
        <v>-0.11016470950254131</v>
      </c>
      <c r="P277" s="1" t="str">
        <f>HYPERLINK(".\sm_car_250915_0045\sm_car_Axle3_250915_0045_276_CaAxle3_019TrK_MaDLC_DrSt_ode23t_1.png","figure")</f>
        <v>figure</v>
      </c>
      <c r="Q277" t="s">
        <v>15</v>
      </c>
    </row>
    <row r="278" spans="1:17" x14ac:dyDescent="0.25">
      <c r="A278">
        <v>277</v>
      </c>
      <c r="B278" t="s">
        <v>115</v>
      </c>
      <c r="C278" t="s">
        <v>100</v>
      </c>
      <c r="D278" t="s">
        <v>35</v>
      </c>
      <c r="E278" t="s">
        <v>107</v>
      </c>
      <c r="F278" t="s">
        <v>19</v>
      </c>
      <c r="G278" t="s">
        <v>96</v>
      </c>
      <c r="H278" t="s">
        <v>102</v>
      </c>
      <c r="I278" t="s">
        <v>53</v>
      </c>
      <c r="J278" t="s">
        <v>148</v>
      </c>
      <c r="K278" t="s">
        <v>23</v>
      </c>
      <c r="L278">
        <v>837</v>
      </c>
      <c r="M278" s="10">
        <v>4.8280146000000004</v>
      </c>
      <c r="N278" s="10">
        <v>253.78652359471721</v>
      </c>
      <c r="O278" s="10">
        <v>-0.1066173355449993</v>
      </c>
      <c r="P278" s="1" t="str">
        <f>HYPERLINK(".\sm_car_250915_0045\sm_car_Axle3_250915_0045_277_CaAxle3_019TrK_MaDLC_DrSt_ode23t_1.png","figure")</f>
        <v>figure</v>
      </c>
      <c r="Q278" t="s">
        <v>15</v>
      </c>
    </row>
    <row r="279" spans="1:17" x14ac:dyDescent="0.25">
      <c r="A279">
        <v>278</v>
      </c>
      <c r="B279" t="s">
        <v>138</v>
      </c>
      <c r="C279" t="s">
        <v>139</v>
      </c>
      <c r="D279" t="s">
        <v>35</v>
      </c>
      <c r="E279" t="s">
        <v>49</v>
      </c>
      <c r="F279" t="s">
        <v>19</v>
      </c>
      <c r="G279" t="s">
        <v>96</v>
      </c>
      <c r="H279" t="s">
        <v>102</v>
      </c>
      <c r="I279" t="s">
        <v>22</v>
      </c>
      <c r="J279" t="s">
        <v>148</v>
      </c>
      <c r="K279" t="s">
        <v>23</v>
      </c>
      <c r="L279">
        <v>366</v>
      </c>
      <c r="M279" s="10">
        <v>2.8971111000000001</v>
      </c>
      <c r="N279" s="10">
        <v>136.833045659964</v>
      </c>
      <c r="O279" s="10">
        <v>0.19634619579397833</v>
      </c>
      <c r="P279" s="1" t="str">
        <f>HYPERLINK(".\sm_car_250915_0045\sm_car_Axle3_250915_0045_278_CaAxle3_023TrK_MaWOT_DrSt_ode23t_1.png","figure")</f>
        <v>figure</v>
      </c>
      <c r="Q279" t="s">
        <v>15</v>
      </c>
    </row>
  </sheetData>
  <autoFilter ref="A1:Q279" xr:uid="{E55B0AA2-666F-48E8-BB12-587418F946AA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FD3B-4F60-4C97-806D-5241397006FF}">
  <dimension ref="A1:W283"/>
  <sheetViews>
    <sheetView topLeftCell="G1" workbookViewId="0">
      <selection activeCell="AA4" sqref="AA4"/>
    </sheetView>
  </sheetViews>
  <sheetFormatPr defaultRowHeight="15" x14ac:dyDescent="0.25"/>
  <cols>
    <col min="7" max="7" width="11.42578125" customWidth="1"/>
    <col min="19" max="19" width="37.42578125" bestFit="1" customWidth="1"/>
    <col min="21" max="21" width="9.140625" style="11"/>
    <col min="23" max="23" width="9.140625" style="1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S1" s="2" t="s">
        <v>184</v>
      </c>
    </row>
    <row r="2" spans="1:23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148</v>
      </c>
      <c r="K2" t="s">
        <v>23</v>
      </c>
      <c r="L2">
        <v>415</v>
      </c>
      <c r="M2">
        <v>6.8153635000000001</v>
      </c>
      <c r="N2">
        <v>230.06110401850631</v>
      </c>
      <c r="O2">
        <v>-7.7390488127199323E-3</v>
      </c>
      <c r="P2" s="1" t="str">
        <f>HYPERLINK(".\sm_car_251026_0925\sm_car_251026_0925_001_Ca000TrN_MaWOT_DrSt_ode23t.png","figure")</f>
        <v>figure</v>
      </c>
      <c r="Q2" t="s">
        <v>15</v>
      </c>
      <c r="S2" s="2" t="s">
        <v>116</v>
      </c>
      <c r="T2">
        <f>L2-'2022a_250915_0045'!L2</f>
        <v>0</v>
      </c>
      <c r="U2" s="11">
        <f>T2/'2022a_250915_0045'!L2</f>
        <v>0</v>
      </c>
      <c r="V2" s="10">
        <f>M2-'2022a_250915_0045'!M2</f>
        <v>-0.28205249999999982</v>
      </c>
      <c r="W2" s="11">
        <f>V2/'2022a_250915_0045'!M2</f>
        <v>-3.9740167407405713E-2</v>
      </c>
    </row>
    <row r="3" spans="1:23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24</v>
      </c>
      <c r="J3" t="s">
        <v>148</v>
      </c>
      <c r="K3" t="s">
        <v>23</v>
      </c>
      <c r="L3">
        <v>518</v>
      </c>
      <c r="M3">
        <v>7.4506527</v>
      </c>
      <c r="N3">
        <v>70.867045635634994</v>
      </c>
      <c r="O3">
        <v>-0.53370171597824634</v>
      </c>
      <c r="P3" s="1" t="str">
        <f>HYPERLINK(".\sm_car_251026_0925\sm_car_251026_0925_002_Ca000TrN_MaLSS_DrSt_ode23t.png","figure")</f>
        <v>figure</v>
      </c>
      <c r="Q3" t="s">
        <v>15</v>
      </c>
      <c r="S3" s="2" t="s">
        <v>117</v>
      </c>
      <c r="T3">
        <f>L3-'2022a_250915_0045'!L3</f>
        <v>0</v>
      </c>
      <c r="U3" s="11">
        <f>T3/'2022a_250915_0045'!L3</f>
        <v>0</v>
      </c>
      <c r="V3" s="10">
        <f>M3-'2022a_250915_0045'!M3</f>
        <v>0.36734950000000044</v>
      </c>
      <c r="W3" s="11">
        <f>V3/'2022a_250915_0045'!M3</f>
        <v>5.1861326506537297E-2</v>
      </c>
    </row>
    <row r="4" spans="1:23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21</v>
      </c>
      <c r="I4" t="s">
        <v>22</v>
      </c>
      <c r="J4" t="s">
        <v>148</v>
      </c>
      <c r="K4" t="s">
        <v>23</v>
      </c>
      <c r="L4">
        <v>410</v>
      </c>
      <c r="M4">
        <v>8.0342211999999993</v>
      </c>
      <c r="N4">
        <v>228.77428506320737</v>
      </c>
      <c r="O4">
        <v>-1.9777422833945978E-2</v>
      </c>
      <c r="P4" s="1" t="str">
        <f>HYPERLINK(".\sm_car_251026_0925\sm_car_251026_0925_003_Ca001TrN_MaWOT_DrSt_ode23t.png","figure")</f>
        <v>figure</v>
      </c>
      <c r="Q4" t="s">
        <v>15</v>
      </c>
      <c r="S4" s="2" t="s">
        <v>164</v>
      </c>
      <c r="T4">
        <f>L4-'2022a_250915_0045'!L4</f>
        <v>0</v>
      </c>
      <c r="U4" s="11">
        <f>T4/'2022a_250915_0045'!L4</f>
        <v>0</v>
      </c>
      <c r="V4" s="10">
        <f>M4-'2022a_250915_0045'!M4</f>
        <v>0.75237089999999895</v>
      </c>
      <c r="W4" s="11">
        <f>V4/'2022a_250915_0045'!M4</f>
        <v>0.10332139071850996</v>
      </c>
    </row>
    <row r="5" spans="1:23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25</v>
      </c>
      <c r="H5" t="s">
        <v>21</v>
      </c>
      <c r="I5" t="s">
        <v>24</v>
      </c>
      <c r="J5" t="s">
        <v>148</v>
      </c>
      <c r="K5" t="s">
        <v>23</v>
      </c>
      <c r="L5">
        <v>528</v>
      </c>
      <c r="M5">
        <v>9.1094492000000002</v>
      </c>
      <c r="N5">
        <v>70.586466470151947</v>
      </c>
      <c r="O5">
        <v>-0.53087055111701098</v>
      </c>
      <c r="P5" s="1" t="str">
        <f>HYPERLINK(".\sm_car_251026_0925\sm_car_251026_0925_004_Ca001TrN_MaLSS_DrSt_ode23t.png","figure")</f>
        <v>figure</v>
      </c>
      <c r="Q5" t="s">
        <v>15</v>
      </c>
      <c r="S5" t="s">
        <v>185</v>
      </c>
      <c r="T5">
        <f>L5-'2022a_250915_0045'!L5</f>
        <v>0</v>
      </c>
      <c r="U5" s="11">
        <f>T5/'2022a_250915_0045'!L5</f>
        <v>0</v>
      </c>
      <c r="V5" s="10">
        <f>M5-'2022a_250915_0045'!M5</f>
        <v>0.53361379999999947</v>
      </c>
      <c r="W5" s="11">
        <f>V5/'2022a_250915_0045'!M5</f>
        <v>6.2222952646689027E-2</v>
      </c>
    </row>
    <row r="6" spans="1:23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26</v>
      </c>
      <c r="H6" t="s">
        <v>21</v>
      </c>
      <c r="I6" t="s">
        <v>22</v>
      </c>
      <c r="J6" t="s">
        <v>148</v>
      </c>
      <c r="K6" t="s">
        <v>23</v>
      </c>
      <c r="L6">
        <v>450</v>
      </c>
      <c r="M6">
        <v>12.6664631</v>
      </c>
      <c r="N6">
        <v>229.04489247590635</v>
      </c>
      <c r="O6">
        <v>5.0433329842262536E-2</v>
      </c>
      <c r="P6" s="1" t="str">
        <f>HYPERLINK(".\sm_car_251026_0925\sm_car_251026_0925_005_Ca002TrN_MaWOT_DrSt_ode23t.png","figure")</f>
        <v>figure</v>
      </c>
      <c r="Q6" t="s">
        <v>15</v>
      </c>
      <c r="T6">
        <f>L6-'2022a_250915_0045'!L6</f>
        <v>0</v>
      </c>
      <c r="U6" s="11">
        <f>T6/'2022a_250915_0045'!L6</f>
        <v>0</v>
      </c>
      <c r="V6" s="10">
        <f>M6-'2022a_250915_0045'!M6</f>
        <v>1.0454502999999988</v>
      </c>
      <c r="W6" s="11">
        <f>V6/'2022a_250915_0045'!M6</f>
        <v>8.9962064235915712E-2</v>
      </c>
    </row>
    <row r="7" spans="1:23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26</v>
      </c>
      <c r="H7" t="s">
        <v>21</v>
      </c>
      <c r="I7" t="s">
        <v>24</v>
      </c>
      <c r="J7" t="s">
        <v>148</v>
      </c>
      <c r="K7" t="s">
        <v>23</v>
      </c>
      <c r="L7">
        <v>520</v>
      </c>
      <c r="M7">
        <v>12.078124799999999</v>
      </c>
      <c r="N7">
        <v>70.585653557677915</v>
      </c>
      <c r="O7">
        <v>-0.52521481932063996</v>
      </c>
      <c r="P7" s="1" t="str">
        <f>HYPERLINK(".\sm_car_251026_0925\sm_car_251026_0925_006_Ca002TrN_MaLSS_DrSt_ode23t.png","figure")</f>
        <v>figure</v>
      </c>
      <c r="Q7" t="s">
        <v>15</v>
      </c>
      <c r="T7">
        <f>L7-'2022a_250915_0045'!L7</f>
        <v>-12</v>
      </c>
      <c r="U7" s="11">
        <f>T7/'2022a_250915_0045'!L7</f>
        <v>-2.2556390977443608E-2</v>
      </c>
      <c r="V7" s="10">
        <f>M7-'2022a_250915_0045'!M7</f>
        <v>0.25471989999999956</v>
      </c>
      <c r="W7" s="11">
        <f>V7/'2022a_250915_0045'!M7</f>
        <v>2.1543701002745795E-2</v>
      </c>
    </row>
    <row r="8" spans="1:23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27</v>
      </c>
      <c r="H8" t="s">
        <v>21</v>
      </c>
      <c r="I8" t="s">
        <v>22</v>
      </c>
      <c r="J8" t="s">
        <v>148</v>
      </c>
      <c r="K8" t="s">
        <v>23</v>
      </c>
      <c r="L8">
        <v>465</v>
      </c>
      <c r="M8">
        <v>13.8601107</v>
      </c>
      <c r="N8">
        <v>228.50098544368885</v>
      </c>
      <c r="O8">
        <v>4.4147618957668229E-2</v>
      </c>
      <c r="P8" s="1" t="str">
        <f>HYPERLINK(".\sm_car_251026_0925\sm_car_251026_0925_007_Ca003TrN_MaWOT_DrSt_ode23t.png","figure")</f>
        <v>figure</v>
      </c>
      <c r="Q8" t="s">
        <v>15</v>
      </c>
      <c r="T8">
        <f>L8-'2022a_250915_0045'!L8</f>
        <v>0</v>
      </c>
      <c r="U8" s="11">
        <f>T8/'2022a_250915_0045'!L8</f>
        <v>0</v>
      </c>
      <c r="V8" s="10">
        <f>M8-'2022a_250915_0045'!M8</f>
        <v>2.2744546000000003</v>
      </c>
      <c r="W8" s="11">
        <f>V8/'2022a_250915_0045'!M8</f>
        <v>0.196316426136626</v>
      </c>
    </row>
    <row r="9" spans="1:23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27</v>
      </c>
      <c r="H9" t="s">
        <v>21</v>
      </c>
      <c r="I9" t="s">
        <v>24</v>
      </c>
      <c r="J9" t="s">
        <v>148</v>
      </c>
      <c r="K9" t="s">
        <v>23</v>
      </c>
      <c r="L9">
        <v>542</v>
      </c>
      <c r="M9">
        <v>12.145974000000001</v>
      </c>
      <c r="N9">
        <v>70.449603149744661</v>
      </c>
      <c r="O9">
        <v>-0.520344278228144</v>
      </c>
      <c r="P9" s="1" t="str">
        <f>HYPERLINK(".\sm_car_251026_0925\sm_car_251026_0925_008_Ca003TrN_MaLSS_DrSt_ode23t.png","figure")</f>
        <v>figure</v>
      </c>
      <c r="Q9" t="s">
        <v>15</v>
      </c>
      <c r="T9">
        <f>L9-'2022a_250915_0045'!L9</f>
        <v>0</v>
      </c>
      <c r="U9" s="11">
        <f>T9/'2022a_250915_0045'!L9</f>
        <v>0</v>
      </c>
      <c r="V9" s="10">
        <f>M9-'2022a_250915_0045'!M9</f>
        <v>0.81729910000000139</v>
      </c>
      <c r="W9" s="11">
        <f>V9/'2022a_250915_0045'!M9</f>
        <v>7.2144280528343291E-2</v>
      </c>
    </row>
    <row r="10" spans="1:23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20</v>
      </c>
      <c r="H10" t="s">
        <v>21</v>
      </c>
      <c r="I10" t="s">
        <v>22</v>
      </c>
      <c r="J10" t="s">
        <v>148</v>
      </c>
      <c r="K10" t="s">
        <v>23</v>
      </c>
      <c r="L10">
        <v>1109</v>
      </c>
      <c r="M10">
        <v>12.2828391</v>
      </c>
      <c r="N10">
        <v>230.10462016195655</v>
      </c>
      <c r="O10">
        <v>-8.093147685615254E-3</v>
      </c>
      <c r="P10" s="1" t="str">
        <f>HYPERLINK(".\sm_car_251026_0925\sm_car_251026_0925_009_Ca004TrN_MaWOT_DrSt_ode23t.png","figure")</f>
        <v>figure</v>
      </c>
      <c r="Q10" t="s">
        <v>15</v>
      </c>
      <c r="T10">
        <f>L10-'2022a_250915_0045'!L10</f>
        <v>0</v>
      </c>
      <c r="U10" s="11">
        <f>T10/'2022a_250915_0045'!L10</f>
        <v>0</v>
      </c>
      <c r="V10" s="10">
        <f>M10-'2022a_250915_0045'!M10</f>
        <v>1.2726328999999996</v>
      </c>
      <c r="W10" s="11">
        <f>V10/'2022a_250915_0045'!M10</f>
        <v>0.1155866544988049</v>
      </c>
    </row>
    <row r="11" spans="1:23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20</v>
      </c>
      <c r="H11" t="s">
        <v>21</v>
      </c>
      <c r="I11" t="s">
        <v>24</v>
      </c>
      <c r="J11" t="s">
        <v>148</v>
      </c>
      <c r="K11" t="s">
        <v>23</v>
      </c>
      <c r="L11">
        <v>1235</v>
      </c>
      <c r="M11">
        <v>13.8785756</v>
      </c>
      <c r="N11">
        <v>70.878885401069837</v>
      </c>
      <c r="O11">
        <v>-0.53647311138677611</v>
      </c>
      <c r="P11" s="1" t="str">
        <f>HYPERLINK(".\sm_car_251026_0925\sm_car_251026_0925_010_Ca004TrN_MaLSS_DrSt_ode23t.png","figure")</f>
        <v>figure</v>
      </c>
      <c r="Q11" t="s">
        <v>15</v>
      </c>
      <c r="T11">
        <f>L11-'2022a_250915_0045'!L11</f>
        <v>0</v>
      </c>
      <c r="U11" s="11">
        <f>T11/'2022a_250915_0045'!L11</f>
        <v>0</v>
      </c>
      <c r="V11" s="10">
        <f>M11-'2022a_250915_0045'!M11</f>
        <v>1.2817413999999996</v>
      </c>
      <c r="W11" s="11">
        <f>V11/'2022a_250915_0045'!M11</f>
        <v>0.10175107329744799</v>
      </c>
    </row>
    <row r="12" spans="1:23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25</v>
      </c>
      <c r="H12" t="s">
        <v>21</v>
      </c>
      <c r="I12" t="s">
        <v>22</v>
      </c>
      <c r="J12" t="s">
        <v>148</v>
      </c>
      <c r="K12" t="s">
        <v>23</v>
      </c>
      <c r="L12">
        <v>1087</v>
      </c>
      <c r="M12">
        <v>14.5557403</v>
      </c>
      <c r="N12">
        <v>229.06609425795125</v>
      </c>
      <c r="O12">
        <v>-1.7284026526695306E-2</v>
      </c>
      <c r="P12" s="1" t="str">
        <f>HYPERLINK(".\sm_car_251026_0925\sm_car_251026_0925_011_Ca005TrN_MaWOT_DrSt_ode23t.png","figure")</f>
        <v>figure</v>
      </c>
      <c r="Q12" t="s">
        <v>15</v>
      </c>
      <c r="T12">
        <f>L12-'2022a_250915_0045'!L12</f>
        <v>0</v>
      </c>
      <c r="U12" s="11">
        <f>T12/'2022a_250915_0045'!L12</f>
        <v>0</v>
      </c>
      <c r="V12" s="10">
        <f>M12-'2022a_250915_0045'!M12</f>
        <v>2.5204266000000004</v>
      </c>
      <c r="W12" s="11">
        <f>V12/'2022a_250915_0045'!M12</f>
        <v>0.20941926922935133</v>
      </c>
    </row>
    <row r="13" spans="1:23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25</v>
      </c>
      <c r="H13" t="s">
        <v>21</v>
      </c>
      <c r="I13" t="s">
        <v>24</v>
      </c>
      <c r="J13" t="s">
        <v>148</v>
      </c>
      <c r="K13" t="s">
        <v>23</v>
      </c>
      <c r="L13">
        <v>1227</v>
      </c>
      <c r="M13">
        <v>14.456602800000001</v>
      </c>
      <c r="N13">
        <v>70.595644045533476</v>
      </c>
      <c r="O13">
        <v>-0.53019226207293912</v>
      </c>
      <c r="P13" s="1" t="str">
        <f>HYPERLINK(".\sm_car_251026_0925\sm_car_251026_0925_012_Ca005TrN_MaLSS_DrSt_ode23t.png","figure")</f>
        <v>figure</v>
      </c>
      <c r="Q13" t="s">
        <v>15</v>
      </c>
      <c r="T13">
        <f>L13-'2022a_250915_0045'!L13</f>
        <v>0</v>
      </c>
      <c r="U13" s="11">
        <f>T13/'2022a_250915_0045'!L13</f>
        <v>0</v>
      </c>
      <c r="V13" s="10">
        <f>M13-'2022a_250915_0045'!M13</f>
        <v>1.2067716000000015</v>
      </c>
      <c r="W13" s="11">
        <f>V13/'2022a_250915_0045'!M13</f>
        <v>9.1078262189483714E-2</v>
      </c>
    </row>
    <row r="14" spans="1:23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26</v>
      </c>
      <c r="H14" t="s">
        <v>21</v>
      </c>
      <c r="I14" t="s">
        <v>22</v>
      </c>
      <c r="J14" t="s">
        <v>148</v>
      </c>
      <c r="K14" t="s">
        <v>23</v>
      </c>
      <c r="L14">
        <v>1238</v>
      </c>
      <c r="M14">
        <v>19.375556899999999</v>
      </c>
      <c r="N14">
        <v>229.12751350992957</v>
      </c>
      <c r="O14">
        <v>4.658378510746837E-2</v>
      </c>
      <c r="P14" s="1" t="str">
        <f>HYPERLINK(".\sm_car_251026_0925\sm_car_251026_0925_013_Ca006TrN_MaWOT_DrSt_ode23t.png","figure")</f>
        <v>figure</v>
      </c>
      <c r="Q14" t="s">
        <v>15</v>
      </c>
      <c r="T14">
        <f>L14-'2022a_250915_0045'!L14</f>
        <v>33</v>
      </c>
      <c r="U14" s="11">
        <f>T14/'2022a_250915_0045'!L14</f>
        <v>2.7385892116182572E-2</v>
      </c>
      <c r="V14" s="10">
        <f>M14-'2022a_250915_0045'!M14</f>
        <v>4.6325411999999986</v>
      </c>
      <c r="W14" s="11">
        <f>V14/'2022a_250915_0045'!M14</f>
        <v>0.31421937643327602</v>
      </c>
    </row>
    <row r="15" spans="1:23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26</v>
      </c>
      <c r="H15" t="s">
        <v>21</v>
      </c>
      <c r="I15" t="s">
        <v>24</v>
      </c>
      <c r="J15" t="s">
        <v>148</v>
      </c>
      <c r="K15" t="s">
        <v>23</v>
      </c>
      <c r="L15">
        <v>1304</v>
      </c>
      <c r="M15">
        <v>16.956369500000001</v>
      </c>
      <c r="N15">
        <v>70.593626680372964</v>
      </c>
      <c r="O15">
        <v>-0.52889524811926758</v>
      </c>
      <c r="P15" s="1" t="str">
        <f>HYPERLINK(".\sm_car_251026_0925\sm_car_251026_0925_014_Ca006TrN_MaLSS_DrSt_ode23t.png","figure")</f>
        <v>figure</v>
      </c>
      <c r="Q15" t="s">
        <v>15</v>
      </c>
      <c r="T15">
        <f>L15-'2022a_250915_0045'!L15</f>
        <v>0</v>
      </c>
      <c r="U15" s="11">
        <f>T15/'2022a_250915_0045'!L15</f>
        <v>0</v>
      </c>
      <c r="V15" s="10">
        <f>M15-'2022a_250915_0045'!M15</f>
        <v>1.7052043000000001</v>
      </c>
      <c r="W15" s="11">
        <f>V15/'2022a_250915_0045'!M15</f>
        <v>0.11180813253534229</v>
      </c>
    </row>
    <row r="16" spans="1:23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27</v>
      </c>
      <c r="H16" t="s">
        <v>21</v>
      </c>
      <c r="I16" t="s">
        <v>22</v>
      </c>
      <c r="J16" t="s">
        <v>148</v>
      </c>
      <c r="K16" t="s">
        <v>23</v>
      </c>
      <c r="L16">
        <v>1195</v>
      </c>
      <c r="M16">
        <v>19.351193800000001</v>
      </c>
      <c r="N16">
        <v>228.71656022656805</v>
      </c>
      <c r="O16">
        <v>4.8619103506078822E-2</v>
      </c>
      <c r="P16" s="1" t="str">
        <f>HYPERLINK(".\sm_car_251026_0925\sm_car_251026_0925_015_Ca007TrN_MaWOT_DrSt_ode23t.png","figure")</f>
        <v>figure</v>
      </c>
      <c r="Q16" t="s">
        <v>15</v>
      </c>
      <c r="T16">
        <f>L16-'2022a_250915_0045'!L16</f>
        <v>0</v>
      </c>
      <c r="U16" s="11">
        <f>T16/'2022a_250915_0045'!L16</f>
        <v>0</v>
      </c>
      <c r="V16" s="10">
        <f>M16-'2022a_250915_0045'!M16</f>
        <v>2.9672953</v>
      </c>
      <c r="W16" s="11">
        <f>V16/'2022a_250915_0045'!M16</f>
        <v>0.1811104542670354</v>
      </c>
    </row>
    <row r="17" spans="1:23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27</v>
      </c>
      <c r="H17" t="s">
        <v>21</v>
      </c>
      <c r="I17" t="s">
        <v>24</v>
      </c>
      <c r="J17" t="s">
        <v>148</v>
      </c>
      <c r="K17" t="s">
        <v>23</v>
      </c>
      <c r="L17">
        <v>1260</v>
      </c>
      <c r="M17">
        <v>17.862757999999999</v>
      </c>
      <c r="N17">
        <v>70.462916326953888</v>
      </c>
      <c r="O17">
        <v>-0.52380853237485692</v>
      </c>
      <c r="P17" s="1" t="str">
        <f>HYPERLINK(".\sm_car_251026_0925\sm_car_251026_0925_016_Ca007TrN_MaLSS_DrSt_ode23t.png","figure")</f>
        <v>figure</v>
      </c>
      <c r="Q17" t="s">
        <v>15</v>
      </c>
      <c r="T17">
        <f>L17-'2022a_250915_0045'!L17</f>
        <v>0</v>
      </c>
      <c r="U17" s="11">
        <f>T17/'2022a_250915_0045'!L17</f>
        <v>0</v>
      </c>
      <c r="V17" s="10">
        <f>M17-'2022a_250915_0045'!M17</f>
        <v>1.8856620999999993</v>
      </c>
      <c r="W17" s="11">
        <f>V17/'2022a_250915_0045'!M17</f>
        <v>0.11802283167117995</v>
      </c>
    </row>
    <row r="18" spans="1:23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148</v>
      </c>
      <c r="K18" t="s">
        <v>23</v>
      </c>
      <c r="L18">
        <v>426</v>
      </c>
      <c r="M18">
        <v>6.4570281999999999</v>
      </c>
      <c r="N18">
        <v>230.68439542009924</v>
      </c>
      <c r="O18">
        <v>-7.6640821119501587E-2</v>
      </c>
      <c r="P18" s="1" t="str">
        <f>HYPERLINK(".\sm_car_251026_0925\sm_car_251026_0925_017_Ca016TrN_MaWOT_DrSt_ode23t.png","figure")</f>
        <v>figure</v>
      </c>
      <c r="Q18" t="s">
        <v>15</v>
      </c>
      <c r="T18">
        <f>L18-'2022a_250915_0045'!L18</f>
        <v>0</v>
      </c>
      <c r="U18" s="11">
        <f>T18/'2022a_250915_0045'!L18</f>
        <v>0</v>
      </c>
      <c r="V18" s="10">
        <f>M18-'2022a_250915_0045'!M18</f>
        <v>0.57128589999999946</v>
      </c>
      <c r="W18" s="11">
        <f>V18/'2022a_250915_0045'!M18</f>
        <v>9.7062676359445682E-2</v>
      </c>
    </row>
    <row r="19" spans="1:23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20</v>
      </c>
      <c r="H19" t="s">
        <v>21</v>
      </c>
      <c r="I19" t="s">
        <v>24</v>
      </c>
      <c r="J19" t="s">
        <v>148</v>
      </c>
      <c r="K19" t="s">
        <v>23</v>
      </c>
      <c r="L19">
        <v>497</v>
      </c>
      <c r="M19">
        <v>6.5862816999999998</v>
      </c>
      <c r="N19">
        <v>71.140415761923705</v>
      </c>
      <c r="O19">
        <v>-2.1722636958163385E-2</v>
      </c>
      <c r="P19" s="1" t="str">
        <f>HYPERLINK(".\sm_car_251026_0925\sm_car_251026_0925_018_Ca016TrN_MaLSS_DrSt_ode23t.png","figure")</f>
        <v>figure</v>
      </c>
      <c r="Q19" t="s">
        <v>15</v>
      </c>
      <c r="T19">
        <f>L19-'2022a_250915_0045'!L19</f>
        <v>4</v>
      </c>
      <c r="U19" s="11">
        <f>T19/'2022a_250915_0045'!L19</f>
        <v>8.1135902636916835E-3</v>
      </c>
      <c r="V19" s="10">
        <f>M19-'2022a_250915_0045'!M19</f>
        <v>0.84630229999999962</v>
      </c>
      <c r="W19" s="11">
        <f>V19/'2022a_250915_0045'!M19</f>
        <v>0.14743995422701336</v>
      </c>
    </row>
    <row r="20" spans="1:23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148</v>
      </c>
      <c r="K20" t="s">
        <v>23</v>
      </c>
      <c r="L20">
        <v>417</v>
      </c>
      <c r="M20">
        <v>8.5821883000000003</v>
      </c>
      <c r="N20">
        <v>229.99843320463484</v>
      </c>
      <c r="O20">
        <v>3.2226905071039896E-2</v>
      </c>
      <c r="P20" s="1" t="str">
        <f>HYPERLINK(".\sm_car_251026_0925\sm_car_251026_0925_019_Ca032TrN_MaWOT_DrSt_ode23t.png","figure")</f>
        <v>figure</v>
      </c>
      <c r="Q20" t="s">
        <v>15</v>
      </c>
      <c r="T20">
        <f>L20-'2022a_250915_0045'!L20</f>
        <v>0</v>
      </c>
      <c r="U20" s="11">
        <f>T20/'2022a_250915_0045'!L20</f>
        <v>0</v>
      </c>
      <c r="V20" s="10">
        <f>M20-'2022a_250915_0045'!M20</f>
        <v>1.5390702000000003</v>
      </c>
      <c r="W20" s="11">
        <f>V20/'2022a_250915_0045'!M20</f>
        <v>0.21852114051587468</v>
      </c>
    </row>
    <row r="21" spans="1:23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20</v>
      </c>
      <c r="H21" t="s">
        <v>21</v>
      </c>
      <c r="I21" t="s">
        <v>24</v>
      </c>
      <c r="J21" t="s">
        <v>148</v>
      </c>
      <c r="K21" t="s">
        <v>23</v>
      </c>
      <c r="L21">
        <v>520</v>
      </c>
      <c r="M21">
        <v>8.9041522000000004</v>
      </c>
      <c r="N21">
        <v>70.887713259785215</v>
      </c>
      <c r="O21">
        <v>-0.51627078539884252</v>
      </c>
      <c r="P21" s="1" t="str">
        <f>HYPERLINK(".\sm_car_251026_0925\sm_car_251026_0925_020_Ca032TrN_MaLSS_DrSt_ode23t.png","figure")</f>
        <v>figure</v>
      </c>
      <c r="Q21" t="s">
        <v>15</v>
      </c>
      <c r="T21">
        <f>L21-'2022a_250915_0045'!L21</f>
        <v>0</v>
      </c>
      <c r="U21" s="11">
        <f>T21/'2022a_250915_0045'!L21</f>
        <v>0</v>
      </c>
      <c r="V21" s="10">
        <f>M21-'2022a_250915_0045'!M21</f>
        <v>1.1410272000000008</v>
      </c>
      <c r="W21" s="11">
        <f>V21/'2022a_250915_0045'!M21</f>
        <v>0.14698039771354973</v>
      </c>
    </row>
    <row r="22" spans="1:23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148</v>
      </c>
      <c r="K22" t="s">
        <v>23</v>
      </c>
      <c r="L22">
        <v>415</v>
      </c>
      <c r="M22">
        <v>8.8742278999999993</v>
      </c>
      <c r="N22">
        <v>230.02652145202666</v>
      </c>
      <c r="O22">
        <v>-2.0186740564017418E-2</v>
      </c>
      <c r="P22" s="1" t="str">
        <f>HYPERLINK(".\sm_car_251026_0925\sm_car_251026_0925_021_Ca048TrN_MaWOT_DrSt_ode23t.png","figure")</f>
        <v>figure</v>
      </c>
      <c r="Q22" t="s">
        <v>15</v>
      </c>
      <c r="T22">
        <f>L22-'2022a_250915_0045'!L22</f>
        <v>0</v>
      </c>
      <c r="U22" s="11">
        <f>T22/'2022a_250915_0045'!L22</f>
        <v>0</v>
      </c>
      <c r="V22" s="10">
        <f>M22-'2022a_250915_0045'!M22</f>
        <v>1.4963838999999997</v>
      </c>
      <c r="W22" s="11">
        <f>V22/'2022a_250915_0045'!M22</f>
        <v>0.20282129847147753</v>
      </c>
    </row>
    <row r="23" spans="1:23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20</v>
      </c>
      <c r="H23" t="s">
        <v>21</v>
      </c>
      <c r="I23" t="s">
        <v>24</v>
      </c>
      <c r="J23" t="s">
        <v>148</v>
      </c>
      <c r="K23" t="s">
        <v>23</v>
      </c>
      <c r="L23">
        <v>542</v>
      </c>
      <c r="M23">
        <v>9.8582064999999997</v>
      </c>
      <c r="N23">
        <v>70.879905994443504</v>
      </c>
      <c r="O23">
        <v>-0.52555182070837725</v>
      </c>
      <c r="P23" s="1" t="str">
        <f>HYPERLINK(".\sm_car_251026_0925\sm_car_251026_0925_022_Ca048TrN_MaLSS_DrSt_ode23t.png","figure")</f>
        <v>figure</v>
      </c>
      <c r="Q23" t="s">
        <v>15</v>
      </c>
      <c r="T23">
        <f>L23-'2022a_250915_0045'!L23</f>
        <v>0</v>
      </c>
      <c r="U23" s="11">
        <f>T23/'2022a_250915_0045'!L23</f>
        <v>0</v>
      </c>
      <c r="V23" s="10">
        <f>M23-'2022a_250915_0045'!M23</f>
        <v>0.86832910000000041</v>
      </c>
      <c r="W23" s="11">
        <f>V23/'2022a_250915_0045'!M23</f>
        <v>9.6589648708668763E-2</v>
      </c>
    </row>
    <row r="24" spans="1:23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 t="s">
        <v>148</v>
      </c>
      <c r="K24" t="s">
        <v>23</v>
      </c>
      <c r="L24">
        <v>406</v>
      </c>
      <c r="M24">
        <v>9.7235309999999995</v>
      </c>
      <c r="N24">
        <v>230.20418825486104</v>
      </c>
      <c r="O24">
        <v>7.1719658950238144E-3</v>
      </c>
      <c r="P24" s="1" t="str">
        <f>HYPERLINK(".\sm_car_251026_0925\sm_car_251026_0925_023_Ca064TrN_MaWOT_DrSt_ode23t.png","figure")</f>
        <v>figure</v>
      </c>
      <c r="Q24" t="s">
        <v>15</v>
      </c>
      <c r="T24">
        <f>L24-'2022a_250915_0045'!L24</f>
        <v>0</v>
      </c>
      <c r="U24" s="11">
        <f>T24/'2022a_250915_0045'!L24</f>
        <v>0</v>
      </c>
      <c r="V24" s="10">
        <f>M24-'2022a_250915_0045'!M24</f>
        <v>1.9589423999999998</v>
      </c>
      <c r="W24" s="11">
        <f>V24/'2022a_250915_0045'!M24</f>
        <v>0.25229184711730895</v>
      </c>
    </row>
    <row r="25" spans="1:23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20</v>
      </c>
      <c r="H25" t="s">
        <v>21</v>
      </c>
      <c r="I25" t="s">
        <v>24</v>
      </c>
      <c r="J25" t="s">
        <v>148</v>
      </c>
      <c r="K25" t="s">
        <v>23</v>
      </c>
      <c r="L25">
        <v>511</v>
      </c>
      <c r="M25">
        <v>9.1580899000000002</v>
      </c>
      <c r="N25">
        <v>70.899515165016282</v>
      </c>
      <c r="O25">
        <v>-0.51134468671030042</v>
      </c>
      <c r="P25" s="1" t="str">
        <f>HYPERLINK(".\sm_car_251026_0925\sm_car_251026_0925_024_Ca064TrN_MaLSS_DrSt_ode23t.png","figure")</f>
        <v>figure</v>
      </c>
      <c r="Q25" t="s">
        <v>15</v>
      </c>
      <c r="T25">
        <f>L25-'2022a_250915_0045'!L25</f>
        <v>0</v>
      </c>
      <c r="U25" s="11">
        <f>T25/'2022a_250915_0045'!L25</f>
        <v>0</v>
      </c>
      <c r="V25" s="10">
        <f>M25-'2022a_250915_0045'!M25</f>
        <v>0.98653990000000036</v>
      </c>
      <c r="W25" s="11">
        <f>V25/'2022a_250915_0045'!M25</f>
        <v>0.12072861329857865</v>
      </c>
    </row>
    <row r="26" spans="1:23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148</v>
      </c>
      <c r="K26" t="s">
        <v>23</v>
      </c>
      <c r="L26">
        <v>420</v>
      </c>
      <c r="M26">
        <v>9.7910438000000006</v>
      </c>
      <c r="N26">
        <v>230.12134023461186</v>
      </c>
      <c r="O26">
        <v>-2.4421235909832032E-2</v>
      </c>
      <c r="P26" s="1" t="str">
        <f>HYPERLINK(".\sm_car_251026_0925\sm_car_251026_0925_025_Ca080TrN_MaWOT_DrSt_ode23t.png","figure")</f>
        <v>figure</v>
      </c>
      <c r="Q26" t="s">
        <v>15</v>
      </c>
      <c r="T26">
        <f>L26-'2022a_250915_0045'!L26</f>
        <v>0</v>
      </c>
      <c r="U26" s="11">
        <f>T26/'2022a_250915_0045'!L26</f>
        <v>0</v>
      </c>
      <c r="V26" s="10">
        <f>M26-'2022a_250915_0045'!M26</f>
        <v>1.2043922000000009</v>
      </c>
      <c r="W26" s="11">
        <f>V26/'2022a_250915_0045'!M26</f>
        <v>0.14026331288438451</v>
      </c>
    </row>
    <row r="27" spans="1:23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20</v>
      </c>
      <c r="H27" t="s">
        <v>21</v>
      </c>
      <c r="I27" t="s">
        <v>24</v>
      </c>
      <c r="J27" t="s">
        <v>148</v>
      </c>
      <c r="K27" t="s">
        <v>23</v>
      </c>
      <c r="L27">
        <v>518</v>
      </c>
      <c r="M27">
        <v>9.1895456000000006</v>
      </c>
      <c r="N27">
        <v>70.870706382377591</v>
      </c>
      <c r="O27">
        <v>-0.51777564224164296</v>
      </c>
      <c r="P27" s="1" t="str">
        <f>HYPERLINK(".\sm_car_251026_0925\sm_car_251026_0925_026_Ca080TrN_MaLSS_DrSt_ode23t.png","figure")</f>
        <v>figure</v>
      </c>
      <c r="Q27" t="s">
        <v>15</v>
      </c>
      <c r="T27">
        <f>L27-'2022a_250915_0045'!L27</f>
        <v>0</v>
      </c>
      <c r="U27" s="11">
        <f>T27/'2022a_250915_0045'!L27</f>
        <v>0</v>
      </c>
      <c r="V27" s="10">
        <f>M27-'2022a_250915_0045'!M27</f>
        <v>0.74852020000000152</v>
      </c>
      <c r="W27" s="11">
        <f>V27/'2022a_250915_0045'!M27</f>
        <v>8.8676453929400753E-2</v>
      </c>
    </row>
    <row r="28" spans="1:23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148</v>
      </c>
      <c r="K28" t="s">
        <v>23</v>
      </c>
      <c r="L28">
        <v>417</v>
      </c>
      <c r="M28">
        <v>7.7748191999999996</v>
      </c>
      <c r="N28">
        <v>231.7985002108002</v>
      </c>
      <c r="O28">
        <v>1.6875847262352944E-2</v>
      </c>
      <c r="P28" s="1" t="str">
        <f>HYPERLINK(".\sm_car_251026_0925\sm_car_251026_0925_027_Ca096TrN_MaWOT_DrSt_ode23t.png","figure")</f>
        <v>figure</v>
      </c>
      <c r="Q28" t="s">
        <v>15</v>
      </c>
      <c r="T28">
        <f>L28-'2022a_250915_0045'!L28</f>
        <v>11</v>
      </c>
      <c r="U28" s="11">
        <f>T28/'2022a_250915_0045'!L28</f>
        <v>2.7093596059113302E-2</v>
      </c>
      <c r="V28" s="10">
        <f>M28-'2022a_250915_0045'!M28</f>
        <v>2.0180568999999995</v>
      </c>
      <c r="W28" s="11">
        <f>V28/'2022a_250915_0045'!M28</f>
        <v>0.35055414742415186</v>
      </c>
    </row>
    <row r="29" spans="1:23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20</v>
      </c>
      <c r="H29" t="s">
        <v>21</v>
      </c>
      <c r="I29" t="s">
        <v>24</v>
      </c>
      <c r="J29" t="s">
        <v>148</v>
      </c>
      <c r="K29" t="s">
        <v>23</v>
      </c>
      <c r="L29">
        <v>514</v>
      </c>
      <c r="M29">
        <v>7.3218128</v>
      </c>
      <c r="N29">
        <v>71.375005676338304</v>
      </c>
      <c r="O29">
        <v>-0.52112412540679565</v>
      </c>
      <c r="P29" s="1" t="str">
        <f>HYPERLINK(".\sm_car_251026_0925\sm_car_251026_0925_028_Ca096TrN_MaLSS_DrSt_ode23t.png","figure")</f>
        <v>figure</v>
      </c>
      <c r="Q29" t="s">
        <v>15</v>
      </c>
      <c r="T29">
        <f>L29-'2022a_250915_0045'!L29</f>
        <v>0</v>
      </c>
      <c r="U29" s="11">
        <f>T29/'2022a_250915_0045'!L29</f>
        <v>0</v>
      </c>
      <c r="V29" s="10">
        <f>M29-'2022a_250915_0045'!M29</f>
        <v>0.73763320000000032</v>
      </c>
      <c r="W29" s="11">
        <f>V29/'2022a_250915_0045'!M29</f>
        <v>0.11203114811752711</v>
      </c>
    </row>
    <row r="30" spans="1:23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 t="s">
        <v>148</v>
      </c>
      <c r="K30" t="s">
        <v>23</v>
      </c>
      <c r="L30">
        <v>378</v>
      </c>
      <c r="M30">
        <v>3.1201889999999999</v>
      </c>
      <c r="N30">
        <v>242.70668965493786</v>
      </c>
      <c r="O30">
        <v>0.23571762531575524</v>
      </c>
      <c r="P30" s="1" t="str">
        <f>HYPERLINK(".\sm_car_251026_0925\sm_car_251026_0925_029_Ca112TrN_MaWOT_DrSt_ode23t.png","figure")</f>
        <v>figure</v>
      </c>
      <c r="Q30" t="s">
        <v>15</v>
      </c>
      <c r="T30">
        <f>L30-'2022a_250915_0045'!L30</f>
        <v>7</v>
      </c>
      <c r="U30" s="11">
        <f>T30/'2022a_250915_0045'!L30</f>
        <v>1.8867924528301886E-2</v>
      </c>
      <c r="V30" s="10">
        <f>M30-'2022a_250915_0045'!M30</f>
        <v>0.43903649999999983</v>
      </c>
      <c r="W30" s="11">
        <f>V30/'2022a_250915_0045'!M30</f>
        <v>0.16374917129853667</v>
      </c>
    </row>
    <row r="31" spans="1:23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20</v>
      </c>
      <c r="H31" t="s">
        <v>21</v>
      </c>
      <c r="I31" t="s">
        <v>24</v>
      </c>
      <c r="J31" t="s">
        <v>148</v>
      </c>
      <c r="K31" t="s">
        <v>23</v>
      </c>
      <c r="L31">
        <v>484</v>
      </c>
      <c r="M31">
        <v>2.8376929</v>
      </c>
      <c r="N31">
        <v>74.671083334168515</v>
      </c>
      <c r="O31">
        <v>-0.3369934257717313</v>
      </c>
      <c r="P31" s="1" t="str">
        <f>HYPERLINK(".\sm_car_251026_0925\sm_car_251026_0925_030_Ca112TrN_MaLSS_DrSt_ode23t.png","figure")</f>
        <v>figure</v>
      </c>
      <c r="Q31" t="s">
        <v>15</v>
      </c>
      <c r="T31">
        <f>L31-'2022a_250915_0045'!L31</f>
        <v>0</v>
      </c>
      <c r="U31" s="11">
        <f>T31/'2022a_250915_0045'!L31</f>
        <v>0</v>
      </c>
      <c r="V31" s="10">
        <f>M31-'2022a_250915_0045'!M31</f>
        <v>-4.2749600000000054E-2</v>
      </c>
      <c r="W31" s="11">
        <f>V31/'2022a_250915_0045'!M31</f>
        <v>-1.4841330802472208E-2</v>
      </c>
    </row>
    <row r="32" spans="1:23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25</v>
      </c>
      <c r="H32" t="s">
        <v>21</v>
      </c>
      <c r="I32" t="s">
        <v>22</v>
      </c>
      <c r="J32" t="s">
        <v>148</v>
      </c>
      <c r="K32" t="s">
        <v>23</v>
      </c>
      <c r="L32">
        <v>359</v>
      </c>
      <c r="M32">
        <v>2.6534977999999998</v>
      </c>
      <c r="N32">
        <v>241.58045438747075</v>
      </c>
      <c r="O32">
        <v>0.23244622126603201</v>
      </c>
      <c r="P32" s="1" t="str">
        <f>HYPERLINK(".\sm_car_251026_0925\sm_car_251026_0925_031_Ca113TrN_MaWOT_DrSt_ode23t.png","figure")</f>
        <v>figure</v>
      </c>
      <c r="Q32" t="s">
        <v>15</v>
      </c>
      <c r="T32">
        <f>L32-'2022a_250915_0045'!L32</f>
        <v>-17</v>
      </c>
      <c r="U32" s="11">
        <f>T32/'2022a_250915_0045'!L32</f>
        <v>-4.5212765957446811E-2</v>
      </c>
      <c r="V32" s="10">
        <f>M32-'2022a_250915_0045'!M32</f>
        <v>-0.18171400000000038</v>
      </c>
      <c r="W32" s="11">
        <f>V32/'2022a_250915_0045'!M32</f>
        <v>-6.4091860791493732E-2</v>
      </c>
    </row>
    <row r="33" spans="1:23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25</v>
      </c>
      <c r="H33" t="s">
        <v>21</v>
      </c>
      <c r="I33" t="s">
        <v>24</v>
      </c>
      <c r="J33" t="s">
        <v>148</v>
      </c>
      <c r="K33" t="s">
        <v>23</v>
      </c>
      <c r="L33">
        <v>472</v>
      </c>
      <c r="M33">
        <v>3.1893221</v>
      </c>
      <c r="N33">
        <v>74.340532747993649</v>
      </c>
      <c r="O33">
        <v>-0.33335204490696801</v>
      </c>
      <c r="P33" s="1" t="str">
        <f>HYPERLINK(".\sm_car_251026_0925\sm_car_251026_0925_032_Ca113TrN_MaLSS_DrSt_ode23t.png","figure")</f>
        <v>figure</v>
      </c>
      <c r="Q33" t="s">
        <v>15</v>
      </c>
      <c r="T33">
        <f>L33-'2022a_250915_0045'!L33</f>
        <v>-12</v>
      </c>
      <c r="U33" s="11">
        <f>T33/'2022a_250915_0045'!L33</f>
        <v>-2.4793388429752067E-2</v>
      </c>
      <c r="V33" s="10">
        <f>M33-'2022a_250915_0045'!M33</f>
        <v>7.1688100000000254E-2</v>
      </c>
      <c r="W33" s="11">
        <f>V33/'2022a_250915_0045'!M33</f>
        <v>2.299439254254998E-2</v>
      </c>
    </row>
    <row r="34" spans="1:23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26</v>
      </c>
      <c r="H34" t="s">
        <v>21</v>
      </c>
      <c r="I34" t="s">
        <v>22</v>
      </c>
      <c r="J34" t="s">
        <v>148</v>
      </c>
      <c r="K34" t="s">
        <v>23</v>
      </c>
      <c r="L34">
        <v>367</v>
      </c>
      <c r="M34">
        <v>3.0668706999999999</v>
      </c>
      <c r="N34">
        <v>241.21906205293018</v>
      </c>
      <c r="O34">
        <v>0.23060173688141952</v>
      </c>
      <c r="P34" s="1" t="str">
        <f>HYPERLINK(".\sm_car_251026_0925\sm_car_251026_0925_033_Ca114TrN_MaWOT_DrSt_ode23t.png","figure")</f>
        <v>figure</v>
      </c>
      <c r="Q34" t="s">
        <v>15</v>
      </c>
      <c r="T34">
        <f>L34-'2022a_250915_0045'!L34</f>
        <v>2</v>
      </c>
      <c r="U34" s="11">
        <f>T34/'2022a_250915_0045'!L34</f>
        <v>5.4794520547945206E-3</v>
      </c>
      <c r="V34" s="10">
        <f>M34-'2022a_250915_0045'!M34</f>
        <v>-2.7623300000000128E-2</v>
      </c>
      <c r="W34" s="11">
        <f>V34/'2022a_250915_0045'!M34</f>
        <v>-8.9265967230830398E-3</v>
      </c>
    </row>
    <row r="35" spans="1:23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26</v>
      </c>
      <c r="H35" t="s">
        <v>21</v>
      </c>
      <c r="I35" t="s">
        <v>24</v>
      </c>
      <c r="J35" t="s">
        <v>148</v>
      </c>
      <c r="K35" t="s">
        <v>23</v>
      </c>
      <c r="L35">
        <v>489</v>
      </c>
      <c r="M35">
        <v>3.3834689999999998</v>
      </c>
      <c r="N35">
        <v>74.359982532961837</v>
      </c>
      <c r="O35">
        <v>-0.33349477973980463</v>
      </c>
      <c r="P35" s="1" t="str">
        <f>HYPERLINK(".\sm_car_251026_0925\sm_car_251026_0925_034_Ca114TrN_MaLSS_DrSt_ode23t.png","figure")</f>
        <v>figure</v>
      </c>
      <c r="Q35" t="s">
        <v>15</v>
      </c>
      <c r="T35">
        <f>L35-'2022a_250915_0045'!L35</f>
        <v>15</v>
      </c>
      <c r="U35" s="11">
        <f>T35/'2022a_250915_0045'!L35</f>
        <v>3.1645569620253167E-2</v>
      </c>
      <c r="V35" s="10">
        <f>M35-'2022a_250915_0045'!M35</f>
        <v>-9.8280000000000367E-2</v>
      </c>
      <c r="W35" s="11">
        <f>V35/'2022a_250915_0045'!M35</f>
        <v>-2.8227192712628153E-2</v>
      </c>
    </row>
    <row r="36" spans="1:23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27</v>
      </c>
      <c r="H36" t="s">
        <v>21</v>
      </c>
      <c r="I36" t="s">
        <v>22</v>
      </c>
      <c r="J36" t="s">
        <v>148</v>
      </c>
      <c r="K36" t="s">
        <v>23</v>
      </c>
      <c r="L36">
        <v>409</v>
      </c>
      <c r="M36">
        <v>3.2773650000000001</v>
      </c>
      <c r="N36">
        <v>241.01435356619845</v>
      </c>
      <c r="O36">
        <v>0.22923165297309384</v>
      </c>
      <c r="P36" s="1" t="str">
        <f>HYPERLINK(".\sm_car_251026_0925\sm_car_251026_0925_035_Ca115TrN_MaWOT_DrSt_ode23t.png","figure")</f>
        <v>figure</v>
      </c>
      <c r="Q36" t="s">
        <v>15</v>
      </c>
      <c r="T36">
        <f>L36-'2022a_250915_0045'!L36</f>
        <v>7</v>
      </c>
      <c r="U36" s="11">
        <f>T36/'2022a_250915_0045'!L36</f>
        <v>1.7412935323383085E-2</v>
      </c>
      <c r="V36" s="10">
        <f>M36-'2022a_250915_0045'!M36</f>
        <v>-3.7503199999999737E-2</v>
      </c>
      <c r="W36" s="11">
        <f>V36/'2022a_250915_0045'!M36</f>
        <v>-1.1313632318775069E-2</v>
      </c>
    </row>
    <row r="37" spans="1:23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27</v>
      </c>
      <c r="H37" t="s">
        <v>21</v>
      </c>
      <c r="I37" t="s">
        <v>24</v>
      </c>
      <c r="J37" t="s">
        <v>148</v>
      </c>
      <c r="K37" t="s">
        <v>23</v>
      </c>
      <c r="L37">
        <v>502</v>
      </c>
      <c r="M37">
        <v>3.5220345000000002</v>
      </c>
      <c r="N37">
        <v>74.217571871120839</v>
      </c>
      <c r="O37">
        <v>-0.33283752277925088</v>
      </c>
      <c r="P37" s="1" t="str">
        <f>HYPERLINK(".\sm_car_251026_0925\sm_car_251026_0925_036_Ca115TrN_MaLSS_DrSt_ode23t.png","figure")</f>
        <v>figure</v>
      </c>
      <c r="Q37" t="s">
        <v>15</v>
      </c>
      <c r="T37">
        <f>L37-'2022a_250915_0045'!L37</f>
        <v>-3</v>
      </c>
      <c r="U37" s="11">
        <f>T37/'2022a_250915_0045'!L37</f>
        <v>-5.9405940594059407E-3</v>
      </c>
      <c r="V37" s="10">
        <f>M37-'2022a_250915_0045'!M37</f>
        <v>0.10514679999999998</v>
      </c>
      <c r="W37" s="11">
        <f>V37/'2022a_250915_0045'!M37</f>
        <v>3.0772682403346175E-2</v>
      </c>
    </row>
    <row r="38" spans="1:23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20</v>
      </c>
      <c r="H38" t="s">
        <v>21</v>
      </c>
      <c r="I38" t="s">
        <v>22</v>
      </c>
      <c r="J38" t="s">
        <v>148</v>
      </c>
      <c r="K38" t="s">
        <v>23</v>
      </c>
      <c r="L38">
        <v>917</v>
      </c>
      <c r="M38">
        <v>4.2679159000000002</v>
      </c>
      <c r="N38">
        <v>242.55284377109695</v>
      </c>
      <c r="O38">
        <v>0.23659137482604095</v>
      </c>
      <c r="P38" s="1" t="str">
        <f>HYPERLINK(".\sm_car_251026_0925\sm_car_251026_0925_037_Ca116TrN_MaWOT_DrSt_ode23t.png","figure")</f>
        <v>figure</v>
      </c>
      <c r="Q38" t="s">
        <v>15</v>
      </c>
      <c r="T38">
        <f>L38-'2022a_250915_0045'!L38</f>
        <v>0</v>
      </c>
      <c r="U38" s="11">
        <f>T38/'2022a_250915_0045'!L38</f>
        <v>0</v>
      </c>
      <c r="V38" s="10">
        <f>M38-'2022a_250915_0045'!M38</f>
        <v>-0.19887809999999995</v>
      </c>
      <c r="W38" s="11">
        <f>V38/'2022a_250915_0045'!M38</f>
        <v>-4.4523678504090392E-2</v>
      </c>
    </row>
    <row r="39" spans="1:23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20</v>
      </c>
      <c r="H39" t="s">
        <v>21</v>
      </c>
      <c r="I39" t="s">
        <v>24</v>
      </c>
      <c r="J39" t="s">
        <v>148</v>
      </c>
      <c r="K39" t="s">
        <v>23</v>
      </c>
      <c r="L39">
        <v>1057</v>
      </c>
      <c r="M39">
        <v>5.0051169</v>
      </c>
      <c r="N39">
        <v>74.662659723869751</v>
      </c>
      <c r="O39">
        <v>-0.3401055901651473</v>
      </c>
      <c r="P39" s="1" t="str">
        <f>HYPERLINK(".\sm_car_251026_0925\sm_car_251026_0925_038_Ca116TrN_MaLSS_DrSt_ode23t.png","figure")</f>
        <v>figure</v>
      </c>
      <c r="Q39" t="s">
        <v>15</v>
      </c>
      <c r="T39">
        <f>L39-'2022a_250915_0045'!L39</f>
        <v>0</v>
      </c>
      <c r="U39" s="11">
        <f>T39/'2022a_250915_0045'!L39</f>
        <v>0</v>
      </c>
      <c r="V39" s="10">
        <f>M39-'2022a_250915_0045'!M39</f>
        <v>-0.22988250000000043</v>
      </c>
      <c r="W39" s="11">
        <f>V39/'2022a_250915_0045'!M39</f>
        <v>-4.3912612482820995E-2</v>
      </c>
    </row>
    <row r="40" spans="1:23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25</v>
      </c>
      <c r="H40" t="s">
        <v>21</v>
      </c>
      <c r="I40" t="s">
        <v>22</v>
      </c>
      <c r="J40" t="s">
        <v>148</v>
      </c>
      <c r="K40" t="s">
        <v>23</v>
      </c>
      <c r="L40">
        <v>976</v>
      </c>
      <c r="M40">
        <v>5.3379976999999998</v>
      </c>
      <c r="N40">
        <v>241.52386708211642</v>
      </c>
      <c r="O40">
        <v>0.23290662762157971</v>
      </c>
      <c r="P40" s="1" t="str">
        <f>HYPERLINK(".\sm_car_251026_0925\sm_car_251026_0925_039_Ca117TrN_MaWOT_DrSt_ode23t.png","figure")</f>
        <v>figure</v>
      </c>
      <c r="Q40" t="s">
        <v>15</v>
      </c>
      <c r="T40">
        <f>L40-'2022a_250915_0045'!L40</f>
        <v>13</v>
      </c>
      <c r="U40" s="11">
        <f>T40/'2022a_250915_0045'!L40</f>
        <v>1.3499480789200415E-2</v>
      </c>
      <c r="V40" s="10">
        <f>M40-'2022a_250915_0045'!M40</f>
        <v>0.37586329999999979</v>
      </c>
      <c r="W40" s="11">
        <f>V40/'2022a_250915_0045'!M40</f>
        <v>7.5746295787554596E-2</v>
      </c>
    </row>
    <row r="41" spans="1:23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25</v>
      </c>
      <c r="H41" t="s">
        <v>21</v>
      </c>
      <c r="I41" t="s">
        <v>24</v>
      </c>
      <c r="J41" t="s">
        <v>148</v>
      </c>
      <c r="K41" t="s">
        <v>23</v>
      </c>
      <c r="L41">
        <v>1079</v>
      </c>
      <c r="M41">
        <v>5.8486355999999997</v>
      </c>
      <c r="N41">
        <v>74.339236723579447</v>
      </c>
      <c r="O41">
        <v>-0.3364896403856712</v>
      </c>
      <c r="P41" s="1" t="str">
        <f>HYPERLINK(".\sm_car_251026_0925\sm_car_251026_0925_040_Ca117TrN_MaLSS_DrSt_ode23t.png","figure")</f>
        <v>figure</v>
      </c>
      <c r="Q41" t="s">
        <v>15</v>
      </c>
      <c r="T41">
        <f>L41-'2022a_250915_0045'!L41</f>
        <v>16</v>
      </c>
      <c r="U41" s="11">
        <f>T41/'2022a_250915_0045'!L41</f>
        <v>1.5051740357478834E-2</v>
      </c>
      <c r="V41" s="10">
        <f>M41-'2022a_250915_0045'!M41</f>
        <v>0.11964689999999933</v>
      </c>
      <c r="W41" s="11">
        <f>V41/'2022a_250915_0045'!M41</f>
        <v>2.0884471285481734E-2</v>
      </c>
    </row>
    <row r="42" spans="1:23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26</v>
      </c>
      <c r="H42" t="s">
        <v>21</v>
      </c>
      <c r="I42" t="s">
        <v>22</v>
      </c>
      <c r="J42" t="s">
        <v>148</v>
      </c>
      <c r="K42" t="s">
        <v>23</v>
      </c>
      <c r="L42">
        <v>958</v>
      </c>
      <c r="M42">
        <v>5.5519866999999996</v>
      </c>
      <c r="N42">
        <v>241.51342646612281</v>
      </c>
      <c r="O42">
        <v>0.23310323744065128</v>
      </c>
      <c r="P42" s="1" t="str">
        <f>HYPERLINK(".\sm_car_251026_0925\sm_car_251026_0925_041_Ca118TrN_MaWOT_DrSt_ode23t.png","figure")</f>
        <v>figure</v>
      </c>
      <c r="Q42" t="s">
        <v>15</v>
      </c>
      <c r="T42">
        <f>L42-'2022a_250915_0045'!L42</f>
        <v>11</v>
      </c>
      <c r="U42" s="11">
        <f>T42/'2022a_250915_0045'!L42</f>
        <v>1.1615628299894404E-2</v>
      </c>
      <c r="V42" s="10">
        <f>M42-'2022a_250915_0045'!M42</f>
        <v>0.33770599999999984</v>
      </c>
      <c r="W42" s="11">
        <f>V42/'2022a_250915_0045'!M42</f>
        <v>6.4765596528011976E-2</v>
      </c>
    </row>
    <row r="43" spans="1:23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26</v>
      </c>
      <c r="H43" t="s">
        <v>21</v>
      </c>
      <c r="I43" t="s">
        <v>24</v>
      </c>
      <c r="J43" t="s">
        <v>148</v>
      </c>
      <c r="K43" t="s">
        <v>23</v>
      </c>
      <c r="L43">
        <v>1083</v>
      </c>
      <c r="M43">
        <v>5.7084931000000001</v>
      </c>
      <c r="N43">
        <v>74.336374802821695</v>
      </c>
      <c r="O43">
        <v>-0.33746299436020472</v>
      </c>
      <c r="P43" s="1" t="str">
        <f>HYPERLINK(".\sm_car_251026_0925\sm_car_251026_0925_042_Ca118TrN_MaLSS_DrSt_ode23t.png","figure")</f>
        <v>figure</v>
      </c>
      <c r="Q43" t="s">
        <v>15</v>
      </c>
      <c r="T43">
        <f>L43-'2022a_250915_0045'!L43</f>
        <v>0</v>
      </c>
      <c r="U43" s="11">
        <f>T43/'2022a_250915_0045'!L43</f>
        <v>0</v>
      </c>
      <c r="V43" s="10">
        <f>M43-'2022a_250915_0045'!M43</f>
        <v>-0.66060729999999968</v>
      </c>
      <c r="W43" s="11">
        <f>V43/'2022a_250915_0045'!M43</f>
        <v>-0.10372066045622388</v>
      </c>
    </row>
    <row r="44" spans="1:23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27</v>
      </c>
      <c r="H44" t="s">
        <v>21</v>
      </c>
      <c r="I44" t="s">
        <v>22</v>
      </c>
      <c r="J44" t="s">
        <v>148</v>
      </c>
      <c r="K44" t="s">
        <v>23</v>
      </c>
      <c r="L44">
        <v>1003</v>
      </c>
      <c r="M44">
        <v>5.2725097999999999</v>
      </c>
      <c r="N44">
        <v>240.96538958834398</v>
      </c>
      <c r="O44">
        <v>0.2326053494703996</v>
      </c>
      <c r="P44" s="1" t="str">
        <f>HYPERLINK(".\sm_car_251026_0925\sm_car_251026_0925_043_Ca119TrN_MaWOT_DrSt_ode23t.png","figure")</f>
        <v>figure</v>
      </c>
      <c r="Q44" t="s">
        <v>15</v>
      </c>
      <c r="T44">
        <f>L44-'2022a_250915_0045'!L44</f>
        <v>7</v>
      </c>
      <c r="U44" s="11">
        <f>T44/'2022a_250915_0045'!L44</f>
        <v>7.0281124497991966E-3</v>
      </c>
      <c r="V44" s="10">
        <f>M44-'2022a_250915_0045'!M44</f>
        <v>-0.30710179999999987</v>
      </c>
      <c r="W44" s="11">
        <f>V44/'2022a_250915_0045'!M44</f>
        <v>-5.5039995973913292E-2</v>
      </c>
    </row>
    <row r="45" spans="1:23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27</v>
      </c>
      <c r="H45" t="s">
        <v>21</v>
      </c>
      <c r="I45" t="s">
        <v>24</v>
      </c>
      <c r="J45" t="s">
        <v>148</v>
      </c>
      <c r="K45" t="s">
        <v>23</v>
      </c>
      <c r="L45">
        <v>1107</v>
      </c>
      <c r="M45">
        <v>5.8611177000000003</v>
      </c>
      <c r="N45">
        <v>74.192358410945459</v>
      </c>
      <c r="O45">
        <v>-0.33292146249429577</v>
      </c>
      <c r="P45" s="1" t="str">
        <f>HYPERLINK(".\sm_car_251026_0925\sm_car_251026_0925_044_Ca119TrN_MaLSS_DrSt_ode23t.png","figure")</f>
        <v>figure</v>
      </c>
      <c r="Q45" t="s">
        <v>15</v>
      </c>
      <c r="T45">
        <f>L45-'2022a_250915_0045'!L45</f>
        <v>7</v>
      </c>
      <c r="U45" s="11">
        <f>T45/'2022a_250915_0045'!L45</f>
        <v>6.3636363636363638E-3</v>
      </c>
      <c r="V45" s="10">
        <f>M45-'2022a_250915_0045'!M45</f>
        <v>-0.23280369999999984</v>
      </c>
      <c r="W45" s="11">
        <f>V45/'2022a_250915_0045'!M45</f>
        <v>-3.8202609570907792E-2</v>
      </c>
    </row>
    <row r="46" spans="1:23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148</v>
      </c>
      <c r="K46" t="s">
        <v>23</v>
      </c>
      <c r="L46">
        <v>321</v>
      </c>
      <c r="M46">
        <v>5.4655332999999997</v>
      </c>
      <c r="N46">
        <v>98.918539975820963</v>
      </c>
      <c r="O46">
        <v>-1.6701988756554535E-2</v>
      </c>
      <c r="P46" s="1" t="str">
        <f>HYPERLINK(".\sm_car_251026_0925\sm_car_251026_0925_045_Ca128TrN_MaWOT_DrSt_ode23t.png","figure")</f>
        <v>figure</v>
      </c>
      <c r="Q46" t="s">
        <v>15</v>
      </c>
      <c r="T46">
        <f>L46-'2022a_250915_0045'!L46</f>
        <v>6</v>
      </c>
      <c r="U46" s="11">
        <f>T46/'2022a_250915_0045'!L46</f>
        <v>1.9047619047619049E-2</v>
      </c>
      <c r="V46" s="10">
        <f>M46-'2022a_250915_0045'!M46</f>
        <v>2.7109999999996859E-3</v>
      </c>
      <c r="W46" s="11">
        <f>V46/'2022a_250915_0045'!M46</f>
        <v>4.9626362548891364E-4</v>
      </c>
    </row>
    <row r="47" spans="1:23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148</v>
      </c>
      <c r="K47" t="s">
        <v>23</v>
      </c>
      <c r="L47">
        <v>455</v>
      </c>
      <c r="M47">
        <v>6.5531433999999997</v>
      </c>
      <c r="N47">
        <v>36.705114013660321</v>
      </c>
      <c r="O47">
        <v>-0.12754974092840965</v>
      </c>
      <c r="P47" s="1" t="str">
        <f>HYPERLINK(".\sm_car_251026_0925\sm_car_251026_0925_046_Ca128TrN_MaLSS_DrSt_ode23t.png","figure")</f>
        <v>figure</v>
      </c>
      <c r="Q47" t="s">
        <v>15</v>
      </c>
      <c r="T47">
        <f>L47-'2022a_250915_0045'!L47</f>
        <v>10</v>
      </c>
      <c r="U47" s="11">
        <f>T47/'2022a_250915_0045'!L47</f>
        <v>2.247191011235955E-2</v>
      </c>
      <c r="V47" s="10">
        <f>M47-'2022a_250915_0045'!M47</f>
        <v>-0.55092660000000038</v>
      </c>
      <c r="W47" s="11">
        <f>V47/'2022a_250915_0045'!M47</f>
        <v>-7.7550840574487634E-2</v>
      </c>
    </row>
    <row r="48" spans="1:23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148</v>
      </c>
      <c r="K48" t="s">
        <v>23</v>
      </c>
      <c r="L48">
        <v>342</v>
      </c>
      <c r="M48">
        <v>6.2087051999999998</v>
      </c>
      <c r="N48">
        <v>228.49534618032985</v>
      </c>
      <c r="O48">
        <v>5.1920132838771137E-2</v>
      </c>
      <c r="P48" s="1" t="str">
        <f>HYPERLINK(".\sm_car_251026_0925\sm_car_251026_0925_047_Ca129TrN_MaWOT_DrSt_ode23t.png","figure")</f>
        <v>figure</v>
      </c>
      <c r="Q48" t="s">
        <v>15</v>
      </c>
      <c r="T48">
        <f>L48-'2022a_250915_0045'!L48</f>
        <v>-4</v>
      </c>
      <c r="U48" s="11">
        <f>T48/'2022a_250915_0045'!L48</f>
        <v>-1.1560693641618497E-2</v>
      </c>
      <c r="V48" s="10">
        <f>M48-'2022a_250915_0045'!M48</f>
        <v>-0.79664540000000006</v>
      </c>
      <c r="W48" s="11">
        <f>V48/'2022a_250915_0045'!M48</f>
        <v>-0.11371956173042932</v>
      </c>
    </row>
    <row r="49" spans="1:23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148</v>
      </c>
      <c r="K49" t="s">
        <v>23</v>
      </c>
      <c r="L49">
        <v>488</v>
      </c>
      <c r="M49">
        <v>7.8058360000000002</v>
      </c>
      <c r="N49">
        <v>70.40358081763631</v>
      </c>
      <c r="O49">
        <v>-0.52176681021596838</v>
      </c>
      <c r="P49" s="1" t="str">
        <f>HYPERLINK(".\sm_car_251026_0925\sm_car_251026_0925_048_Ca129TrN_MaLSS_DrSt_ode23t.png","figure")</f>
        <v>figure</v>
      </c>
      <c r="Q49" t="s">
        <v>15</v>
      </c>
      <c r="T49">
        <f>L49-'2022a_250915_0045'!L49</f>
        <v>14</v>
      </c>
      <c r="U49" s="11">
        <f>T49/'2022a_250915_0045'!L49</f>
        <v>2.9535864978902954E-2</v>
      </c>
      <c r="V49" s="10">
        <f>M49-'2022a_250915_0045'!M49</f>
        <v>0.16488640000000032</v>
      </c>
      <c r="W49" s="11">
        <f>V49/'2022a_250915_0045'!M49</f>
        <v>2.1579307367764908E-2</v>
      </c>
    </row>
    <row r="50" spans="1:23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148</v>
      </c>
      <c r="K50" t="s">
        <v>23</v>
      </c>
      <c r="L50">
        <v>793</v>
      </c>
      <c r="M50">
        <v>20.385369300000001</v>
      </c>
      <c r="N50">
        <v>215.46708702121191</v>
      </c>
      <c r="O50">
        <v>-1.5893520343721217</v>
      </c>
      <c r="P50" s="1" t="str">
        <f>HYPERLINK(".\sm_car_251026_0925\sm_car_251026_0925_049_Ca130TrN_MaWOT_DrSt_ode23t.png","figure")</f>
        <v>figure</v>
      </c>
      <c r="Q50" t="s">
        <v>15</v>
      </c>
      <c r="T50">
        <f>L50-'2022a_250915_0045'!L50</f>
        <v>0</v>
      </c>
      <c r="U50" s="11">
        <f>T50/'2022a_250915_0045'!L50</f>
        <v>0</v>
      </c>
      <c r="V50" s="10">
        <f>M50-'2022a_250915_0045'!M50</f>
        <v>-0.35080489999999998</v>
      </c>
      <c r="W50" s="11">
        <f>V50/'2022a_250915_0045'!M50</f>
        <v>-1.6917532453985654E-2</v>
      </c>
    </row>
    <row r="51" spans="1:23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148</v>
      </c>
      <c r="K51" t="s">
        <v>23</v>
      </c>
      <c r="L51">
        <v>759</v>
      </c>
      <c r="M51">
        <v>17.670325200000001</v>
      </c>
      <c r="N51">
        <v>68.402844217850088</v>
      </c>
      <c r="O51">
        <v>-0.54009809441192047</v>
      </c>
      <c r="P51" s="1" t="str">
        <f>HYPERLINK(".\sm_car_251026_0925\sm_car_251026_0925_050_Ca130TrN_MaLSS_DrSt_ode23t.png","figure")</f>
        <v>figure</v>
      </c>
      <c r="Q51" t="s">
        <v>15</v>
      </c>
      <c r="T51">
        <f>L51-'2022a_250915_0045'!L51</f>
        <v>0</v>
      </c>
      <c r="U51" s="11">
        <f>T51/'2022a_250915_0045'!L51</f>
        <v>0</v>
      </c>
      <c r="V51" s="10">
        <f>M51-'2022a_250915_0045'!M51</f>
        <v>-0.85102380000000011</v>
      </c>
      <c r="W51" s="11">
        <f>V51/'2022a_250915_0045'!M51</f>
        <v>-4.5948262191917021E-2</v>
      </c>
    </row>
    <row r="52" spans="1:23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148</v>
      </c>
      <c r="K52" t="s">
        <v>23</v>
      </c>
      <c r="L52">
        <v>358</v>
      </c>
      <c r="M52">
        <v>4.3688912999999996</v>
      </c>
      <c r="N52">
        <v>229.07784202027287</v>
      </c>
      <c r="O52">
        <v>-4.4376244580902113E-2</v>
      </c>
      <c r="P52" s="1" t="str">
        <f>HYPERLINK(".\sm_car_251026_0925\sm_car_251026_0925_051_Ca131TrN_MaWOT_DrSt_ode23t.png","figure")</f>
        <v>figure</v>
      </c>
      <c r="Q52" t="s">
        <v>15</v>
      </c>
      <c r="T52">
        <f>L52-'2022a_250915_0045'!L52</f>
        <v>-2</v>
      </c>
      <c r="U52" s="11">
        <f>T52/'2022a_250915_0045'!L52</f>
        <v>-5.5555555555555558E-3</v>
      </c>
      <c r="V52" s="10">
        <f>M52-'2022a_250915_0045'!M52</f>
        <v>-7.3872900000000463E-2</v>
      </c>
      <c r="W52" s="11">
        <f>V52/'2022a_250915_0045'!M52</f>
        <v>-1.6627688680844341E-2</v>
      </c>
    </row>
    <row r="53" spans="1:23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148</v>
      </c>
      <c r="K53" t="s">
        <v>23</v>
      </c>
      <c r="L53">
        <v>497</v>
      </c>
      <c r="M53">
        <v>5.1851115999999999</v>
      </c>
      <c r="N53">
        <v>70.602295727083487</v>
      </c>
      <c r="O53">
        <v>-0.53477551511658483</v>
      </c>
      <c r="P53" s="1" t="str">
        <f>HYPERLINK(".\sm_car_251026_0925\sm_car_251026_0925_052_Ca131TrN_MaLSS_DrSt_ode23t.png","figure")</f>
        <v>figure</v>
      </c>
      <c r="Q53" t="s">
        <v>15</v>
      </c>
      <c r="T53">
        <f>L53-'2022a_250915_0045'!L53</f>
        <v>2</v>
      </c>
      <c r="U53" s="11">
        <f>T53/'2022a_250915_0045'!L53</f>
        <v>4.0404040404040404E-3</v>
      </c>
      <c r="V53" s="10">
        <f>M53-'2022a_250915_0045'!M53</f>
        <v>3.054549999999967E-2</v>
      </c>
      <c r="W53" s="11">
        <f>V53/'2022a_250915_0045'!M53</f>
        <v>5.9259110092699501E-3</v>
      </c>
    </row>
    <row r="54" spans="1:23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148</v>
      </c>
      <c r="K54" t="s">
        <v>23</v>
      </c>
      <c r="L54">
        <v>343</v>
      </c>
      <c r="M54">
        <v>3.9484121000000001</v>
      </c>
      <c r="N54">
        <v>229.21902443255587</v>
      </c>
      <c r="O54">
        <v>-9.8219191459657709E-3</v>
      </c>
      <c r="P54" s="1" t="str">
        <f>HYPERLINK(".\sm_car_251026_0925\sm_car_251026_0925_053_Ca132TrN_MaWOT_DrSt_ode23t.png","figure")</f>
        <v>figure</v>
      </c>
      <c r="Q54" t="s">
        <v>15</v>
      </c>
      <c r="T54">
        <f>L54-'2022a_250915_0045'!L54</f>
        <v>-2</v>
      </c>
      <c r="U54" s="11">
        <f>T54/'2022a_250915_0045'!L54</f>
        <v>-5.7971014492753624E-3</v>
      </c>
      <c r="V54" s="10">
        <f>M54-'2022a_250915_0045'!M54</f>
        <v>-2.9404699999999728E-2</v>
      </c>
      <c r="W54" s="11">
        <f>V54/'2022a_250915_0045'!M54</f>
        <v>-7.3921704991541416E-3</v>
      </c>
    </row>
    <row r="55" spans="1:23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148</v>
      </c>
      <c r="K55" t="s">
        <v>23</v>
      </c>
      <c r="L55">
        <v>483</v>
      </c>
      <c r="M55">
        <v>4.9090559999999996</v>
      </c>
      <c r="N55">
        <v>70.619870388250135</v>
      </c>
      <c r="O55">
        <v>-0.52604971626147068</v>
      </c>
      <c r="P55" s="1" t="str">
        <f>HYPERLINK(".\sm_car_251026_0925\sm_car_251026_0925_054_Ca132TrN_MaLSS_DrSt_ode23t.png","figure")</f>
        <v>figure</v>
      </c>
      <c r="Q55" t="s">
        <v>15</v>
      </c>
      <c r="T55">
        <f>L55-'2022a_250915_0045'!L55</f>
        <v>4</v>
      </c>
      <c r="U55" s="11">
        <f>T55/'2022a_250915_0045'!L55</f>
        <v>8.350730688935281E-3</v>
      </c>
      <c r="V55" s="10">
        <f>M55-'2022a_250915_0045'!M55</f>
        <v>-9.2925800000000613E-2</v>
      </c>
      <c r="W55" s="11">
        <f>V55/'2022a_250915_0045'!M55</f>
        <v>-1.8577796504577568E-2</v>
      </c>
    </row>
    <row r="56" spans="1:23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148</v>
      </c>
      <c r="K56" t="s">
        <v>23</v>
      </c>
      <c r="L56">
        <v>355</v>
      </c>
      <c r="M56">
        <v>4.2720462000000001</v>
      </c>
      <c r="N56">
        <v>228.68587160005899</v>
      </c>
      <c r="O56">
        <v>-1.6564431560954274E-2</v>
      </c>
      <c r="P56" s="1" t="str">
        <f>HYPERLINK(".\sm_car_251026_0925\sm_car_251026_0925_055_Ca133TrN_MaWOT_DrSt_ode23t.png","figure")</f>
        <v>figure</v>
      </c>
      <c r="Q56" t="s">
        <v>15</v>
      </c>
      <c r="T56">
        <f>L56-'2022a_250915_0045'!L56</f>
        <v>-1</v>
      </c>
      <c r="U56" s="11">
        <f>T56/'2022a_250915_0045'!L56</f>
        <v>-2.8089887640449437E-3</v>
      </c>
      <c r="V56" s="10">
        <f>M56-'2022a_250915_0045'!M56</f>
        <v>0.20100989999999985</v>
      </c>
      <c r="W56" s="11">
        <f>V56/'2022a_250915_0045'!M56</f>
        <v>4.9375609841651333E-2</v>
      </c>
    </row>
    <row r="57" spans="1:23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148</v>
      </c>
      <c r="K57" t="s">
        <v>23</v>
      </c>
      <c r="L57">
        <v>495</v>
      </c>
      <c r="M57">
        <v>5.0289251999999998</v>
      </c>
      <c r="N57">
        <v>70.608675387165434</v>
      </c>
      <c r="O57">
        <v>-0.52095909077436531</v>
      </c>
      <c r="P57" s="1" t="str">
        <f>HYPERLINK(".\sm_car_251026_0925\sm_car_251026_0925_056_Ca133TrN_MaLSS_DrSt_ode23t.png","figure")</f>
        <v>figure</v>
      </c>
      <c r="Q57" t="s">
        <v>15</v>
      </c>
      <c r="T57">
        <f>L57-'2022a_250915_0045'!L57</f>
        <v>4</v>
      </c>
      <c r="U57" s="11">
        <f>T57/'2022a_250915_0045'!L57</f>
        <v>8.1466395112016286E-3</v>
      </c>
      <c r="V57" s="10">
        <f>M57-'2022a_250915_0045'!M57</f>
        <v>-0.2154026</v>
      </c>
      <c r="W57" s="11">
        <f>V57/'2022a_250915_0045'!M57</f>
        <v>-4.107344319704806E-2</v>
      </c>
    </row>
    <row r="58" spans="1:23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148</v>
      </c>
      <c r="K58" t="s">
        <v>23</v>
      </c>
      <c r="L58">
        <v>347</v>
      </c>
      <c r="M58">
        <v>4.2077941000000001</v>
      </c>
      <c r="N58">
        <v>229.04170344533264</v>
      </c>
      <c r="O58">
        <v>-1.6172818853142909E-2</v>
      </c>
      <c r="P58" s="1" t="str">
        <f>HYPERLINK(".\sm_car_251026_0925\sm_car_251026_0925_057_Ca134TrN_MaWOT_DrSt_ode23t.png","figure")</f>
        <v>figure</v>
      </c>
      <c r="Q58" t="s">
        <v>15</v>
      </c>
      <c r="T58">
        <f>L58-'2022a_250915_0045'!L58</f>
        <v>0</v>
      </c>
      <c r="U58" s="11">
        <f>T58/'2022a_250915_0045'!L58</f>
        <v>0</v>
      </c>
      <c r="V58" s="10">
        <f>M58-'2022a_250915_0045'!M58</f>
        <v>-4.686810000000019E-2</v>
      </c>
      <c r="W58" s="11">
        <f>V58/'2022a_250915_0045'!M58</f>
        <v>-1.1015704137451897E-2</v>
      </c>
    </row>
    <row r="59" spans="1:23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148</v>
      </c>
      <c r="K59" t="s">
        <v>23</v>
      </c>
      <c r="L59">
        <v>488</v>
      </c>
      <c r="M59">
        <v>5.0631370999999996</v>
      </c>
      <c r="N59">
        <v>70.608894878210947</v>
      </c>
      <c r="O59">
        <v>-0.52438117126796746</v>
      </c>
      <c r="P59" s="1" t="str">
        <f>HYPERLINK(".\sm_car_251026_0925\sm_car_251026_0925_058_Ca134TrN_MaLSS_DrSt_ode23t.png","figure")</f>
        <v>figure</v>
      </c>
      <c r="Q59" t="s">
        <v>15</v>
      </c>
      <c r="T59">
        <f>L59-'2022a_250915_0045'!L59</f>
        <v>-7</v>
      </c>
      <c r="U59" s="11">
        <f>T59/'2022a_250915_0045'!L59</f>
        <v>-1.4141414141414142E-2</v>
      </c>
      <c r="V59" s="10">
        <f>M59-'2022a_250915_0045'!M59</f>
        <v>5.6547199999999798E-2</v>
      </c>
      <c r="W59" s="11">
        <f>V59/'2022a_250915_0045'!M59</f>
        <v>1.1294554003714145E-2</v>
      </c>
    </row>
    <row r="60" spans="1:23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148</v>
      </c>
      <c r="K60" t="s">
        <v>23</v>
      </c>
      <c r="L60">
        <v>345</v>
      </c>
      <c r="M60">
        <v>4.2942473999999997</v>
      </c>
      <c r="N60">
        <v>229.07087679299556</v>
      </c>
      <c r="O60">
        <v>-1.5344561112923913E-2</v>
      </c>
      <c r="P60" s="1" t="str">
        <f>HYPERLINK(".\sm_car_251026_0925\sm_car_251026_0925_059_Ca135TrN_MaWOT_DrSt_ode23t.png","figure")</f>
        <v>figure</v>
      </c>
      <c r="Q60" t="s">
        <v>15</v>
      </c>
      <c r="T60">
        <f>L60-'2022a_250915_0045'!L60</f>
        <v>-6</v>
      </c>
      <c r="U60" s="11">
        <f>T60/'2022a_250915_0045'!L60</f>
        <v>-1.7094017094017096E-2</v>
      </c>
      <c r="V60" s="10">
        <f>M60-'2022a_250915_0045'!M60</f>
        <v>-4.1835200000000405E-2</v>
      </c>
      <c r="W60" s="11">
        <f>V60/'2022a_250915_0045'!M60</f>
        <v>-9.6481556878091762E-3</v>
      </c>
    </row>
    <row r="61" spans="1:23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148</v>
      </c>
      <c r="K61" t="s">
        <v>23</v>
      </c>
      <c r="L61">
        <v>476</v>
      </c>
      <c r="M61">
        <v>4.9773974000000001</v>
      </c>
      <c r="N61">
        <v>70.60040048370648</v>
      </c>
      <c r="O61">
        <v>-0.53027101870204263</v>
      </c>
      <c r="P61" s="1" t="str">
        <f>HYPERLINK(".\sm_car_251026_0925\sm_car_251026_0925_060_Ca135TrN_MaLSS_DrSt_ode23t.png","figure")</f>
        <v>figure</v>
      </c>
      <c r="Q61" t="s">
        <v>15</v>
      </c>
      <c r="T61">
        <f>L61-'2022a_250915_0045'!L61</f>
        <v>-13</v>
      </c>
      <c r="U61" s="11">
        <f>T61/'2022a_250915_0045'!L61</f>
        <v>-2.6584867075664622E-2</v>
      </c>
      <c r="V61" s="10">
        <f>M61-'2022a_250915_0045'!M61</f>
        <v>-0.26159350000000003</v>
      </c>
      <c r="W61" s="11">
        <f>V61/'2022a_250915_0045'!M61</f>
        <v>-4.9932039393311416E-2</v>
      </c>
    </row>
    <row r="62" spans="1:23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148</v>
      </c>
      <c r="K62" t="s">
        <v>23</v>
      </c>
      <c r="L62">
        <v>392</v>
      </c>
      <c r="M62">
        <v>5.2856367000000004</v>
      </c>
      <c r="N62">
        <v>229.18127303553271</v>
      </c>
      <c r="O62">
        <v>5.0203433599056595E-2</v>
      </c>
      <c r="P62" s="1" t="str">
        <f>HYPERLINK(".\sm_car_251026_0925\sm_car_251026_0925_061_Ca136TrN_MaWOT_DrSt_ode23t.png","figure")</f>
        <v>figure</v>
      </c>
      <c r="Q62" t="s">
        <v>15</v>
      </c>
      <c r="T62">
        <f>L62-'2022a_250915_0045'!L62</f>
        <v>16</v>
      </c>
      <c r="U62" s="11">
        <f>T62/'2022a_250915_0045'!L62</f>
        <v>4.2553191489361701E-2</v>
      </c>
      <c r="V62" s="10">
        <f>M62-'2022a_250915_0045'!M62</f>
        <v>-8.5580399999999557E-2</v>
      </c>
      <c r="W62" s="11">
        <f>V62/'2022a_250915_0045'!M62</f>
        <v>-1.5933148559569406E-2</v>
      </c>
    </row>
    <row r="63" spans="1:23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148</v>
      </c>
      <c r="K63" t="s">
        <v>23</v>
      </c>
      <c r="L63">
        <v>522</v>
      </c>
      <c r="M63">
        <v>6.7562626999999997</v>
      </c>
      <c r="N63">
        <v>70.609619678820778</v>
      </c>
      <c r="O63">
        <v>-0.52239920949967211</v>
      </c>
      <c r="P63" s="1" t="str">
        <f>HYPERLINK(".\sm_car_251026_0925\sm_car_251026_0925_062_Ca136TrN_MaLSS_DrSt_ode23t.png","figure")</f>
        <v>figure</v>
      </c>
      <c r="Q63" t="s">
        <v>15</v>
      </c>
      <c r="T63">
        <f>L63-'2022a_250915_0045'!L63</f>
        <v>-7</v>
      </c>
      <c r="U63" s="11">
        <f>T63/'2022a_250915_0045'!L63</f>
        <v>-1.3232514177693762E-2</v>
      </c>
      <c r="V63" s="10">
        <f>M63-'2022a_250915_0045'!M63</f>
        <v>5.4111699999999985E-2</v>
      </c>
      <c r="W63" s="11">
        <f>V63/'2022a_250915_0045'!M63</f>
        <v>8.0737810890861728E-3</v>
      </c>
    </row>
    <row r="64" spans="1:23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148</v>
      </c>
      <c r="K64" t="s">
        <v>23</v>
      </c>
      <c r="L64">
        <v>328</v>
      </c>
      <c r="M64">
        <v>3.6224959000000001</v>
      </c>
      <c r="N64">
        <v>229.95650595380968</v>
      </c>
      <c r="O64">
        <v>0.13771493433258289</v>
      </c>
      <c r="P64" s="1" t="str">
        <f>HYPERLINK(".\sm_car_251026_0925\sm_car_251026_0925_063_Ca137TrN_MaWOT_DrSt_ode23t.png","figure")</f>
        <v>figure</v>
      </c>
      <c r="Q64" t="s">
        <v>15</v>
      </c>
      <c r="T64">
        <f>L64-'2022a_250915_0045'!L64</f>
        <v>-3</v>
      </c>
      <c r="U64" s="11">
        <f>T64/'2022a_250915_0045'!L64</f>
        <v>-9.0634441087613302E-3</v>
      </c>
      <c r="V64" s="10">
        <f>M64-'2022a_250915_0045'!M64</f>
        <v>0.11666800000000022</v>
      </c>
      <c r="W64" s="11">
        <f>V64/'2022a_250915_0045'!M64</f>
        <v>3.3278302109467556E-2</v>
      </c>
    </row>
    <row r="65" spans="1:23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148</v>
      </c>
      <c r="K65" t="s">
        <v>23</v>
      </c>
      <c r="L65">
        <v>490</v>
      </c>
      <c r="M65">
        <v>4.3298164000000003</v>
      </c>
      <c r="N65">
        <v>70.869123996066364</v>
      </c>
      <c r="O65">
        <v>-0.50520070010073559</v>
      </c>
      <c r="P65" s="1" t="str">
        <f>HYPERLINK(".\sm_car_251026_0925\sm_car_251026_0925_064_Ca137TrN_MaLSS_DrSt_ode23t.png","figure")</f>
        <v>figure</v>
      </c>
      <c r="Q65" t="s">
        <v>15</v>
      </c>
      <c r="T65">
        <f>L65-'2022a_250915_0045'!L65</f>
        <v>24</v>
      </c>
      <c r="U65" s="11">
        <f>T65/'2022a_250915_0045'!L65</f>
        <v>5.1502145922746781E-2</v>
      </c>
      <c r="V65" s="10">
        <f>M65-'2022a_250915_0045'!M65</f>
        <v>-9.9100899999999825E-2</v>
      </c>
      <c r="W65" s="11">
        <f>V65/'2022a_250915_0045'!M65</f>
        <v>-2.2375875024805685E-2</v>
      </c>
    </row>
    <row r="66" spans="1:23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148</v>
      </c>
      <c r="K66" t="s">
        <v>23</v>
      </c>
      <c r="L66">
        <v>334</v>
      </c>
      <c r="M66">
        <v>5.0679616000000003</v>
      </c>
      <c r="N66">
        <v>230.06157010523327</v>
      </c>
      <c r="O66">
        <v>0.14728370369953839</v>
      </c>
      <c r="P66" s="1" t="str">
        <f>HYPERLINK(".\sm_car_251026_0925\sm_car_251026_0925_065_Ca138TrN_MaWOT_DrSt_ode23t.png","figure")</f>
        <v>figure</v>
      </c>
      <c r="Q66" t="s">
        <v>15</v>
      </c>
      <c r="T66">
        <f>L66-'2022a_250915_0045'!L66</f>
        <v>8</v>
      </c>
      <c r="U66" s="11">
        <f>T66/'2022a_250915_0045'!L66</f>
        <v>2.4539877300613498E-2</v>
      </c>
      <c r="V66" s="10">
        <f>M66-'2022a_250915_0045'!M66</f>
        <v>-0.18310209999999927</v>
      </c>
      <c r="W66" s="11">
        <f>V66/'2022a_250915_0045'!M66</f>
        <v>-3.4869525578217472E-2</v>
      </c>
    </row>
    <row r="67" spans="1:23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148</v>
      </c>
      <c r="K67" t="s">
        <v>23</v>
      </c>
      <c r="L67">
        <v>488</v>
      </c>
      <c r="M67">
        <v>6.2359347999999999</v>
      </c>
      <c r="N67">
        <v>70.766369241475488</v>
      </c>
      <c r="O67">
        <v>-0.81689728060981193</v>
      </c>
      <c r="P67" s="1" t="str">
        <f>HYPERLINK(".\sm_car_251026_0925\sm_car_251026_0925_066_Ca138TrN_MaLSS_DrSt_ode23t.png","figure")</f>
        <v>figure</v>
      </c>
      <c r="Q67" t="s">
        <v>15</v>
      </c>
      <c r="T67">
        <f>L67-'2022a_250915_0045'!L67</f>
        <v>8</v>
      </c>
      <c r="U67" s="11">
        <f>T67/'2022a_250915_0045'!L67</f>
        <v>1.6666666666666666E-2</v>
      </c>
      <c r="V67" s="10">
        <f>M67-'2022a_250915_0045'!M67</f>
        <v>8.2766999999996926E-3</v>
      </c>
      <c r="W67" s="11">
        <f>V67/'2022a_250915_0045'!M67</f>
        <v>1.3290228633456439E-3</v>
      </c>
    </row>
    <row r="68" spans="1:23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148</v>
      </c>
      <c r="K68" t="s">
        <v>23</v>
      </c>
      <c r="L68">
        <v>696</v>
      </c>
      <c r="M68">
        <v>26.2905303</v>
      </c>
      <c r="N68">
        <v>402.21676819539459</v>
      </c>
      <c r="O68">
        <v>1.7663109197198756</v>
      </c>
      <c r="P68" s="1" t="str">
        <f>HYPERLINK(".\sm_car_251026_0925\sm_car_251026_0925_067_Ca139TrN_MaWOT_DrSt_ode23t.png","figure")</f>
        <v>figure</v>
      </c>
      <c r="Q68" t="s">
        <v>15</v>
      </c>
      <c r="T68">
        <f>L68-'2022a_250915_0045'!L68</f>
        <v>0</v>
      </c>
      <c r="U68" s="11">
        <f>T68/'2022a_250915_0045'!L68</f>
        <v>0</v>
      </c>
      <c r="V68" s="10">
        <f>M68-'2022a_250915_0045'!M68</f>
        <v>0.98375760000000056</v>
      </c>
      <c r="W68" s="11">
        <f>V68/'2022a_250915_0045'!M68</f>
        <v>3.8873293393116085E-2</v>
      </c>
    </row>
    <row r="69" spans="1:23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148</v>
      </c>
      <c r="K69" t="s">
        <v>23</v>
      </c>
      <c r="L69">
        <v>635</v>
      </c>
      <c r="M69">
        <v>17.4150916</v>
      </c>
      <c r="N69">
        <v>153.03893787834298</v>
      </c>
      <c r="O69">
        <v>-0.57496092157321121</v>
      </c>
      <c r="P69" s="1" t="str">
        <f>HYPERLINK(".\sm_car_251026_0925\sm_car_251026_0925_068_Ca139TrN_MaLSS_DrSt_ode23t.png","figure")</f>
        <v>figure</v>
      </c>
      <c r="Q69" t="s">
        <v>15</v>
      </c>
      <c r="T69">
        <f>L69-'2022a_250915_0045'!L69</f>
        <v>4</v>
      </c>
      <c r="U69" s="11">
        <f>T69/'2022a_250915_0045'!L69</f>
        <v>6.3391442155309036E-3</v>
      </c>
      <c r="V69" s="10">
        <f>M69-'2022a_250915_0045'!M69</f>
        <v>2.3496462000000005</v>
      </c>
      <c r="W69" s="11">
        <f>V69/'2022a_250915_0045'!M69</f>
        <v>0.15596261096933786</v>
      </c>
    </row>
    <row r="70" spans="1:23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148</v>
      </c>
      <c r="K70" t="s">
        <v>23</v>
      </c>
      <c r="L70">
        <v>1891</v>
      </c>
      <c r="M70">
        <v>35.005310000000001</v>
      </c>
      <c r="N70">
        <v>402.3093238000825</v>
      </c>
      <c r="O70">
        <v>1.7121153887950993</v>
      </c>
      <c r="P70" s="1" t="str">
        <f>HYPERLINK(".\sm_car_251026_0925\sm_car_251026_0925_069_Ca141TrN_MaWOT_DrSt_ode23t.png","figure")</f>
        <v>figure</v>
      </c>
      <c r="Q70" t="s">
        <v>15</v>
      </c>
      <c r="T70">
        <f>L70-'2022a_250915_0045'!L70</f>
        <v>0</v>
      </c>
      <c r="U70" s="11">
        <f>T70/'2022a_250915_0045'!L70</f>
        <v>0</v>
      </c>
      <c r="V70" s="10">
        <f>M70-'2022a_250915_0045'!M70</f>
        <v>5.0776994000000002</v>
      </c>
      <c r="W70" s="11">
        <f>V70/'2022a_250915_0045'!M70</f>
        <v>0.16966604744583252</v>
      </c>
    </row>
    <row r="71" spans="1:23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148</v>
      </c>
      <c r="K71" t="s">
        <v>23</v>
      </c>
      <c r="L71">
        <v>1862</v>
      </c>
      <c r="M71">
        <v>26.422990200000001</v>
      </c>
      <c r="N71">
        <v>153.1037219866846</v>
      </c>
      <c r="O71">
        <v>-0.57009636301674771</v>
      </c>
      <c r="P71" s="1" t="str">
        <f>HYPERLINK(".\sm_car_251026_0925\sm_car_251026_0925_070_Ca141TrN_MaLSS_DrSt_ode23t.png","figure")</f>
        <v>figure</v>
      </c>
      <c r="Q71" t="s">
        <v>15</v>
      </c>
      <c r="T71">
        <f>L71-'2022a_250915_0045'!L71</f>
        <v>5</v>
      </c>
      <c r="U71" s="11">
        <f>T71/'2022a_250915_0045'!L71</f>
        <v>2.6925148088314485E-3</v>
      </c>
      <c r="V71" s="10">
        <f>M71-'2022a_250915_0045'!M71</f>
        <v>1.6243490999999999</v>
      </c>
      <c r="W71" s="11">
        <f>V71/'2022a_250915_0045'!M71</f>
        <v>6.5501536695089305E-2</v>
      </c>
    </row>
    <row r="72" spans="1:23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148</v>
      </c>
      <c r="K72" t="s">
        <v>23</v>
      </c>
      <c r="L72">
        <v>340</v>
      </c>
      <c r="M72">
        <v>12.5037597</v>
      </c>
      <c r="N72">
        <v>62.428375066207224</v>
      </c>
      <c r="O72">
        <v>1.9516052410026494E-2</v>
      </c>
      <c r="P72" s="1" t="str">
        <f>HYPERLINK(".\sm_car_251026_0925\sm_car_251026_0925_071_Ca143TrN_MaWOT_DrSt_ode23t.png","figure")</f>
        <v>figure</v>
      </c>
      <c r="Q72" t="s">
        <v>15</v>
      </c>
      <c r="T72">
        <f>L72-'2022a_250915_0045'!L72</f>
        <v>0</v>
      </c>
      <c r="U72" s="11">
        <f>T72/'2022a_250915_0045'!L72</f>
        <v>0</v>
      </c>
      <c r="V72" s="10">
        <f>M72-'2022a_250915_0045'!M72</f>
        <v>-2.8671550000000003</v>
      </c>
      <c r="W72" s="11">
        <f>V72/'2022a_250915_0045'!M72</f>
        <v>-0.18653118932473162</v>
      </c>
    </row>
    <row r="73" spans="1:23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148</v>
      </c>
      <c r="K73" t="s">
        <v>23</v>
      </c>
      <c r="L73">
        <v>474</v>
      </c>
      <c r="M73">
        <v>15.6137885</v>
      </c>
      <c r="N73">
        <v>24.932439310559353</v>
      </c>
      <c r="O73">
        <v>-5.2436909096597685E-2</v>
      </c>
      <c r="P73" s="1" t="str">
        <f>HYPERLINK(".\sm_car_251026_0925\sm_car_251026_0925_072_Ca143TrN_MaLSS_DrSt_ode23t.png","figure")</f>
        <v>figure</v>
      </c>
      <c r="Q73" t="s">
        <v>15</v>
      </c>
      <c r="T73">
        <f>L73-'2022a_250915_0045'!L73</f>
        <v>0</v>
      </c>
      <c r="U73" s="11">
        <f>T73/'2022a_250915_0045'!L73</f>
        <v>0</v>
      </c>
      <c r="V73" s="10">
        <f>M73-'2022a_250915_0045'!M73</f>
        <v>-3.4781521999999985</v>
      </c>
      <c r="W73" s="11">
        <f>V73/'2022a_250915_0045'!M73</f>
        <v>-0.18217908041166286</v>
      </c>
    </row>
    <row r="74" spans="1:23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148</v>
      </c>
      <c r="K74" t="s">
        <v>23</v>
      </c>
      <c r="L74">
        <v>316</v>
      </c>
      <c r="M74">
        <v>8.7055883000000005</v>
      </c>
      <c r="N74">
        <v>76.986476302941625</v>
      </c>
      <c r="O74">
        <v>0.24361135886630739</v>
      </c>
      <c r="P74" s="1" t="str">
        <f>HYPERLINK(".\sm_car_251026_0925\sm_car_251026_0925_073_Ca144TrN_MaWOT_DrSt_ode23t.png","figure")</f>
        <v>figure</v>
      </c>
      <c r="Q74" t="s">
        <v>15</v>
      </c>
      <c r="T74">
        <f>L74-'2022a_250915_0045'!L74</f>
        <v>-33</v>
      </c>
      <c r="U74" s="11">
        <f>T74/'2022a_250915_0045'!L74</f>
        <v>-9.4555873925501438E-2</v>
      </c>
      <c r="V74" s="10">
        <f>M74-'2022a_250915_0045'!M74</f>
        <v>-3.9781669999999991</v>
      </c>
      <c r="W74" s="11">
        <f>V74/'2022a_250915_0045'!M74</f>
        <v>-0.31364267962501602</v>
      </c>
    </row>
    <row r="75" spans="1:23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148</v>
      </c>
      <c r="K75" t="s">
        <v>23</v>
      </c>
      <c r="L75">
        <v>464</v>
      </c>
      <c r="M75">
        <v>10.633842</v>
      </c>
      <c r="N75">
        <v>35.47145411538488</v>
      </c>
      <c r="O75">
        <v>-3.1820174507193974E-2</v>
      </c>
      <c r="P75" s="1" t="str">
        <f>HYPERLINK(".\sm_car_251026_0925\sm_car_251026_0925_074_Ca144TrN_MaLSS_DrSt_ode23t.png","figure")</f>
        <v>figure</v>
      </c>
      <c r="Q75" t="s">
        <v>15</v>
      </c>
      <c r="T75">
        <f>L75-'2022a_250915_0045'!L75</f>
        <v>3</v>
      </c>
      <c r="U75" s="11">
        <f>T75/'2022a_250915_0045'!L75</f>
        <v>6.5075921908893707E-3</v>
      </c>
      <c r="V75" s="10">
        <f>M75-'2022a_250915_0045'!M75</f>
        <v>-3.1536118000000002</v>
      </c>
      <c r="W75" s="11">
        <f>V75/'2022a_250915_0045'!M75</f>
        <v>-0.22873054341621804</v>
      </c>
    </row>
    <row r="76" spans="1:23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148</v>
      </c>
      <c r="K76" t="s">
        <v>23</v>
      </c>
      <c r="L76">
        <v>2387</v>
      </c>
      <c r="M76">
        <v>27.8370794</v>
      </c>
      <c r="N76">
        <v>396.59425150891917</v>
      </c>
      <c r="O76">
        <v>-14.431667343977379</v>
      </c>
      <c r="P76" s="1" t="str">
        <f>HYPERLINK(".\sm_car_251026_0925\sm_car_251026_0925_075_Ca147TrN_MaWOT_DrSt_ode23t.png","figure")</f>
        <v>figure</v>
      </c>
      <c r="Q76" t="s">
        <v>15</v>
      </c>
      <c r="T76">
        <f>L76-'2022a_250915_0045'!L76</f>
        <v>6</v>
      </c>
      <c r="U76" s="11">
        <f>T76/'2022a_250915_0045'!L76</f>
        <v>2.51994960100798E-3</v>
      </c>
      <c r="V76" s="10">
        <f>M76-'2022a_250915_0045'!M76</f>
        <v>4.7006726000000008</v>
      </c>
      <c r="W76" s="11">
        <f>V76/'2022a_250915_0045'!M76</f>
        <v>0.203172110545705</v>
      </c>
    </row>
    <row r="77" spans="1:23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148</v>
      </c>
      <c r="K77" t="s">
        <v>23</v>
      </c>
      <c r="L77">
        <v>1272</v>
      </c>
      <c r="M77">
        <v>17.510212299999999</v>
      </c>
      <c r="N77">
        <v>150.41750991267654</v>
      </c>
      <c r="O77">
        <v>-2.165069734267755</v>
      </c>
      <c r="P77" s="1" t="str">
        <f>HYPERLINK(".\sm_car_251026_0925\sm_car_251026_0925_076_Ca147TrN_MaLSS_DrSt_ode23t.png","figure")</f>
        <v>figure</v>
      </c>
      <c r="Q77" t="s">
        <v>15</v>
      </c>
      <c r="T77">
        <f>L77-'2022a_250915_0045'!L77</f>
        <v>-49</v>
      </c>
      <c r="U77" s="11">
        <f>T77/'2022a_250915_0045'!L77</f>
        <v>-3.7093111279333839E-2</v>
      </c>
      <c r="V77" s="10">
        <f>M77-'2022a_250915_0045'!M77</f>
        <v>0.60845459999999818</v>
      </c>
      <c r="W77" s="11">
        <f>V77/'2022a_250915_0045'!M77</f>
        <v>3.5999486609608548E-2</v>
      </c>
    </row>
    <row r="78" spans="1:23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148</v>
      </c>
      <c r="K78" t="s">
        <v>23</v>
      </c>
      <c r="L78">
        <v>299</v>
      </c>
      <c r="M78">
        <v>7.9083451</v>
      </c>
      <c r="N78">
        <v>229.65460441359193</v>
      </c>
      <c r="O78">
        <v>5.6350163503348727E-3</v>
      </c>
      <c r="P78" s="1" t="str">
        <f>HYPERLINK(".\sm_car_251026_0925\sm_car_251026_0925_077_Ca215TrN_MaWOT_DrSt_ode23t.png","figure")</f>
        <v>figure</v>
      </c>
      <c r="Q78" t="s">
        <v>15</v>
      </c>
      <c r="T78">
        <f>L78-'2022a_250915_0045'!L78</f>
        <v>10</v>
      </c>
      <c r="U78" s="11">
        <f>T78/'2022a_250915_0045'!L78</f>
        <v>3.4602076124567477E-2</v>
      </c>
      <c r="V78" s="10">
        <f>M78-'2022a_250915_0045'!M78</f>
        <v>-1.1818700000000071E-2</v>
      </c>
      <c r="W78" s="11">
        <f>V78/'2022a_250915_0045'!M78</f>
        <v>-1.4922292389963035E-3</v>
      </c>
    </row>
    <row r="79" spans="1:23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148</v>
      </c>
      <c r="K79" t="s">
        <v>23</v>
      </c>
      <c r="L79">
        <v>478</v>
      </c>
      <c r="M79">
        <v>7.6140542</v>
      </c>
      <c r="N79">
        <v>81.267143573991405</v>
      </c>
      <c r="O79">
        <v>-0.22372258646724202</v>
      </c>
      <c r="P79" s="1" t="str">
        <f>HYPERLINK(".\sm_car_251026_0925\sm_car_251026_0925_078_Ca215TrN_MaLSS_DrSt_ode23t.png","figure")</f>
        <v>figure</v>
      </c>
      <c r="Q79" t="s">
        <v>15</v>
      </c>
      <c r="T79">
        <f>L79-'2022a_250915_0045'!L79</f>
        <v>-15</v>
      </c>
      <c r="U79" s="11">
        <f>T79/'2022a_250915_0045'!L79</f>
        <v>-3.0425963488843813E-2</v>
      </c>
      <c r="V79" s="10">
        <f>M79-'2022a_250915_0045'!M79</f>
        <v>-0.31260900000000014</v>
      </c>
      <c r="W79" s="11">
        <f>V79/'2022a_250915_0045'!M79</f>
        <v>-3.9437653917224605E-2</v>
      </c>
    </row>
    <row r="80" spans="1:23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26</v>
      </c>
      <c r="H80" t="s">
        <v>21</v>
      </c>
      <c r="I80" t="s">
        <v>22</v>
      </c>
      <c r="J80" t="s">
        <v>148</v>
      </c>
      <c r="K80" t="s">
        <v>23</v>
      </c>
      <c r="L80">
        <v>350</v>
      </c>
      <c r="M80">
        <v>4.1820009000000002</v>
      </c>
      <c r="N80">
        <v>229.84485262113222</v>
      </c>
      <c r="O80">
        <v>0.17294964971829085</v>
      </c>
      <c r="P80" s="1" t="str">
        <f>HYPERLINK(".\sm_car_251026_0925\sm_car_251026_0925_079_Ca218TrN_MaWOT_DrSt_ode23t.png","figure")</f>
        <v>figure</v>
      </c>
      <c r="Q80" t="s">
        <v>15</v>
      </c>
      <c r="T80">
        <f>L80-'2022a_250915_0045'!L80</f>
        <v>-8</v>
      </c>
      <c r="U80" s="11">
        <f>T80/'2022a_250915_0045'!L80</f>
        <v>-2.23463687150838E-2</v>
      </c>
      <c r="V80" s="10">
        <f>M80-'2022a_250915_0045'!M80</f>
        <v>-8.4524499999999669E-2</v>
      </c>
      <c r="W80" s="11">
        <f>V80/'2022a_250915_0045'!M80</f>
        <v>-1.9811085620162878E-2</v>
      </c>
    </row>
    <row r="81" spans="1:23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26</v>
      </c>
      <c r="H81" t="s">
        <v>21</v>
      </c>
      <c r="I81" t="s">
        <v>24</v>
      </c>
      <c r="J81" t="s">
        <v>148</v>
      </c>
      <c r="K81" t="s">
        <v>23</v>
      </c>
      <c r="L81">
        <v>489</v>
      </c>
      <c r="M81">
        <v>5.5133786999999996</v>
      </c>
      <c r="N81">
        <v>70.781454168033505</v>
      </c>
      <c r="O81">
        <v>-0.53290319728474822</v>
      </c>
      <c r="P81" s="1" t="str">
        <f>HYPERLINK(".\sm_car_251026_0925\sm_car_251026_0925_080_Ca218TrN_MaLSS_DrSt_ode23t.png","figure")</f>
        <v>figure</v>
      </c>
      <c r="Q81" t="s">
        <v>15</v>
      </c>
      <c r="T81">
        <f>L81-'2022a_250915_0045'!L81</f>
        <v>2</v>
      </c>
      <c r="U81" s="11">
        <f>T81/'2022a_250915_0045'!L81</f>
        <v>4.1067761806981521E-3</v>
      </c>
      <c r="V81" s="10">
        <f>M81-'2022a_250915_0045'!M81</f>
        <v>0.26165339999999926</v>
      </c>
      <c r="W81" s="11">
        <f>V81/'2022a_250915_0045'!M81</f>
        <v>4.9822369802929187E-2</v>
      </c>
    </row>
    <row r="82" spans="1:23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26</v>
      </c>
      <c r="H82" t="s">
        <v>21</v>
      </c>
      <c r="I82" t="s">
        <v>22</v>
      </c>
      <c r="J82" t="s">
        <v>148</v>
      </c>
      <c r="K82" t="s">
        <v>23</v>
      </c>
      <c r="L82">
        <v>405</v>
      </c>
      <c r="M82">
        <v>6.9822413000000001</v>
      </c>
      <c r="N82">
        <v>229.01201024927923</v>
      </c>
      <c r="O82">
        <v>0.16973430285928648</v>
      </c>
      <c r="P82" s="1" t="str">
        <f>HYPERLINK(".\sm_car_251026_0925\sm_car_251026_0925_081_Ca219TrN_MaWOT_DrSt_ode23t.png","figure")</f>
        <v>figure</v>
      </c>
      <c r="Q82" t="s">
        <v>15</v>
      </c>
      <c r="T82">
        <f>L82-'2022a_250915_0045'!L82</f>
        <v>6</v>
      </c>
      <c r="U82" s="11">
        <f>T82/'2022a_250915_0045'!L82</f>
        <v>1.5037593984962405E-2</v>
      </c>
      <c r="V82" s="10">
        <f>M82-'2022a_250915_0045'!M82</f>
        <v>0.35306269999999973</v>
      </c>
      <c r="W82" s="11">
        <f>V82/'2022a_250915_0045'!M82</f>
        <v>5.3258890928055511E-2</v>
      </c>
    </row>
    <row r="83" spans="1:23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26</v>
      </c>
      <c r="H83" t="s">
        <v>21</v>
      </c>
      <c r="I83" t="s">
        <v>24</v>
      </c>
      <c r="J83" t="s">
        <v>148</v>
      </c>
      <c r="K83" t="s">
        <v>23</v>
      </c>
      <c r="L83">
        <v>506</v>
      </c>
      <c r="M83">
        <v>7.637785</v>
      </c>
      <c r="N83">
        <v>70.603246726613236</v>
      </c>
      <c r="O83">
        <v>-0.55724750305352533</v>
      </c>
      <c r="P83" s="1" t="str">
        <f>HYPERLINK(".\sm_car_251026_0925\sm_car_251026_0925_082_Ca219TrN_MaLSS_DrSt_ode23t.png","figure")</f>
        <v>figure</v>
      </c>
      <c r="Q83" t="s">
        <v>15</v>
      </c>
      <c r="T83">
        <f>L83-'2022a_250915_0045'!L83</f>
        <v>-12</v>
      </c>
      <c r="U83" s="11">
        <f>T83/'2022a_250915_0045'!L83</f>
        <v>-2.3166023166023165E-2</v>
      </c>
      <c r="V83" s="10">
        <f>M83-'2022a_250915_0045'!M83</f>
        <v>-0.82426179999999949</v>
      </c>
      <c r="W83" s="11">
        <f>V83/'2022a_250915_0045'!M83</f>
        <v>-9.740690632909281E-2</v>
      </c>
    </row>
    <row r="84" spans="1:23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26</v>
      </c>
      <c r="H84" t="s">
        <v>21</v>
      </c>
      <c r="I84" t="s">
        <v>22</v>
      </c>
      <c r="J84" t="s">
        <v>148</v>
      </c>
      <c r="K84" t="s">
        <v>23</v>
      </c>
      <c r="L84">
        <v>938</v>
      </c>
      <c r="M84">
        <v>30.524297799999999</v>
      </c>
      <c r="N84">
        <v>223.13209113993798</v>
      </c>
      <c r="O84">
        <v>-1.2277025376720379</v>
      </c>
      <c r="P84" s="1" t="str">
        <f>HYPERLINK(".\sm_car_251026_0925\sm_car_251026_0925_083_Ca220TrN_MaWOT_DrSt_ode23t.png","figure")</f>
        <v>figure</v>
      </c>
      <c r="Q84" t="s">
        <v>15</v>
      </c>
      <c r="T84">
        <f>L84-'2022a_250915_0045'!L84</f>
        <v>3</v>
      </c>
      <c r="U84" s="11">
        <f>T84/'2022a_250915_0045'!L84</f>
        <v>3.2085561497326204E-3</v>
      </c>
      <c r="V84" s="10">
        <f>M84-'2022a_250915_0045'!M84</f>
        <v>0.90808540000000093</v>
      </c>
      <c r="W84" s="11">
        <f>V84/'2022a_250915_0045'!M84</f>
        <v>3.0661766863881654E-2</v>
      </c>
    </row>
    <row r="85" spans="1:23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26</v>
      </c>
      <c r="H85" t="s">
        <v>21</v>
      </c>
      <c r="I85" t="s">
        <v>24</v>
      </c>
      <c r="J85" t="s">
        <v>148</v>
      </c>
      <c r="K85" t="s">
        <v>23</v>
      </c>
      <c r="L85">
        <v>1103</v>
      </c>
      <c r="M85">
        <v>35.346075399999997</v>
      </c>
      <c r="N85">
        <v>69.287802095710219</v>
      </c>
      <c r="O85">
        <v>-1.4996097274343529</v>
      </c>
      <c r="P85" s="1" t="str">
        <f>HYPERLINK(".\sm_car_251026_0925\sm_car_251026_0925_084_Ca220TrN_MaLSS_DrSt_ode23t.png","figure")</f>
        <v>figure</v>
      </c>
      <c r="Q85" t="s">
        <v>15</v>
      </c>
      <c r="T85">
        <f>L85-'2022a_250915_0045'!L85</f>
        <v>9</v>
      </c>
      <c r="U85" s="11">
        <f>T85/'2022a_250915_0045'!L85</f>
        <v>8.2266910420475316E-3</v>
      </c>
      <c r="V85" s="10">
        <f>M85-'2022a_250915_0045'!M85</f>
        <v>-0.63100500000000181</v>
      </c>
      <c r="W85" s="11">
        <f>V85/'2022a_250915_0045'!M85</f>
        <v>-1.7539083021311585E-2</v>
      </c>
    </row>
    <row r="86" spans="1:23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148</v>
      </c>
      <c r="K86" t="s">
        <v>23</v>
      </c>
      <c r="L86">
        <v>462</v>
      </c>
      <c r="M86">
        <v>6.8711137000000004</v>
      </c>
      <c r="N86">
        <v>293.77955369786952</v>
      </c>
      <c r="O86">
        <v>-3.1314827975771235E-4</v>
      </c>
      <c r="P86" s="1" t="str">
        <f>HYPERLINK(".\sm_car_251026_0925\sm_car_251026_0925_085_Ca223TrN_MaWOT_DrSt_ode23t.png","figure")</f>
        <v>figure</v>
      </c>
      <c r="Q86" t="s">
        <v>15</v>
      </c>
      <c r="T86">
        <f>L86-'2022a_250915_0045'!L86</f>
        <v>-14</v>
      </c>
      <c r="U86" s="11">
        <f>T86/'2022a_250915_0045'!L86</f>
        <v>-2.9411764705882353E-2</v>
      </c>
      <c r="V86" s="10">
        <f>M86-'2022a_250915_0045'!M86</f>
        <v>0.3886112000000006</v>
      </c>
      <c r="W86" s="11">
        <f>V86/'2022a_250915_0045'!M86</f>
        <v>5.9947713093824587E-2</v>
      </c>
    </row>
    <row r="87" spans="1:23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148</v>
      </c>
      <c r="K87" t="s">
        <v>23</v>
      </c>
      <c r="L87">
        <v>639</v>
      </c>
      <c r="M87">
        <v>6.3976338000000004</v>
      </c>
      <c r="N87">
        <v>103.82427138938752</v>
      </c>
      <c r="O87">
        <v>-0.16061104775016852</v>
      </c>
      <c r="P87" s="1" t="str">
        <f>HYPERLINK(".\sm_car_251026_0925\sm_car_251026_0925_086_Ca223TrN_MaLSS_DrSt_ode23t.png","figure")</f>
        <v>figure</v>
      </c>
      <c r="Q87" t="s">
        <v>15</v>
      </c>
      <c r="T87">
        <f>L87-'2022a_250915_0045'!L87</f>
        <v>-22</v>
      </c>
      <c r="U87" s="11">
        <f>T87/'2022a_250915_0045'!L87</f>
        <v>-3.3282904689863842E-2</v>
      </c>
      <c r="V87" s="10">
        <f>M87-'2022a_250915_0045'!M87</f>
        <v>-0.24944709999999937</v>
      </c>
      <c r="W87" s="11">
        <f>V87/'2022a_250915_0045'!M87</f>
        <v>-3.7527315185828317E-2</v>
      </c>
    </row>
    <row r="88" spans="1:23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148</v>
      </c>
      <c r="K88" t="s">
        <v>23</v>
      </c>
      <c r="L88">
        <v>748</v>
      </c>
      <c r="M88">
        <v>20.895551600000001</v>
      </c>
      <c r="N88">
        <v>405.71836610539737</v>
      </c>
      <c r="O88">
        <v>-12.4285532737191</v>
      </c>
      <c r="P88" s="1" t="str">
        <f>HYPERLINK(".\sm_car_251026_0925\sm_car_251026_0925_087_Ca227TrN_MaWOT_DrSt_ode23t.png","figure")</f>
        <v>figure</v>
      </c>
      <c r="Q88" t="s">
        <v>15</v>
      </c>
      <c r="T88">
        <f>L88-'2022a_250915_0045'!L88</f>
        <v>-13</v>
      </c>
      <c r="U88" s="11">
        <f>T88/'2022a_250915_0045'!L88</f>
        <v>-1.7082785808147174E-2</v>
      </c>
      <c r="V88" s="10">
        <f>M88-'2022a_250915_0045'!M88</f>
        <v>8.277310000000071E-2</v>
      </c>
      <c r="W88" s="11">
        <f>V88/'2022a_250915_0045'!M88</f>
        <v>3.977032667695027E-3</v>
      </c>
    </row>
    <row r="89" spans="1:23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148</v>
      </c>
      <c r="K89" t="s">
        <v>23</v>
      </c>
      <c r="L89">
        <v>740</v>
      </c>
      <c r="M89">
        <v>14.2969299</v>
      </c>
      <c r="N89">
        <v>154.53987802689124</v>
      </c>
      <c r="O89">
        <v>-2.8514374166230643</v>
      </c>
      <c r="P89" s="1" t="str">
        <f>HYPERLINK(".\sm_car_251026_0925\sm_car_251026_0925_088_Ca227TrN_MaLSS_DrSt_ode23t.png","figure")</f>
        <v>figure</v>
      </c>
      <c r="Q89" t="s">
        <v>15</v>
      </c>
      <c r="T89">
        <f>L89-'2022a_250915_0045'!L89</f>
        <v>0</v>
      </c>
      <c r="U89" s="11">
        <f>T89/'2022a_250915_0045'!L89</f>
        <v>0</v>
      </c>
      <c r="V89" s="10">
        <f>M89-'2022a_250915_0045'!M89</f>
        <v>-0.1863469000000002</v>
      </c>
      <c r="W89" s="11">
        <f>V89/'2022a_250915_0045'!M89</f>
        <v>-1.286634941617633E-2</v>
      </c>
    </row>
    <row r="90" spans="1:23" x14ac:dyDescent="0.25">
      <c r="A90">
        <v>89</v>
      </c>
      <c r="B90">
        <v>8</v>
      </c>
      <c r="C90" t="s">
        <v>16</v>
      </c>
      <c r="D90" t="s">
        <v>17</v>
      </c>
      <c r="E90" t="s">
        <v>49</v>
      </c>
      <c r="F90" t="s">
        <v>19</v>
      </c>
      <c r="G90" t="s">
        <v>20</v>
      </c>
      <c r="H90" t="s">
        <v>21</v>
      </c>
      <c r="I90" t="s">
        <v>22</v>
      </c>
      <c r="J90" t="s">
        <v>148</v>
      </c>
      <c r="K90" t="s">
        <v>23</v>
      </c>
      <c r="L90">
        <v>381</v>
      </c>
      <c r="M90">
        <v>10.5803156</v>
      </c>
      <c r="N90">
        <v>229.8953243687495</v>
      </c>
      <c r="O90">
        <v>-8.3732968694704736E-3</v>
      </c>
      <c r="P90" s="1" t="str">
        <f>HYPERLINK(".\sm_car_251026_0925\sm_car_251026_0925_089_Ca008TrN_MaWOT_DrSt_ode23t_1.png","figure")</f>
        <v>figure</v>
      </c>
      <c r="Q90" t="s">
        <v>15</v>
      </c>
      <c r="T90">
        <f>L90-'2022a_250915_0045'!L90</f>
        <v>3</v>
      </c>
      <c r="U90" s="11">
        <f>T90/'2022a_250915_0045'!L90</f>
        <v>7.9365079365079361E-3</v>
      </c>
      <c r="V90" s="10">
        <f>M90-'2022a_250915_0045'!M90</f>
        <v>1.1181517999999997</v>
      </c>
      <c r="W90" s="11">
        <f>V90/'2022a_250915_0045'!M90</f>
        <v>0.1181708353009065</v>
      </c>
    </row>
    <row r="91" spans="1:23" x14ac:dyDescent="0.25">
      <c r="A91">
        <v>90</v>
      </c>
      <c r="B91">
        <v>8</v>
      </c>
      <c r="C91" t="s">
        <v>16</v>
      </c>
      <c r="D91" t="s">
        <v>17</v>
      </c>
      <c r="E91" t="s">
        <v>49</v>
      </c>
      <c r="F91" t="s">
        <v>19</v>
      </c>
      <c r="G91" t="s">
        <v>20</v>
      </c>
      <c r="H91" t="s">
        <v>21</v>
      </c>
      <c r="I91" t="s">
        <v>24</v>
      </c>
      <c r="J91" t="s">
        <v>148</v>
      </c>
      <c r="K91" t="s">
        <v>23</v>
      </c>
      <c r="L91">
        <v>541</v>
      </c>
      <c r="M91">
        <v>12.681295199999999</v>
      </c>
      <c r="N91">
        <v>70.880635927346717</v>
      </c>
      <c r="O91">
        <v>-0.52520952740531734</v>
      </c>
      <c r="P91" s="1" t="str">
        <f>HYPERLINK(".\sm_car_251026_0925\sm_car_251026_0925_090_Ca008TrN_MaLSS_DrSt_ode23t_1.png","figure")</f>
        <v>figure</v>
      </c>
      <c r="Q91" t="s">
        <v>15</v>
      </c>
      <c r="T91">
        <f>L91-'2022a_250915_0045'!L91</f>
        <v>-10</v>
      </c>
      <c r="U91" s="11">
        <f>T91/'2022a_250915_0045'!L91</f>
        <v>-1.8148820326678767E-2</v>
      </c>
      <c r="V91" s="10">
        <f>M91-'2022a_250915_0045'!M91</f>
        <v>1.3288023999999989</v>
      </c>
      <c r="W91" s="11">
        <f>V91/'2022a_250915_0045'!M91</f>
        <v>0.11704939376838881</v>
      </c>
    </row>
    <row r="92" spans="1:23" x14ac:dyDescent="0.25">
      <c r="A92">
        <v>91</v>
      </c>
      <c r="B92">
        <v>13</v>
      </c>
      <c r="C92" t="s">
        <v>16</v>
      </c>
      <c r="D92" t="s">
        <v>17</v>
      </c>
      <c r="E92" t="s">
        <v>49</v>
      </c>
      <c r="F92" t="s">
        <v>28</v>
      </c>
      <c r="G92" t="s">
        <v>25</v>
      </c>
      <c r="H92" t="s">
        <v>21</v>
      </c>
      <c r="I92" t="s">
        <v>22</v>
      </c>
      <c r="J92" t="s">
        <v>148</v>
      </c>
      <c r="K92" t="s">
        <v>23</v>
      </c>
      <c r="L92">
        <v>838</v>
      </c>
      <c r="M92">
        <v>12.9361733</v>
      </c>
      <c r="N92">
        <v>229.10530496052823</v>
      </c>
      <c r="O92">
        <v>-1.647684126529134E-2</v>
      </c>
      <c r="P92" s="1" t="str">
        <f>HYPERLINK(".\sm_car_251026_0925\sm_car_251026_0925_091_Ca013TrN_MaWOT_DrSt_ode23t_1.png","figure")</f>
        <v>figure</v>
      </c>
      <c r="Q92" t="s">
        <v>15</v>
      </c>
      <c r="T92">
        <f>L92-'2022a_250915_0045'!L92</f>
        <v>-17</v>
      </c>
      <c r="U92" s="11">
        <f>T92/'2022a_250915_0045'!L92</f>
        <v>-1.9883040935672516E-2</v>
      </c>
      <c r="V92" s="10">
        <f>M92-'2022a_250915_0045'!M92</f>
        <v>1.212193000000001</v>
      </c>
      <c r="W92" s="11">
        <f>V92/'2022a_250915_0045'!M92</f>
        <v>0.10339432248960714</v>
      </c>
    </row>
    <row r="93" spans="1:23" x14ac:dyDescent="0.25">
      <c r="A93">
        <v>92</v>
      </c>
      <c r="B93">
        <v>13</v>
      </c>
      <c r="C93" t="s">
        <v>16</v>
      </c>
      <c r="D93" t="s">
        <v>17</v>
      </c>
      <c r="E93" t="s">
        <v>49</v>
      </c>
      <c r="F93" t="s">
        <v>28</v>
      </c>
      <c r="G93" t="s">
        <v>25</v>
      </c>
      <c r="H93" t="s">
        <v>21</v>
      </c>
      <c r="I93" t="s">
        <v>24</v>
      </c>
      <c r="J93" t="s">
        <v>148</v>
      </c>
      <c r="K93" t="s">
        <v>23</v>
      </c>
      <c r="L93">
        <v>1004</v>
      </c>
      <c r="M93">
        <v>15.3791832</v>
      </c>
      <c r="N93">
        <v>70.590014398137583</v>
      </c>
      <c r="O93">
        <v>-0.53323183133484175</v>
      </c>
      <c r="P93" s="1" t="str">
        <f>HYPERLINK(".\sm_car_251026_0925\sm_car_251026_0925_092_Ca013TrN_MaLSS_DrSt_ode23t_1.png","figure")</f>
        <v>figure</v>
      </c>
      <c r="Q93" t="s">
        <v>15</v>
      </c>
      <c r="T93">
        <f>L93-'2022a_250915_0045'!L93</f>
        <v>1</v>
      </c>
      <c r="U93" s="11">
        <f>T93/'2022a_250915_0045'!L93</f>
        <v>9.9700897308075765E-4</v>
      </c>
      <c r="V93" s="10">
        <f>M93-'2022a_250915_0045'!M93</f>
        <v>0.8689265000000006</v>
      </c>
      <c r="W93" s="11">
        <f>V93/'2022a_250915_0045'!M93</f>
        <v>5.9883606332064451E-2</v>
      </c>
    </row>
    <row r="94" spans="1:23" x14ac:dyDescent="0.25">
      <c r="A94">
        <v>93</v>
      </c>
      <c r="B94">
        <v>120</v>
      </c>
      <c r="C94" t="s">
        <v>16</v>
      </c>
      <c r="D94" t="s">
        <v>35</v>
      </c>
      <c r="E94" t="s">
        <v>49</v>
      </c>
      <c r="F94" t="s">
        <v>19</v>
      </c>
      <c r="G94" t="s">
        <v>20</v>
      </c>
      <c r="H94" t="s">
        <v>21</v>
      </c>
      <c r="I94" t="s">
        <v>22</v>
      </c>
      <c r="J94" t="s">
        <v>148</v>
      </c>
      <c r="K94" t="s">
        <v>23</v>
      </c>
      <c r="L94">
        <v>416</v>
      </c>
      <c r="M94">
        <v>3.7897522000000001</v>
      </c>
      <c r="N94">
        <v>242.69169978057366</v>
      </c>
      <c r="O94">
        <v>0.23529584198330764</v>
      </c>
      <c r="P94" s="1" t="str">
        <f>HYPERLINK(".\sm_car_251026_0925\sm_car_251026_0925_093_Ca120TrN_MaWOT_DrSt_ode23t_1.png","figure")</f>
        <v>figure</v>
      </c>
      <c r="Q94" t="s">
        <v>15</v>
      </c>
      <c r="T94">
        <f>L94-'2022a_250915_0045'!L94</f>
        <v>0</v>
      </c>
      <c r="U94" s="11">
        <f>T94/'2022a_250915_0045'!L94</f>
        <v>0</v>
      </c>
      <c r="V94" s="10">
        <f>M94-'2022a_250915_0045'!M94</f>
        <v>0.39766009999999996</v>
      </c>
      <c r="W94" s="11">
        <f>V94/'2022a_250915_0045'!M94</f>
        <v>0.11723151620794728</v>
      </c>
    </row>
    <row r="95" spans="1:23" x14ac:dyDescent="0.25">
      <c r="A95">
        <v>94</v>
      </c>
      <c r="B95">
        <v>120</v>
      </c>
      <c r="C95" t="s">
        <v>16</v>
      </c>
      <c r="D95" t="s">
        <v>35</v>
      </c>
      <c r="E95" t="s">
        <v>49</v>
      </c>
      <c r="F95" t="s">
        <v>19</v>
      </c>
      <c r="G95" t="s">
        <v>20</v>
      </c>
      <c r="H95" t="s">
        <v>21</v>
      </c>
      <c r="I95" t="s">
        <v>24</v>
      </c>
      <c r="J95" t="s">
        <v>148</v>
      </c>
      <c r="K95" t="s">
        <v>23</v>
      </c>
      <c r="L95">
        <v>534</v>
      </c>
      <c r="M95">
        <v>4.3088062999999996</v>
      </c>
      <c r="N95">
        <v>74.671860856427401</v>
      </c>
      <c r="O95">
        <v>-0.33802521123174667</v>
      </c>
      <c r="P95" s="1" t="str">
        <f>HYPERLINK(".\sm_car_251026_0925\sm_car_251026_0925_094_Ca120TrN_MaLSS_DrSt_ode23t_1.png","figure")</f>
        <v>figure</v>
      </c>
      <c r="Q95" t="s">
        <v>15</v>
      </c>
      <c r="T95">
        <f>L95-'2022a_250915_0045'!L95</f>
        <v>0</v>
      </c>
      <c r="U95" s="11">
        <f>T95/'2022a_250915_0045'!L95</f>
        <v>0</v>
      </c>
      <c r="V95" s="10">
        <f>M95-'2022a_250915_0045'!M95</f>
        <v>0.45813789999999965</v>
      </c>
      <c r="W95" s="11">
        <f>V95/'2022a_250915_0045'!M95</f>
        <v>0.1189762016381363</v>
      </c>
    </row>
    <row r="96" spans="1:23" x14ac:dyDescent="0.25">
      <c r="A96">
        <v>95</v>
      </c>
      <c r="B96">
        <v>126</v>
      </c>
      <c r="C96" t="s">
        <v>16</v>
      </c>
      <c r="D96" t="s">
        <v>35</v>
      </c>
      <c r="E96" t="s">
        <v>49</v>
      </c>
      <c r="F96" t="s">
        <v>28</v>
      </c>
      <c r="G96" t="s">
        <v>26</v>
      </c>
      <c r="H96" t="s">
        <v>21</v>
      </c>
      <c r="I96" t="s">
        <v>22</v>
      </c>
      <c r="J96" t="s">
        <v>148</v>
      </c>
      <c r="K96" t="s">
        <v>23</v>
      </c>
      <c r="L96">
        <v>1035</v>
      </c>
      <c r="M96">
        <v>6.0821611000000004</v>
      </c>
      <c r="N96">
        <v>241.42399753971631</v>
      </c>
      <c r="O96">
        <v>0.23236574999704743</v>
      </c>
      <c r="P96" s="1" t="str">
        <f>HYPERLINK(".\sm_car_251026_0925\sm_car_251026_0925_095_Ca126TrN_MaWOT_DrSt_ode23t_1.png","figure")</f>
        <v>figure</v>
      </c>
      <c r="Q96" t="s">
        <v>15</v>
      </c>
      <c r="T96">
        <f>L96-'2022a_250915_0045'!L96</f>
        <v>14</v>
      </c>
      <c r="U96" s="11">
        <f>T96/'2022a_250915_0045'!L96</f>
        <v>1.3712047012732615E-2</v>
      </c>
      <c r="V96" s="10">
        <f>M96-'2022a_250915_0045'!M96</f>
        <v>0.82484320000000011</v>
      </c>
      <c r="W96" s="11">
        <f>V96/'2022a_250915_0045'!M96</f>
        <v>0.15689429775589567</v>
      </c>
    </row>
    <row r="97" spans="1:23" x14ac:dyDescent="0.25">
      <c r="A97">
        <v>96</v>
      </c>
      <c r="B97">
        <v>126</v>
      </c>
      <c r="C97" t="s">
        <v>16</v>
      </c>
      <c r="D97" t="s">
        <v>35</v>
      </c>
      <c r="E97" t="s">
        <v>49</v>
      </c>
      <c r="F97" t="s">
        <v>28</v>
      </c>
      <c r="G97" t="s">
        <v>26</v>
      </c>
      <c r="H97" t="s">
        <v>21</v>
      </c>
      <c r="I97" t="s">
        <v>24</v>
      </c>
      <c r="J97" t="s">
        <v>148</v>
      </c>
      <c r="K97" t="s">
        <v>23</v>
      </c>
      <c r="L97">
        <v>1162</v>
      </c>
      <c r="M97">
        <v>7.0314215999999998</v>
      </c>
      <c r="N97">
        <v>74.340572119652194</v>
      </c>
      <c r="O97">
        <v>-0.33732792069256612</v>
      </c>
      <c r="P97" s="1" t="str">
        <f>HYPERLINK(".\sm_car_251026_0925\sm_car_251026_0925_096_Ca126TrN_MaLSS_DrSt_ode23t_1.png","figure")</f>
        <v>figure</v>
      </c>
      <c r="Q97" t="s">
        <v>15</v>
      </c>
      <c r="T97">
        <f>L97-'2022a_250915_0045'!L97</f>
        <v>-3</v>
      </c>
      <c r="U97" s="11">
        <f>T97/'2022a_250915_0045'!L97</f>
        <v>-2.5751072961373391E-3</v>
      </c>
      <c r="V97" s="10">
        <f>M97-'2022a_250915_0045'!M97</f>
        <v>0.91328940000000003</v>
      </c>
      <c r="W97" s="11">
        <f>V97/'2022a_250915_0045'!M97</f>
        <v>0.14927585252244141</v>
      </c>
    </row>
    <row r="98" spans="1:23" x14ac:dyDescent="0.25">
      <c r="A98">
        <v>97</v>
      </c>
      <c r="B98">
        <v>127</v>
      </c>
      <c r="C98" t="s">
        <v>16</v>
      </c>
      <c r="D98" t="s">
        <v>35</v>
      </c>
      <c r="E98" t="s">
        <v>49</v>
      </c>
      <c r="F98" t="s">
        <v>28</v>
      </c>
      <c r="G98" t="s">
        <v>27</v>
      </c>
      <c r="H98" t="s">
        <v>21</v>
      </c>
      <c r="I98" t="s">
        <v>22</v>
      </c>
      <c r="J98" t="s">
        <v>148</v>
      </c>
      <c r="K98" t="s">
        <v>23</v>
      </c>
      <c r="L98">
        <v>1044</v>
      </c>
      <c r="M98">
        <v>6.1496959000000002</v>
      </c>
      <c r="N98">
        <v>241.05197631854605</v>
      </c>
      <c r="O98">
        <v>0.23098483229881989</v>
      </c>
      <c r="P98" s="1" t="str">
        <f>HYPERLINK(".\sm_car_251026_0925\sm_car_251026_0925_097_Ca127TrN_MaWOT_DrSt_ode23t_1.png","figure")</f>
        <v>figure</v>
      </c>
      <c r="Q98" t="s">
        <v>15</v>
      </c>
      <c r="T98">
        <f>L98-'2022a_250915_0045'!L98</f>
        <v>4</v>
      </c>
      <c r="U98" s="11">
        <f>T98/'2022a_250915_0045'!L98</f>
        <v>3.8461538461538464E-3</v>
      </c>
      <c r="V98" s="10">
        <f>M98-'2022a_250915_0045'!M98</f>
        <v>0.67167880000000046</v>
      </c>
      <c r="W98" s="11">
        <f>V98/'2022a_250915_0045'!M98</f>
        <v>0.12261349092904447</v>
      </c>
    </row>
    <row r="99" spans="1:23" x14ac:dyDescent="0.25">
      <c r="A99">
        <v>98</v>
      </c>
      <c r="B99">
        <v>127</v>
      </c>
      <c r="C99" t="s">
        <v>16</v>
      </c>
      <c r="D99" t="s">
        <v>35</v>
      </c>
      <c r="E99" t="s">
        <v>49</v>
      </c>
      <c r="F99" t="s">
        <v>28</v>
      </c>
      <c r="G99" t="s">
        <v>27</v>
      </c>
      <c r="H99" t="s">
        <v>21</v>
      </c>
      <c r="I99" t="s">
        <v>24</v>
      </c>
      <c r="J99" t="s">
        <v>148</v>
      </c>
      <c r="K99" t="s">
        <v>23</v>
      </c>
      <c r="L99">
        <v>1174</v>
      </c>
      <c r="M99">
        <v>6.7918745999999999</v>
      </c>
      <c r="N99">
        <v>74.19582962141466</v>
      </c>
      <c r="O99">
        <v>-0.33312636623582043</v>
      </c>
      <c r="P99" s="1" t="str">
        <f>HYPERLINK(".\sm_car_251026_0925\sm_car_251026_0925_098_Ca127TrN_MaLSS_DrSt_ode23t_1.png","figure")</f>
        <v>figure</v>
      </c>
      <c r="Q99" t="s">
        <v>15</v>
      </c>
      <c r="T99">
        <f>L99-'2022a_250915_0045'!L99</f>
        <v>-8</v>
      </c>
      <c r="U99" s="11">
        <f>T99/'2022a_250915_0045'!L99</f>
        <v>-6.7681895093062603E-3</v>
      </c>
      <c r="V99" s="10">
        <f>M99-'2022a_250915_0045'!M99</f>
        <v>-7.6946500000000029E-2</v>
      </c>
      <c r="W99" s="11">
        <f>V99/'2022a_250915_0045'!M99</f>
        <v>-1.1202286226380248E-2</v>
      </c>
    </row>
    <row r="100" spans="1:23" x14ac:dyDescent="0.25">
      <c r="A100">
        <v>99</v>
      </c>
      <c r="B100">
        <v>145</v>
      </c>
      <c r="C100" t="s">
        <v>46</v>
      </c>
      <c r="D100" t="s">
        <v>17</v>
      </c>
      <c r="E100" t="s">
        <v>50</v>
      </c>
      <c r="F100" t="s">
        <v>19</v>
      </c>
      <c r="G100" t="s">
        <v>26</v>
      </c>
      <c r="H100" t="s">
        <v>21</v>
      </c>
      <c r="I100" t="s">
        <v>22</v>
      </c>
      <c r="J100" t="s">
        <v>148</v>
      </c>
      <c r="K100" t="s">
        <v>23</v>
      </c>
      <c r="L100">
        <v>348</v>
      </c>
      <c r="M100">
        <v>14.3794986</v>
      </c>
      <c r="N100">
        <v>62.39893455644993</v>
      </c>
      <c r="O100">
        <v>1.9100960803674426E-2</v>
      </c>
      <c r="P100" s="1" t="str">
        <f>HYPERLINK(".\sm_car_251026_0925\sm_car_251026_0925_099_Ca145TrN_MaWOT_DrSt_ode23t_1.png","figure")</f>
        <v>figure</v>
      </c>
      <c r="Q100" t="s">
        <v>15</v>
      </c>
      <c r="T100">
        <f>L100-'2022a_250915_0045'!L100</f>
        <v>-3</v>
      </c>
      <c r="U100" s="11">
        <f>T100/'2022a_250915_0045'!L100</f>
        <v>-8.5470085470085479E-3</v>
      </c>
      <c r="V100" s="10">
        <f>M100-'2022a_250915_0045'!M100</f>
        <v>2.3758008000000004</v>
      </c>
      <c r="W100" s="11">
        <f>V100/'2022a_250915_0045'!M100</f>
        <v>0.19792241020929405</v>
      </c>
    </row>
    <row r="101" spans="1:23" x14ac:dyDescent="0.25">
      <c r="A101">
        <v>100</v>
      </c>
      <c r="B101">
        <v>145</v>
      </c>
      <c r="C101" t="s">
        <v>46</v>
      </c>
      <c r="D101" t="s">
        <v>17</v>
      </c>
      <c r="E101" t="s">
        <v>50</v>
      </c>
      <c r="F101" t="s">
        <v>19</v>
      </c>
      <c r="G101" t="s">
        <v>26</v>
      </c>
      <c r="H101" t="s">
        <v>21</v>
      </c>
      <c r="I101" t="s">
        <v>24</v>
      </c>
      <c r="J101" t="s">
        <v>148</v>
      </c>
      <c r="K101" t="s">
        <v>23</v>
      </c>
      <c r="L101">
        <v>472</v>
      </c>
      <c r="M101">
        <v>17.162824700000002</v>
      </c>
      <c r="N101">
        <v>24.926444342083546</v>
      </c>
      <c r="O101">
        <v>-4.9182368950001838E-2</v>
      </c>
      <c r="P101" s="1" t="str">
        <f>HYPERLINK(".\sm_car_251026_0925\sm_car_251026_0925_100_Ca145TrN_MaLSS_DrSt_ode23t_1.png","figure")</f>
        <v>figure</v>
      </c>
      <c r="Q101" t="s">
        <v>15</v>
      </c>
      <c r="T101">
        <f>L101-'2022a_250915_0045'!L101</f>
        <v>-2</v>
      </c>
      <c r="U101" s="11">
        <f>T101/'2022a_250915_0045'!L101</f>
        <v>-4.2194092827004216E-3</v>
      </c>
      <c r="V101" s="10">
        <f>M101-'2022a_250915_0045'!M101</f>
        <v>1.510223100000001</v>
      </c>
      <c r="W101" s="11">
        <f>V101/'2022a_250915_0045'!M101</f>
        <v>9.6483839466022125E-2</v>
      </c>
    </row>
    <row r="102" spans="1:23" x14ac:dyDescent="0.25">
      <c r="A102">
        <v>101</v>
      </c>
      <c r="B102">
        <v>184</v>
      </c>
      <c r="C102" t="s">
        <v>105</v>
      </c>
      <c r="D102" t="s">
        <v>120</v>
      </c>
      <c r="E102" t="s">
        <v>49</v>
      </c>
      <c r="F102" t="s">
        <v>19</v>
      </c>
      <c r="G102" t="s">
        <v>20</v>
      </c>
      <c r="H102" t="s">
        <v>21</v>
      </c>
      <c r="I102" t="s">
        <v>22</v>
      </c>
      <c r="J102" t="s">
        <v>148</v>
      </c>
      <c r="K102" t="s">
        <v>23</v>
      </c>
      <c r="L102">
        <v>294</v>
      </c>
      <c r="M102">
        <v>15.166919500000001</v>
      </c>
      <c r="N102">
        <v>294.7425572134149</v>
      </c>
      <c r="O102">
        <v>-1.9068658722340426E-3</v>
      </c>
      <c r="P102" s="1" t="str">
        <f>HYPERLINK(".\sm_car_251026_0925\sm_car_251026_0925_101_Ca184TrN_MaWOT_DrSt_ode23t_1.png","figure")</f>
        <v>figure</v>
      </c>
      <c r="Q102" t="s">
        <v>15</v>
      </c>
      <c r="T102">
        <f>L102-'2022a_250915_0045'!L102</f>
        <v>-9</v>
      </c>
      <c r="U102" s="11">
        <f>T102/'2022a_250915_0045'!L102</f>
        <v>-2.9702970297029702E-2</v>
      </c>
      <c r="V102" s="10">
        <f>M102-'2022a_250915_0045'!M102</f>
        <v>1.1404326999999999</v>
      </c>
      <c r="W102" s="11">
        <f>V102/'2022a_250915_0045'!M102</f>
        <v>8.1305655240769187E-2</v>
      </c>
    </row>
    <row r="103" spans="1:23" x14ac:dyDescent="0.25">
      <c r="A103">
        <v>102</v>
      </c>
      <c r="B103">
        <v>184</v>
      </c>
      <c r="C103" t="s">
        <v>105</v>
      </c>
      <c r="D103" t="s">
        <v>120</v>
      </c>
      <c r="E103" t="s">
        <v>49</v>
      </c>
      <c r="F103" t="s">
        <v>19</v>
      </c>
      <c r="G103" t="s">
        <v>20</v>
      </c>
      <c r="H103" t="s">
        <v>21</v>
      </c>
      <c r="I103" t="s">
        <v>24</v>
      </c>
      <c r="J103" t="s">
        <v>148</v>
      </c>
      <c r="K103" t="s">
        <v>23</v>
      </c>
      <c r="L103">
        <v>462</v>
      </c>
      <c r="M103">
        <v>12.1261989</v>
      </c>
      <c r="N103">
        <v>103.58583909058389</v>
      </c>
      <c r="O103">
        <v>-0.20818102623877244</v>
      </c>
      <c r="P103" s="1" t="str">
        <f>HYPERLINK(".\sm_car_251026_0925\sm_car_251026_0925_102_Ca184TrN_MaLSS_DrSt_ode23t_1.png","figure")</f>
        <v>figure</v>
      </c>
      <c r="Q103" t="s">
        <v>15</v>
      </c>
      <c r="T103">
        <f>L103-'2022a_250915_0045'!L103</f>
        <v>3</v>
      </c>
      <c r="U103" s="11">
        <f>T103/'2022a_250915_0045'!L103</f>
        <v>6.5359477124183009E-3</v>
      </c>
      <c r="V103" s="10">
        <f>M103-'2022a_250915_0045'!M103</f>
        <v>1.4042641000000007</v>
      </c>
      <c r="W103" s="11">
        <f>V103/'2022a_250915_0045'!M103</f>
        <v>0.13097114711050106</v>
      </c>
    </row>
    <row r="104" spans="1:23" x14ac:dyDescent="0.25">
      <c r="A104">
        <v>103</v>
      </c>
      <c r="B104">
        <v>217</v>
      </c>
      <c r="C104" t="s">
        <v>45</v>
      </c>
      <c r="D104" t="s">
        <v>17</v>
      </c>
      <c r="E104" t="s">
        <v>107</v>
      </c>
      <c r="F104" t="s">
        <v>119</v>
      </c>
      <c r="G104" t="s">
        <v>26</v>
      </c>
      <c r="H104" t="s">
        <v>21</v>
      </c>
      <c r="I104" t="s">
        <v>22</v>
      </c>
      <c r="J104" t="s">
        <v>148</v>
      </c>
      <c r="K104" t="s">
        <v>23</v>
      </c>
      <c r="L104">
        <v>745</v>
      </c>
      <c r="M104">
        <v>32.306382399999997</v>
      </c>
      <c r="N104">
        <v>276.45051411519063</v>
      </c>
      <c r="O104">
        <v>0.7480196680218717</v>
      </c>
      <c r="P104" s="1" t="str">
        <f>HYPERLINK(".\sm_car_251026_0925\sm_car_251026_0925_103_Ca217TrN_MaWOT_DrSt_ode23t_1.png","figure")</f>
        <v>figure</v>
      </c>
      <c r="Q104" t="s">
        <v>15</v>
      </c>
      <c r="T104">
        <f>L104-'2022a_250915_0045'!L104</f>
        <v>-2</v>
      </c>
      <c r="U104" s="11">
        <f>T104/'2022a_250915_0045'!L104</f>
        <v>-2.6773761713520749E-3</v>
      </c>
      <c r="V104" s="10">
        <f>M104-'2022a_250915_0045'!M104</f>
        <v>0.9379503999999983</v>
      </c>
      <c r="W104" s="11">
        <f>V104/'2022a_250915_0045'!M104</f>
        <v>2.9901092920423894E-2</v>
      </c>
    </row>
    <row r="105" spans="1:23" x14ac:dyDescent="0.25">
      <c r="A105">
        <v>104</v>
      </c>
      <c r="B105">
        <v>217</v>
      </c>
      <c r="C105" t="s">
        <v>45</v>
      </c>
      <c r="D105" t="s">
        <v>17</v>
      </c>
      <c r="E105" t="s">
        <v>107</v>
      </c>
      <c r="F105" t="s">
        <v>119</v>
      </c>
      <c r="G105" t="s">
        <v>26</v>
      </c>
      <c r="H105" t="s">
        <v>21</v>
      </c>
      <c r="I105" t="s">
        <v>24</v>
      </c>
      <c r="J105" t="s">
        <v>148</v>
      </c>
      <c r="K105" t="s">
        <v>23</v>
      </c>
      <c r="L105">
        <v>851</v>
      </c>
      <c r="M105">
        <v>35.099912600000003</v>
      </c>
      <c r="N105">
        <v>109.20514550000151</v>
      </c>
      <c r="O105">
        <v>-0.33862069182968962</v>
      </c>
      <c r="P105" s="1" t="str">
        <f>HYPERLINK(".\sm_car_251026_0925\sm_car_251026_0925_104_Ca217TrN_MaLSS_DrSt_ode23t_1.png","figure")</f>
        <v>figure</v>
      </c>
      <c r="Q105" t="s">
        <v>15</v>
      </c>
      <c r="T105">
        <f>L105-'2022a_250915_0045'!L105</f>
        <v>-3</v>
      </c>
      <c r="U105" s="11">
        <f>T105/'2022a_250915_0045'!L105</f>
        <v>-3.5128805620608899E-3</v>
      </c>
      <c r="V105" s="10">
        <f>M105-'2022a_250915_0045'!M105</f>
        <v>-0.37163279999999332</v>
      </c>
      <c r="W105" s="11">
        <f>V105/'2022a_250915_0045'!M105</f>
        <v>-1.0476927233060259E-2</v>
      </c>
    </row>
    <row r="106" spans="1:23" x14ac:dyDescent="0.25">
      <c r="A106">
        <v>105</v>
      </c>
      <c r="B106">
        <v>12</v>
      </c>
      <c r="C106" t="s">
        <v>16</v>
      </c>
      <c r="D106" t="s">
        <v>17</v>
      </c>
      <c r="E106" t="s">
        <v>49</v>
      </c>
      <c r="F106" t="s">
        <v>28</v>
      </c>
      <c r="G106" t="s">
        <v>20</v>
      </c>
      <c r="H106" t="s">
        <v>21</v>
      </c>
      <c r="I106" t="s">
        <v>53</v>
      </c>
      <c r="J106" t="s">
        <v>148</v>
      </c>
      <c r="K106" t="s">
        <v>23</v>
      </c>
      <c r="L106">
        <v>866</v>
      </c>
      <c r="M106">
        <v>10.9542229</v>
      </c>
      <c r="N106">
        <v>254.35662280363181</v>
      </c>
      <c r="O106">
        <v>4.3838780396370236E-2</v>
      </c>
      <c r="P106" s="1" t="str">
        <f>HYPERLINK(".\sm_car_251026_0925\sm_car_251026_0925_105_Ca012TrN_MaDLC_DrSt_ode23t_1.png","figure")</f>
        <v>figure</v>
      </c>
      <c r="Q106" t="s">
        <v>15</v>
      </c>
      <c r="T106">
        <f>L106-'2022a_250915_0045'!L106</f>
        <v>3</v>
      </c>
      <c r="U106" s="11">
        <f>T106/'2022a_250915_0045'!L106</f>
        <v>3.4762456546929316E-3</v>
      </c>
      <c r="V106" s="10">
        <f>M106-'2022a_250915_0045'!M106</f>
        <v>0.81495029999999957</v>
      </c>
      <c r="W106" s="11">
        <f>V106/'2022a_250915_0045'!M106</f>
        <v>8.0375617872232727E-2</v>
      </c>
    </row>
    <row r="107" spans="1:23" x14ac:dyDescent="0.25">
      <c r="A107">
        <v>106</v>
      </c>
      <c r="B107">
        <v>12</v>
      </c>
      <c r="C107" t="s">
        <v>16</v>
      </c>
      <c r="D107" t="s">
        <v>17</v>
      </c>
      <c r="E107" t="s">
        <v>49</v>
      </c>
      <c r="F107" t="s">
        <v>28</v>
      </c>
      <c r="G107" t="s">
        <v>20</v>
      </c>
      <c r="H107" t="s">
        <v>21</v>
      </c>
      <c r="I107" t="s">
        <v>54</v>
      </c>
      <c r="J107" t="s">
        <v>148</v>
      </c>
      <c r="K107" t="s">
        <v>23</v>
      </c>
      <c r="L107">
        <v>899</v>
      </c>
      <c r="M107">
        <v>14.132157599999999</v>
      </c>
      <c r="N107">
        <v>74.404896805960632</v>
      </c>
      <c r="O107">
        <v>0.70190099805204831</v>
      </c>
      <c r="P107" s="1" t="str">
        <f>HYPERLINK(".\sm_car_251026_0925\sm_car_251026_0925_106_Ca012TrN_MaIPA_DrSt_ode23t_1.png","figure")</f>
        <v>figure</v>
      </c>
      <c r="Q107" t="s">
        <v>15</v>
      </c>
      <c r="T107">
        <f>L107-'2022a_250915_0045'!L107</f>
        <v>-8</v>
      </c>
      <c r="U107" s="11">
        <f>T107/'2022a_250915_0045'!L107</f>
        <v>-8.8202866593164279E-3</v>
      </c>
      <c r="V107" s="10">
        <f>M107-'2022a_250915_0045'!M107</f>
        <v>0.93329249999999853</v>
      </c>
      <c r="W107" s="11">
        <f>V107/'2022a_250915_0045'!M107</f>
        <v>7.0710056730559245E-2</v>
      </c>
    </row>
    <row r="108" spans="1:23" x14ac:dyDescent="0.25">
      <c r="A108">
        <v>107</v>
      </c>
      <c r="B108">
        <v>142</v>
      </c>
      <c r="C108" t="s">
        <v>45</v>
      </c>
      <c r="D108" t="s">
        <v>17</v>
      </c>
      <c r="E108" t="s">
        <v>49</v>
      </c>
      <c r="F108" t="s">
        <v>28</v>
      </c>
      <c r="G108" t="s">
        <v>26</v>
      </c>
      <c r="H108" t="s">
        <v>21</v>
      </c>
      <c r="I108" t="s">
        <v>53</v>
      </c>
      <c r="J108" t="s">
        <v>148</v>
      </c>
      <c r="K108" t="s">
        <v>23</v>
      </c>
      <c r="L108">
        <v>986</v>
      </c>
      <c r="M108">
        <v>16.648975499999999</v>
      </c>
      <c r="N108">
        <v>257.37178628667829</v>
      </c>
      <c r="O108">
        <v>-5.7188111937720443E-3</v>
      </c>
      <c r="P108" s="1" t="str">
        <f>HYPERLINK(".\sm_car_251026_0925\sm_car_251026_0925_107_Ca142TrN_MaDLC_DrSt_ode23t_1.png","figure")</f>
        <v>figure</v>
      </c>
      <c r="Q108" t="s">
        <v>15</v>
      </c>
      <c r="T108">
        <f>L108-'2022a_250915_0045'!L108</f>
        <v>-5</v>
      </c>
      <c r="U108" s="11">
        <f>T108/'2022a_250915_0045'!L108</f>
        <v>-5.0454086781029266E-3</v>
      </c>
      <c r="V108" s="10">
        <f>M108-'2022a_250915_0045'!M108</f>
        <v>0.81804719999999875</v>
      </c>
      <c r="W108" s="11">
        <f>V108/'2022a_250915_0045'!M108</f>
        <v>5.1673988062974095E-2</v>
      </c>
    </row>
    <row r="109" spans="1:23" x14ac:dyDescent="0.25">
      <c r="A109">
        <v>108</v>
      </c>
      <c r="B109">
        <v>142</v>
      </c>
      <c r="C109" t="s">
        <v>45</v>
      </c>
      <c r="D109" t="s">
        <v>17</v>
      </c>
      <c r="E109" t="s">
        <v>49</v>
      </c>
      <c r="F109" t="s">
        <v>28</v>
      </c>
      <c r="G109" t="s">
        <v>26</v>
      </c>
      <c r="H109" t="s">
        <v>21</v>
      </c>
      <c r="I109" t="s">
        <v>54</v>
      </c>
      <c r="J109" t="s">
        <v>148</v>
      </c>
      <c r="K109" t="s">
        <v>23</v>
      </c>
      <c r="L109">
        <v>2626</v>
      </c>
      <c r="M109">
        <v>114.89339510000001</v>
      </c>
      <c r="N109">
        <v>82.599364953240922</v>
      </c>
      <c r="O109">
        <v>0.64727979655148138</v>
      </c>
      <c r="P109" s="1" t="str">
        <f>HYPERLINK(".\sm_car_251026_0925\sm_car_251026_0925_108_Ca142TrN_MaIPA_DrSt_ode23t_1.png","figure")</f>
        <v>figure</v>
      </c>
      <c r="Q109" t="s">
        <v>15</v>
      </c>
      <c r="T109">
        <f>L109-'2022a_250915_0045'!L109</f>
        <v>1250</v>
      </c>
      <c r="U109" s="11">
        <f>T109/'2022a_250915_0045'!L109</f>
        <v>0.90843023255813948</v>
      </c>
      <c r="V109" s="10">
        <f>M109-'2022a_250915_0045'!M109</f>
        <v>81.339605900000009</v>
      </c>
      <c r="W109" s="11">
        <f>V109/'2022a_250915_0045'!M109</f>
        <v>2.4241555973058331</v>
      </c>
    </row>
    <row r="110" spans="1:23" x14ac:dyDescent="0.25">
      <c r="A110">
        <v>109</v>
      </c>
      <c r="B110">
        <v>145</v>
      </c>
      <c r="C110" t="s">
        <v>46</v>
      </c>
      <c r="D110" t="s">
        <v>17</v>
      </c>
      <c r="E110" t="s">
        <v>50</v>
      </c>
      <c r="F110" t="s">
        <v>19</v>
      </c>
      <c r="G110" t="s">
        <v>26</v>
      </c>
      <c r="H110" t="s">
        <v>21</v>
      </c>
      <c r="I110" t="s">
        <v>53</v>
      </c>
      <c r="J110" t="s">
        <v>148</v>
      </c>
      <c r="K110" t="s">
        <v>23</v>
      </c>
      <c r="L110">
        <v>456</v>
      </c>
      <c r="M110">
        <v>15.037164000000001</v>
      </c>
      <c r="N110">
        <v>253.91319581641682</v>
      </c>
      <c r="O110">
        <v>7.4963089743133704E-2</v>
      </c>
      <c r="P110" s="1" t="str">
        <f>HYPERLINK(".\sm_car_251026_0925\sm_car_251026_0925_109_Ca145TrN_MaDLC_DrSt_ode23t_1.png","figure")</f>
        <v>figure</v>
      </c>
      <c r="Q110" t="s">
        <v>15</v>
      </c>
      <c r="T110">
        <f>L110-'2022a_250915_0045'!L110</f>
        <v>-5</v>
      </c>
      <c r="U110" s="11">
        <f>T110/'2022a_250915_0045'!L110</f>
        <v>-1.0845986984815618E-2</v>
      </c>
      <c r="V110" s="10">
        <f>M110-'2022a_250915_0045'!M110</f>
        <v>0.55383470000000123</v>
      </c>
      <c r="W110" s="11">
        <f>V110/'2022a_250915_0045'!M110</f>
        <v>3.8239460591426397E-2</v>
      </c>
    </row>
    <row r="111" spans="1:23" x14ac:dyDescent="0.25">
      <c r="A111">
        <v>110</v>
      </c>
      <c r="B111">
        <v>145</v>
      </c>
      <c r="C111" t="s">
        <v>46</v>
      </c>
      <c r="D111" t="s">
        <v>17</v>
      </c>
      <c r="E111" t="s">
        <v>50</v>
      </c>
      <c r="F111" t="s">
        <v>19</v>
      </c>
      <c r="G111" t="s">
        <v>26</v>
      </c>
      <c r="H111" t="s">
        <v>21</v>
      </c>
      <c r="I111" t="s">
        <v>54</v>
      </c>
      <c r="J111" t="s">
        <v>148</v>
      </c>
      <c r="K111" t="s">
        <v>23</v>
      </c>
      <c r="L111">
        <v>325</v>
      </c>
      <c r="M111">
        <v>13.188564700000001</v>
      </c>
      <c r="N111">
        <v>27.998461636590214</v>
      </c>
      <c r="O111">
        <v>1.5705800278626725E-2</v>
      </c>
      <c r="P111" s="1" t="str">
        <f>HYPERLINK(".\sm_car_251026_0925\sm_car_251026_0925_110_Ca145TrN_MaIPA_DrSt_ode23t_1.png","figure")</f>
        <v>figure</v>
      </c>
      <c r="Q111" t="s">
        <v>15</v>
      </c>
      <c r="T111">
        <f>L111-'2022a_250915_0045'!L111</f>
        <v>3</v>
      </c>
      <c r="U111" s="11">
        <f>T111/'2022a_250915_0045'!L111</f>
        <v>9.316770186335404E-3</v>
      </c>
      <c r="V111" s="10">
        <f>M111-'2022a_250915_0045'!M111</f>
        <v>2.2317917999999999</v>
      </c>
      <c r="W111" s="11">
        <f>V111/'2022a_250915_0045'!M111</f>
        <v>0.20369061404932468</v>
      </c>
    </row>
    <row r="112" spans="1:23" x14ac:dyDescent="0.25">
      <c r="A112">
        <v>111</v>
      </c>
      <c r="B112">
        <v>184</v>
      </c>
      <c r="C112" t="s">
        <v>105</v>
      </c>
      <c r="D112" t="s">
        <v>120</v>
      </c>
      <c r="E112" t="s">
        <v>49</v>
      </c>
      <c r="F112" t="s">
        <v>19</v>
      </c>
      <c r="G112" t="s">
        <v>20</v>
      </c>
      <c r="H112" t="s">
        <v>21</v>
      </c>
      <c r="I112" t="s">
        <v>53</v>
      </c>
      <c r="J112" t="s">
        <v>148</v>
      </c>
      <c r="K112" t="s">
        <v>23</v>
      </c>
      <c r="L112">
        <v>378</v>
      </c>
      <c r="M112">
        <v>10.572048300000001</v>
      </c>
      <c r="N112">
        <v>253.81512681897908</v>
      </c>
      <c r="O112">
        <v>1.0987491951262474E-2</v>
      </c>
      <c r="P112" s="1" t="str">
        <f>HYPERLINK(".\sm_car_251026_0925\sm_car_251026_0925_111_Ca184TrN_MaDLC_DrSt_ode23t_1.png","figure")</f>
        <v>figure</v>
      </c>
      <c r="Q112" t="s">
        <v>15</v>
      </c>
      <c r="T112">
        <f>L112-'2022a_250915_0045'!L112</f>
        <v>-2</v>
      </c>
      <c r="U112" s="11">
        <f>T112/'2022a_250915_0045'!L112</f>
        <v>-5.263157894736842E-3</v>
      </c>
      <c r="V112" s="10">
        <f>M112-'2022a_250915_0045'!M112</f>
        <v>9.0124400000000549E-2</v>
      </c>
      <c r="W112" s="11">
        <f>V112/'2022a_250915_0045'!M112</f>
        <v>8.5980780684737218E-3</v>
      </c>
    </row>
    <row r="113" spans="1:23" x14ac:dyDescent="0.25">
      <c r="A113">
        <v>112</v>
      </c>
      <c r="B113">
        <v>184</v>
      </c>
      <c r="C113" t="s">
        <v>105</v>
      </c>
      <c r="D113" t="s">
        <v>120</v>
      </c>
      <c r="E113" t="s">
        <v>49</v>
      </c>
      <c r="F113" t="s">
        <v>19</v>
      </c>
      <c r="G113" t="s">
        <v>20</v>
      </c>
      <c r="H113" t="s">
        <v>21</v>
      </c>
      <c r="I113" t="s">
        <v>54</v>
      </c>
      <c r="J113" t="s">
        <v>148</v>
      </c>
      <c r="K113" t="s">
        <v>23</v>
      </c>
      <c r="L113">
        <v>304</v>
      </c>
      <c r="M113">
        <v>12.1596262</v>
      </c>
      <c r="N113">
        <v>55.268394407370316</v>
      </c>
      <c r="O113">
        <v>5.7474368071896874E-3</v>
      </c>
      <c r="P113" s="1" t="str">
        <f>HYPERLINK(".\sm_car_251026_0925\sm_car_251026_0925_112_Ca184TrN_MaIPA_DrSt_ode23t_1.png","figure")</f>
        <v>figure</v>
      </c>
      <c r="Q113" t="s">
        <v>15</v>
      </c>
      <c r="T113">
        <f>L113-'2022a_250915_0045'!L113</f>
        <v>0</v>
      </c>
      <c r="U113" s="11">
        <f>T113/'2022a_250915_0045'!L113</f>
        <v>0</v>
      </c>
      <c r="V113" s="10">
        <f>M113-'2022a_250915_0045'!M113</f>
        <v>1.0696691000000005</v>
      </c>
      <c r="W113" s="11">
        <f>V113/'2022a_250915_0045'!M113</f>
        <v>9.6453853730417094E-2</v>
      </c>
    </row>
    <row r="114" spans="1:23" x14ac:dyDescent="0.25">
      <c r="A114">
        <v>113</v>
      </c>
      <c r="B114">
        <v>204</v>
      </c>
      <c r="C114" t="s">
        <v>105</v>
      </c>
      <c r="D114" t="s">
        <v>106</v>
      </c>
      <c r="E114" t="s">
        <v>18</v>
      </c>
      <c r="F114" t="s">
        <v>19</v>
      </c>
      <c r="G114" t="s">
        <v>20</v>
      </c>
      <c r="H114" t="s">
        <v>21</v>
      </c>
      <c r="I114" t="s">
        <v>53</v>
      </c>
      <c r="J114" t="s">
        <v>148</v>
      </c>
      <c r="K114" t="s">
        <v>23</v>
      </c>
      <c r="L114">
        <v>1846</v>
      </c>
      <c r="M114">
        <v>24.5625018</v>
      </c>
      <c r="N114">
        <v>254.66277026108662</v>
      </c>
      <c r="O114">
        <v>1.8069888375600307E-2</v>
      </c>
      <c r="P114" s="1" t="str">
        <f>HYPERLINK(".\sm_car_251026_0925\sm_car_251026_0925_113_Ca204TrN_MaDLC_DrSt_ode23t_1.png","figure")</f>
        <v>figure</v>
      </c>
      <c r="Q114" t="s">
        <v>15</v>
      </c>
      <c r="T114">
        <f>L114-'2022a_250915_0045'!L114</f>
        <v>0</v>
      </c>
      <c r="U114" s="11">
        <f>T114/'2022a_250915_0045'!L114</f>
        <v>0</v>
      </c>
      <c r="V114" s="10">
        <f>M114-'2022a_250915_0045'!M114</f>
        <v>-0.30561379999999971</v>
      </c>
      <c r="W114" s="11">
        <f>V114/'2022a_250915_0045'!M114</f>
        <v>-1.2289383116748891E-2</v>
      </c>
    </row>
    <row r="115" spans="1:23" x14ac:dyDescent="0.25">
      <c r="A115">
        <v>114</v>
      </c>
      <c r="B115">
        <v>204</v>
      </c>
      <c r="C115" t="s">
        <v>105</v>
      </c>
      <c r="D115" t="s">
        <v>106</v>
      </c>
      <c r="E115" t="s">
        <v>18</v>
      </c>
      <c r="F115" t="s">
        <v>19</v>
      </c>
      <c r="G115" t="s">
        <v>20</v>
      </c>
      <c r="H115" t="s">
        <v>21</v>
      </c>
      <c r="I115" t="s">
        <v>54</v>
      </c>
      <c r="J115" t="s">
        <v>148</v>
      </c>
      <c r="K115" t="s">
        <v>23</v>
      </c>
      <c r="L115">
        <v>663</v>
      </c>
      <c r="M115">
        <v>10.3356972</v>
      </c>
      <c r="N115">
        <v>26.034582908336471</v>
      </c>
      <c r="O115">
        <v>9.6641497332310318E-3</v>
      </c>
      <c r="P115" s="1" t="str">
        <f>HYPERLINK(".\sm_car_251026_0925\sm_car_251026_0925_114_Ca204TrN_MaIPA_DrSt_ode23t_1.png","figure")</f>
        <v>figure</v>
      </c>
      <c r="Q115" t="s">
        <v>15</v>
      </c>
      <c r="T115">
        <f>L115-'2022a_250915_0045'!L115</f>
        <v>0</v>
      </c>
      <c r="U115" s="11">
        <f>T115/'2022a_250915_0045'!L115</f>
        <v>0</v>
      </c>
      <c r="V115" s="10">
        <f>M115-'2022a_250915_0045'!M115</f>
        <v>-0.19212379999999918</v>
      </c>
      <c r="W115" s="11">
        <f>V115/'2022a_250915_0045'!M115</f>
        <v>-1.824915146258653E-2</v>
      </c>
    </row>
    <row r="116" spans="1:23" x14ac:dyDescent="0.25">
      <c r="A116">
        <v>115</v>
      </c>
      <c r="B116">
        <v>12</v>
      </c>
      <c r="C116" t="s">
        <v>16</v>
      </c>
      <c r="D116" t="s">
        <v>17</v>
      </c>
      <c r="E116" t="s">
        <v>49</v>
      </c>
      <c r="F116" t="s">
        <v>28</v>
      </c>
      <c r="G116" t="s">
        <v>20</v>
      </c>
      <c r="H116" t="s">
        <v>21</v>
      </c>
      <c r="I116" t="s">
        <v>55</v>
      </c>
      <c r="J116" t="s">
        <v>148</v>
      </c>
      <c r="K116" t="s">
        <v>23</v>
      </c>
      <c r="L116">
        <v>2568</v>
      </c>
      <c r="M116">
        <v>26.390191300000001</v>
      </c>
      <c r="N116">
        <v>1.4112706717649137E-3</v>
      </c>
      <c r="O116">
        <v>-0.64638269016647132</v>
      </c>
      <c r="P116" s="1" t="str">
        <f>HYPERLINK(".\sm_car_251026_0925\sm_car_251026_0925_115_Ca012TrN_MaMPK_DrSt_ode23t_1.png","figure")</f>
        <v>figure</v>
      </c>
      <c r="Q116" t="s">
        <v>15</v>
      </c>
      <c r="T116">
        <f>L116-'2022a_250915_0045'!L116</f>
        <v>-11</v>
      </c>
      <c r="U116" s="11">
        <f>T116/'2022a_250915_0045'!L116</f>
        <v>-4.2652190771616909E-3</v>
      </c>
      <c r="V116" s="10">
        <f>M116-'2022a_250915_0045'!M116</f>
        <v>0.16581150000000022</v>
      </c>
      <c r="W116" s="11">
        <f>V116/'2022a_250915_0045'!M116</f>
        <v>6.3227996720822436E-3</v>
      </c>
    </row>
    <row r="117" spans="1:23" x14ac:dyDescent="0.25">
      <c r="A117">
        <v>116</v>
      </c>
      <c r="B117">
        <v>12</v>
      </c>
      <c r="C117" t="s">
        <v>16</v>
      </c>
      <c r="D117" t="s">
        <v>17</v>
      </c>
      <c r="E117" t="s">
        <v>49</v>
      </c>
      <c r="F117" t="s">
        <v>28</v>
      </c>
      <c r="G117" t="s">
        <v>20</v>
      </c>
      <c r="H117" t="s">
        <v>21</v>
      </c>
      <c r="I117" t="s">
        <v>55</v>
      </c>
      <c r="J117" t="s">
        <v>149</v>
      </c>
      <c r="K117" t="s">
        <v>23</v>
      </c>
      <c r="L117">
        <v>2396</v>
      </c>
      <c r="M117">
        <v>23.6070989</v>
      </c>
      <c r="N117">
        <v>-1.0075122451985816E-2</v>
      </c>
      <c r="O117">
        <v>-3.8070463547379682E-2</v>
      </c>
      <c r="P117" s="1" t="str">
        <f>HYPERLINK(".\sm_car_251026_0925\sm_car_251026_0925_116_Ca012TrN_MaMPK_DrSt_ode23t_1.png","figure")</f>
        <v>figure</v>
      </c>
      <c r="Q117" t="s">
        <v>15</v>
      </c>
      <c r="T117">
        <f>L117-'2022a_250915_0045'!L117</f>
        <v>-20</v>
      </c>
      <c r="U117" s="11">
        <f>T117/'2022a_250915_0045'!L117</f>
        <v>-8.2781456953642391E-3</v>
      </c>
      <c r="V117" s="10">
        <f>M117-'2022a_250915_0045'!M117</f>
        <v>0.56112600000000157</v>
      </c>
      <c r="W117" s="11">
        <f>V117/'2022a_250915_0045'!M117</f>
        <v>2.4348115066992967E-2</v>
      </c>
    </row>
    <row r="118" spans="1:23" x14ac:dyDescent="0.25">
      <c r="A118">
        <v>117</v>
      </c>
      <c r="B118">
        <v>12</v>
      </c>
      <c r="C118" t="s">
        <v>16</v>
      </c>
      <c r="D118" t="s">
        <v>17</v>
      </c>
      <c r="E118" t="s">
        <v>49</v>
      </c>
      <c r="F118" t="s">
        <v>28</v>
      </c>
      <c r="G118" t="s">
        <v>20</v>
      </c>
      <c r="H118" t="s">
        <v>21</v>
      </c>
      <c r="I118" t="s">
        <v>56</v>
      </c>
      <c r="J118" t="s">
        <v>148</v>
      </c>
      <c r="K118" t="s">
        <v>23</v>
      </c>
      <c r="L118">
        <v>2418</v>
      </c>
      <c r="M118">
        <v>22.790503900000001</v>
      </c>
      <c r="N118">
        <v>0.7815394173634207</v>
      </c>
      <c r="O118">
        <v>-0.33085038090582436</v>
      </c>
      <c r="P118" s="1" t="str">
        <f>HYPERLINK(".\sm_car_251026_0925\sm_car_251026_0925_117_Ca012TrN_MaMPC_DrSt_ode23t_1.png","figure")</f>
        <v>figure</v>
      </c>
      <c r="Q118" t="s">
        <v>15</v>
      </c>
      <c r="T118">
        <f>L118-'2022a_250915_0045'!L118</f>
        <v>2</v>
      </c>
      <c r="U118" s="11">
        <f>T118/'2022a_250915_0045'!L118</f>
        <v>8.2781456953642384E-4</v>
      </c>
      <c r="V118" s="10">
        <f>M118-'2022a_250915_0045'!M118</f>
        <v>-0.67526089999999783</v>
      </c>
      <c r="W118" s="11">
        <f>V118/'2022a_250915_0045'!M118</f>
        <v>-2.8776428373644906E-2</v>
      </c>
    </row>
    <row r="119" spans="1:23" x14ac:dyDescent="0.25">
      <c r="A119">
        <v>118</v>
      </c>
      <c r="B119">
        <v>12</v>
      </c>
      <c r="C119" t="s">
        <v>16</v>
      </c>
      <c r="D119" t="s">
        <v>17</v>
      </c>
      <c r="E119" t="s">
        <v>49</v>
      </c>
      <c r="F119" t="s">
        <v>28</v>
      </c>
      <c r="G119" t="s">
        <v>20</v>
      </c>
      <c r="H119" t="s">
        <v>21</v>
      </c>
      <c r="I119" t="s">
        <v>56</v>
      </c>
      <c r="J119" t="s">
        <v>149</v>
      </c>
      <c r="K119" t="s">
        <v>23</v>
      </c>
      <c r="L119">
        <v>2238</v>
      </c>
      <c r="M119">
        <v>22.569857800000001</v>
      </c>
      <c r="N119">
        <v>0.76769082448496917</v>
      </c>
      <c r="O119">
        <v>0.10506005799265003</v>
      </c>
      <c r="P119" s="1" t="str">
        <f>HYPERLINK(".\sm_car_251026_0925\sm_car_251026_0925_118_Ca012TrN_MaMPC_DrSt_ode23t_1.png","figure")</f>
        <v>figure</v>
      </c>
      <c r="Q119" t="s">
        <v>15</v>
      </c>
      <c r="T119">
        <f>L119-'2022a_250915_0045'!L119</f>
        <v>-25</v>
      </c>
      <c r="U119" s="11">
        <f>T119/'2022a_250915_0045'!L119</f>
        <v>-1.104728236853734E-2</v>
      </c>
      <c r="V119" s="10">
        <f>M119-'2022a_250915_0045'!M119</f>
        <v>-1.4191365999999981</v>
      </c>
      <c r="W119" s="11">
        <f>V119/'2022a_250915_0045'!M119</f>
        <v>-5.9157819470748559E-2</v>
      </c>
    </row>
    <row r="120" spans="1:23" x14ac:dyDescent="0.25">
      <c r="A120">
        <v>119</v>
      </c>
      <c r="B120">
        <v>142</v>
      </c>
      <c r="C120" t="s">
        <v>45</v>
      </c>
      <c r="D120" t="s">
        <v>17</v>
      </c>
      <c r="E120" t="s">
        <v>49</v>
      </c>
      <c r="F120" t="s">
        <v>28</v>
      </c>
      <c r="G120" t="s">
        <v>26</v>
      </c>
      <c r="H120" t="s">
        <v>21</v>
      </c>
      <c r="I120" t="s">
        <v>55</v>
      </c>
      <c r="J120" t="s">
        <v>148</v>
      </c>
      <c r="K120" t="s">
        <v>23</v>
      </c>
      <c r="L120">
        <v>2531</v>
      </c>
      <c r="M120">
        <v>30.441647799999998</v>
      </c>
      <c r="N120">
        <v>-1.8010876649658128E-2</v>
      </c>
      <c r="O120">
        <v>-0.55853463799721692</v>
      </c>
      <c r="P120" s="1" t="str">
        <f>HYPERLINK(".\sm_car_251026_0925\sm_car_251026_0925_119_Ca142TrN_MaMPK_DrSt_ode23t_1.png","figure")</f>
        <v>figure</v>
      </c>
      <c r="Q120" t="s">
        <v>15</v>
      </c>
      <c r="T120">
        <f>L120-'2022a_250915_0045'!L120</f>
        <v>15</v>
      </c>
      <c r="U120" s="11">
        <f>T120/'2022a_250915_0045'!L120</f>
        <v>5.9618441971383152E-3</v>
      </c>
      <c r="V120" s="10">
        <f>M120-'2022a_250915_0045'!M120</f>
        <v>3.9138503999999976</v>
      </c>
      <c r="W120" s="11">
        <f>V120/'2022a_250915_0045'!M120</f>
        <v>0.1475377069940981</v>
      </c>
    </row>
    <row r="121" spans="1:23" x14ac:dyDescent="0.25">
      <c r="A121">
        <v>120</v>
      </c>
      <c r="B121">
        <v>142</v>
      </c>
      <c r="C121" t="s">
        <v>45</v>
      </c>
      <c r="D121" t="s">
        <v>17</v>
      </c>
      <c r="E121" t="s">
        <v>49</v>
      </c>
      <c r="F121" t="s">
        <v>28</v>
      </c>
      <c r="G121" t="s">
        <v>26</v>
      </c>
      <c r="H121" t="s">
        <v>21</v>
      </c>
      <c r="I121" t="s">
        <v>55</v>
      </c>
      <c r="J121" t="s">
        <v>149</v>
      </c>
      <c r="K121" t="s">
        <v>23</v>
      </c>
      <c r="L121">
        <v>2907</v>
      </c>
      <c r="M121">
        <v>31.1038785</v>
      </c>
      <c r="N121">
        <v>-1.0179296612517624E-2</v>
      </c>
      <c r="O121">
        <v>-7.9698286531881032E-2</v>
      </c>
      <c r="P121" s="1" t="str">
        <f>HYPERLINK(".\sm_car_251026_0925\sm_car_251026_0925_120_Ca142TrN_MaMPK_DrSt_ode23t_1.png","figure")</f>
        <v>figure</v>
      </c>
      <c r="Q121" t="s">
        <v>15</v>
      </c>
      <c r="T121">
        <f>L121-'2022a_250915_0045'!L121</f>
        <v>34</v>
      </c>
      <c r="U121" s="11">
        <f>T121/'2022a_250915_0045'!L121</f>
        <v>1.1834319526627219E-2</v>
      </c>
      <c r="V121" s="10">
        <f>M121-'2022a_250915_0045'!M121</f>
        <v>-0.12257419999999897</v>
      </c>
      <c r="W121" s="11">
        <f>V121/'2022a_250915_0045'!M121</f>
        <v>-3.925332191190547E-3</v>
      </c>
    </row>
    <row r="122" spans="1:23" x14ac:dyDescent="0.25">
      <c r="A122">
        <v>121</v>
      </c>
      <c r="B122">
        <v>142</v>
      </c>
      <c r="C122" t="s">
        <v>45</v>
      </c>
      <c r="D122" t="s">
        <v>17</v>
      </c>
      <c r="E122" t="s">
        <v>49</v>
      </c>
      <c r="F122" t="s">
        <v>28</v>
      </c>
      <c r="G122" t="s">
        <v>26</v>
      </c>
      <c r="H122" t="s">
        <v>21</v>
      </c>
      <c r="I122" t="s">
        <v>56</v>
      </c>
      <c r="J122" t="s">
        <v>148</v>
      </c>
      <c r="K122" t="s">
        <v>23</v>
      </c>
      <c r="L122">
        <v>2408</v>
      </c>
      <c r="M122">
        <v>35.228015999999997</v>
      </c>
      <c r="N122">
        <v>0.78725360623741913</v>
      </c>
      <c r="O122">
        <v>-0.37153875940878955</v>
      </c>
      <c r="P122" s="1" t="str">
        <f>HYPERLINK(".\sm_car_251026_0925\sm_car_251026_0925_121_Ca142TrN_MaMPC_DrSt_ode23t_1.png","figure")</f>
        <v>figure</v>
      </c>
      <c r="Q122" t="s">
        <v>15</v>
      </c>
      <c r="T122">
        <f>L122-'2022a_250915_0045'!L122</f>
        <v>11</v>
      </c>
      <c r="U122" s="11">
        <f>T122/'2022a_250915_0045'!L122</f>
        <v>4.5890696704213602E-3</v>
      </c>
      <c r="V122" s="10">
        <f>M122-'2022a_250915_0045'!M122</f>
        <v>1.8536000999999942</v>
      </c>
      <c r="W122" s="11">
        <f>V122/'2022a_250915_0045'!M122</f>
        <v>5.5539551779840858E-2</v>
      </c>
    </row>
    <row r="123" spans="1:23" x14ac:dyDescent="0.25">
      <c r="A123">
        <v>122</v>
      </c>
      <c r="B123">
        <v>142</v>
      </c>
      <c r="C123" t="s">
        <v>45</v>
      </c>
      <c r="D123" t="s">
        <v>17</v>
      </c>
      <c r="E123" t="s">
        <v>49</v>
      </c>
      <c r="F123" t="s">
        <v>28</v>
      </c>
      <c r="G123" t="s">
        <v>26</v>
      </c>
      <c r="H123" t="s">
        <v>21</v>
      </c>
      <c r="I123" t="s">
        <v>56</v>
      </c>
      <c r="J123" t="s">
        <v>149</v>
      </c>
      <c r="K123" t="s">
        <v>23</v>
      </c>
      <c r="L123">
        <v>2763</v>
      </c>
      <c r="M123">
        <v>35.057316899999996</v>
      </c>
      <c r="N123">
        <v>0.77814020572215981</v>
      </c>
      <c r="O123">
        <v>1.8029188915726083E-2</v>
      </c>
      <c r="P123" s="1" t="str">
        <f>HYPERLINK(".\sm_car_251026_0925\sm_car_251026_0925_122_Ca142TrN_MaMPC_DrSt_ode23t_1.png","figure")</f>
        <v>figure</v>
      </c>
      <c r="Q123" t="s">
        <v>15</v>
      </c>
      <c r="T123">
        <f>L123-'2022a_250915_0045'!L123</f>
        <v>11</v>
      </c>
      <c r="U123" s="11">
        <f>T123/'2022a_250915_0045'!L123</f>
        <v>3.9970930232558141E-3</v>
      </c>
      <c r="V123" s="10">
        <f>M123-'2022a_250915_0045'!M123</f>
        <v>1.3538621999999947</v>
      </c>
      <c r="W123" s="11">
        <f>V123/'2022a_250915_0045'!M123</f>
        <v>4.0169834577818357E-2</v>
      </c>
    </row>
    <row r="124" spans="1:23" x14ac:dyDescent="0.25">
      <c r="A124">
        <v>123</v>
      </c>
      <c r="B124">
        <v>116</v>
      </c>
      <c r="C124" t="s">
        <v>16</v>
      </c>
      <c r="D124" t="s">
        <v>35</v>
      </c>
      <c r="E124" t="s">
        <v>18</v>
      </c>
      <c r="F124" t="s">
        <v>28</v>
      </c>
      <c r="G124" t="s">
        <v>20</v>
      </c>
      <c r="H124" t="s">
        <v>21</v>
      </c>
      <c r="I124" t="s">
        <v>55</v>
      </c>
      <c r="J124" t="s">
        <v>148</v>
      </c>
      <c r="K124" t="s">
        <v>23</v>
      </c>
      <c r="L124">
        <v>2865</v>
      </c>
      <c r="M124">
        <v>14.2862148</v>
      </c>
      <c r="N124">
        <v>-1.6169286702505836E-2</v>
      </c>
      <c r="O124">
        <v>-0.54248772235454312</v>
      </c>
      <c r="P124" s="1" t="str">
        <f>HYPERLINK(".\sm_car_251026_0925\sm_car_251026_0925_123_Ca116TrN_MaMPK_DrSt_ode23t_1.png","figure")</f>
        <v>figure</v>
      </c>
      <c r="Q124" t="s">
        <v>15</v>
      </c>
      <c r="T124">
        <f>L124-'2022a_250915_0045'!L124</f>
        <v>-10</v>
      </c>
      <c r="U124" s="11">
        <f>T124/'2022a_250915_0045'!L124</f>
        <v>-3.4782608695652175E-3</v>
      </c>
      <c r="V124" s="10">
        <f>M124-'2022a_250915_0045'!M124</f>
        <v>-4.6810300000000638E-2</v>
      </c>
      <c r="W124" s="11">
        <f>V124/'2022a_250915_0045'!M124</f>
        <v>-3.2659051158712223E-3</v>
      </c>
    </row>
    <row r="125" spans="1:23" x14ac:dyDescent="0.25">
      <c r="A125">
        <v>124</v>
      </c>
      <c r="B125">
        <v>116</v>
      </c>
      <c r="C125" t="s">
        <v>16</v>
      </c>
      <c r="D125" t="s">
        <v>35</v>
      </c>
      <c r="E125" t="s">
        <v>18</v>
      </c>
      <c r="F125" t="s">
        <v>28</v>
      </c>
      <c r="G125" t="s">
        <v>20</v>
      </c>
      <c r="H125" t="s">
        <v>21</v>
      </c>
      <c r="I125" t="s">
        <v>55</v>
      </c>
      <c r="J125" t="s">
        <v>149</v>
      </c>
      <c r="K125" t="s">
        <v>23</v>
      </c>
      <c r="L125">
        <v>2783</v>
      </c>
      <c r="M125">
        <v>14.473663</v>
      </c>
      <c r="N125">
        <v>-1.8917611355511205E-2</v>
      </c>
      <c r="O125">
        <v>-0.53539972944495484</v>
      </c>
      <c r="P125" s="1" t="str">
        <f>HYPERLINK(".\sm_car_251026_0925\sm_car_251026_0925_124_Ca116TrN_MaMPK_DrSt_ode23t_1.png","figure")</f>
        <v>figure</v>
      </c>
      <c r="Q125" t="s">
        <v>15</v>
      </c>
      <c r="T125">
        <f>L125-'2022a_250915_0045'!L125</f>
        <v>-10</v>
      </c>
      <c r="U125" s="11">
        <f>T125/'2022a_250915_0045'!L125</f>
        <v>-3.5803795202291443E-3</v>
      </c>
      <c r="V125" s="10">
        <f>M125-'2022a_250915_0045'!M125</f>
        <v>0.97887530000000034</v>
      </c>
      <c r="W125" s="11">
        <f>V125/'2022a_250915_0045'!M125</f>
        <v>7.253728785966751E-2</v>
      </c>
    </row>
    <row r="126" spans="1:23" x14ac:dyDescent="0.25">
      <c r="A126">
        <v>125</v>
      </c>
      <c r="B126">
        <v>116</v>
      </c>
      <c r="C126" t="s">
        <v>16</v>
      </c>
      <c r="D126" t="s">
        <v>35</v>
      </c>
      <c r="E126" t="s">
        <v>18</v>
      </c>
      <c r="F126" t="s">
        <v>28</v>
      </c>
      <c r="G126" t="s">
        <v>20</v>
      </c>
      <c r="H126" t="s">
        <v>21</v>
      </c>
      <c r="I126" t="s">
        <v>56</v>
      </c>
      <c r="J126" t="s">
        <v>148</v>
      </c>
      <c r="K126" t="s">
        <v>23</v>
      </c>
      <c r="L126">
        <v>2758</v>
      </c>
      <c r="M126">
        <v>15.968789599999999</v>
      </c>
      <c r="N126">
        <v>0.78834584458821411</v>
      </c>
      <c r="O126">
        <v>-0.36279364828843169</v>
      </c>
      <c r="P126" s="1" t="str">
        <f>HYPERLINK(".\sm_car_251026_0925\sm_car_251026_0925_125_Ca116TrN_MaMPC_DrSt_ode23t_1.png","figure")</f>
        <v>figure</v>
      </c>
      <c r="Q126" t="s">
        <v>15</v>
      </c>
      <c r="T126">
        <f>L126-'2022a_250915_0045'!L126</f>
        <v>13</v>
      </c>
      <c r="U126" s="11">
        <f>T126/'2022a_250915_0045'!L126</f>
        <v>4.7358834244080146E-3</v>
      </c>
      <c r="V126" s="10">
        <f>M126-'2022a_250915_0045'!M126</f>
        <v>1.789644899999999</v>
      </c>
      <c r="W126" s="11">
        <f>V126/'2022a_250915_0045'!M126</f>
        <v>0.12621670332484858</v>
      </c>
    </row>
    <row r="127" spans="1:23" x14ac:dyDescent="0.25">
      <c r="A127">
        <v>126</v>
      </c>
      <c r="B127">
        <v>116</v>
      </c>
      <c r="C127" t="s">
        <v>16</v>
      </c>
      <c r="D127" t="s">
        <v>35</v>
      </c>
      <c r="E127" t="s">
        <v>18</v>
      </c>
      <c r="F127" t="s">
        <v>28</v>
      </c>
      <c r="G127" t="s">
        <v>20</v>
      </c>
      <c r="H127" t="s">
        <v>21</v>
      </c>
      <c r="I127" t="s">
        <v>56</v>
      </c>
      <c r="J127" t="s">
        <v>149</v>
      </c>
      <c r="K127" t="s">
        <v>23</v>
      </c>
      <c r="L127">
        <v>2617</v>
      </c>
      <c r="M127">
        <v>13.5531673</v>
      </c>
      <c r="N127">
        <v>0.78698557577253325</v>
      </c>
      <c r="O127">
        <v>0.44065061780673592</v>
      </c>
      <c r="P127" s="1" t="str">
        <f>HYPERLINK(".\sm_car_251026_0925\sm_car_251026_0925_126_Ca116TrN_MaMPC_DrSt_ode23t_1.png","figure")</f>
        <v>figure</v>
      </c>
      <c r="Q127" t="s">
        <v>15</v>
      </c>
      <c r="T127">
        <f>L127-'2022a_250915_0045'!L127</f>
        <v>-3</v>
      </c>
      <c r="U127" s="11">
        <f>T127/'2022a_250915_0045'!L127</f>
        <v>-1.1450381679389313E-3</v>
      </c>
      <c r="V127" s="10">
        <f>M127-'2022a_250915_0045'!M127</f>
        <v>0.49395260000000007</v>
      </c>
      <c r="W127" s="11">
        <f>V127/'2022a_250915_0045'!M127</f>
        <v>3.7824066097940798E-2</v>
      </c>
    </row>
    <row r="128" spans="1:23" x14ac:dyDescent="0.25">
      <c r="A128">
        <v>127</v>
      </c>
      <c r="B128">
        <v>143</v>
      </c>
      <c r="C128" t="s">
        <v>46</v>
      </c>
      <c r="D128" t="s">
        <v>17</v>
      </c>
      <c r="E128" t="s">
        <v>47</v>
      </c>
      <c r="F128" t="s">
        <v>19</v>
      </c>
      <c r="G128" t="s">
        <v>26</v>
      </c>
      <c r="H128" t="s">
        <v>21</v>
      </c>
      <c r="I128" t="s">
        <v>55</v>
      </c>
      <c r="J128" t="s">
        <v>148</v>
      </c>
      <c r="K128" t="s">
        <v>23</v>
      </c>
      <c r="L128">
        <v>2472</v>
      </c>
      <c r="M128">
        <v>44.223705600000002</v>
      </c>
      <c r="N128">
        <v>-8.9954068257138281E-3</v>
      </c>
      <c r="O128">
        <v>-0.40490943823782999</v>
      </c>
      <c r="P128" s="1" t="str">
        <f>HYPERLINK(".\sm_car_251026_0925\sm_car_251026_0925_127_Ca143TrN_MaMPK_DrSt_ode23t_1.png","figure")</f>
        <v>figure</v>
      </c>
      <c r="Q128" t="s">
        <v>15</v>
      </c>
      <c r="T128">
        <f>L128-'2022a_250915_0045'!L128</f>
        <v>-6</v>
      </c>
      <c r="U128" s="11">
        <f>T128/'2022a_250915_0045'!L128</f>
        <v>-2.4213075060532689E-3</v>
      </c>
      <c r="V128" s="10">
        <f>M128-'2022a_250915_0045'!M128</f>
        <v>-0.19835659999999677</v>
      </c>
      <c r="W128" s="11">
        <f>V128/'2022a_250915_0045'!M128</f>
        <v>-4.4652722133191915E-3</v>
      </c>
    </row>
    <row r="129" spans="1:23" x14ac:dyDescent="0.25">
      <c r="A129">
        <v>128</v>
      </c>
      <c r="B129">
        <v>143</v>
      </c>
      <c r="C129" t="s">
        <v>46</v>
      </c>
      <c r="D129" t="s">
        <v>17</v>
      </c>
      <c r="E129" t="s">
        <v>47</v>
      </c>
      <c r="F129" t="s">
        <v>19</v>
      </c>
      <c r="G129" t="s">
        <v>26</v>
      </c>
      <c r="H129" t="s">
        <v>21</v>
      </c>
      <c r="I129" t="s">
        <v>55</v>
      </c>
      <c r="J129" t="s">
        <v>149</v>
      </c>
      <c r="K129" t="s">
        <v>23</v>
      </c>
      <c r="L129">
        <v>2172</v>
      </c>
      <c r="M129">
        <v>38.685116299999997</v>
      </c>
      <c r="N129">
        <v>-1.14893309406775E-2</v>
      </c>
      <c r="O129">
        <v>-9.2083167102956567E-2</v>
      </c>
      <c r="P129" s="1" t="str">
        <f>HYPERLINK(".\sm_car_251026_0925\sm_car_251026_0925_128_Ca143TrN_MaMPK_DrSt_ode23t_1.png","figure")</f>
        <v>figure</v>
      </c>
      <c r="Q129" t="s">
        <v>15</v>
      </c>
      <c r="T129">
        <f>L129-'2022a_250915_0045'!L129</f>
        <v>-32</v>
      </c>
      <c r="U129" s="11">
        <f>T129/'2022a_250915_0045'!L129</f>
        <v>-1.4519056261343012E-2</v>
      </c>
      <c r="V129" s="10">
        <f>M129-'2022a_250915_0045'!M129</f>
        <v>-0.36008860000000453</v>
      </c>
      <c r="W129" s="11">
        <f>V129/'2022a_250915_0045'!M129</f>
        <v>-9.2223513981355629E-3</v>
      </c>
    </row>
    <row r="130" spans="1:23" x14ac:dyDescent="0.25">
      <c r="A130">
        <v>129</v>
      </c>
      <c r="B130">
        <v>143</v>
      </c>
      <c r="C130" t="s">
        <v>46</v>
      </c>
      <c r="D130" t="s">
        <v>17</v>
      </c>
      <c r="E130" t="s">
        <v>47</v>
      </c>
      <c r="F130" t="s">
        <v>19</v>
      </c>
      <c r="G130" t="s">
        <v>26</v>
      </c>
      <c r="H130" t="s">
        <v>21</v>
      </c>
      <c r="I130" t="s">
        <v>56</v>
      </c>
      <c r="J130" t="s">
        <v>148</v>
      </c>
      <c r="K130" t="s">
        <v>23</v>
      </c>
      <c r="L130">
        <v>2345</v>
      </c>
      <c r="M130">
        <v>44.021825999999997</v>
      </c>
      <c r="N130">
        <v>0.71728367290584671</v>
      </c>
      <c r="O130">
        <v>-0.27116684423607901</v>
      </c>
      <c r="P130" s="1" t="str">
        <f>HYPERLINK(".\sm_car_251026_0925\sm_car_251026_0925_129_Ca143TrN_MaMPC_DrSt_ode23t_1.png","figure")</f>
        <v>figure</v>
      </c>
      <c r="Q130" t="s">
        <v>15</v>
      </c>
      <c r="T130">
        <f>L130-'2022a_250915_0045'!L130</f>
        <v>-31</v>
      </c>
      <c r="U130" s="11">
        <f>T130/'2022a_250915_0045'!L130</f>
        <v>-1.3047138047138047E-2</v>
      </c>
      <c r="V130" s="10">
        <f>M130-'2022a_250915_0045'!M130</f>
        <v>-1.2765914000000009</v>
      </c>
      <c r="W130" s="11">
        <f>V130/'2022a_250915_0045'!M130</f>
        <v>-2.8181810166286316E-2</v>
      </c>
    </row>
    <row r="131" spans="1:23" x14ac:dyDescent="0.25">
      <c r="A131">
        <v>130</v>
      </c>
      <c r="B131">
        <v>143</v>
      </c>
      <c r="C131" t="s">
        <v>46</v>
      </c>
      <c r="D131" t="s">
        <v>17</v>
      </c>
      <c r="E131" t="s">
        <v>47</v>
      </c>
      <c r="F131" t="s">
        <v>19</v>
      </c>
      <c r="G131" t="s">
        <v>26</v>
      </c>
      <c r="H131" t="s">
        <v>21</v>
      </c>
      <c r="I131" t="s">
        <v>56</v>
      </c>
      <c r="J131" t="s">
        <v>149</v>
      </c>
      <c r="K131" t="s">
        <v>23</v>
      </c>
      <c r="L131">
        <v>2125</v>
      </c>
      <c r="M131">
        <v>45.9963245</v>
      </c>
      <c r="N131">
        <v>0.78933598695572726</v>
      </c>
      <c r="O131">
        <v>-0.15743015990615991</v>
      </c>
      <c r="P131" s="1" t="str">
        <f>HYPERLINK(".\sm_car_251026_0925\sm_car_251026_0925_130_Ca143TrN_MaMPC_DrSt_ode23t_1.png","figure")</f>
        <v>figure</v>
      </c>
      <c r="Q131" t="s">
        <v>15</v>
      </c>
      <c r="T131">
        <f>L131-'2022a_250915_0045'!L131</f>
        <v>2</v>
      </c>
      <c r="U131" s="11">
        <f>T131/'2022a_250915_0045'!L131</f>
        <v>9.4206311822892137E-4</v>
      </c>
      <c r="V131" s="10">
        <f>M131-'2022a_250915_0045'!M131</f>
        <v>2.2209860999999975</v>
      </c>
      <c r="W131" s="11">
        <f>V131/'2022a_250915_0045'!M131</f>
        <v>5.0736012128692019E-2</v>
      </c>
    </row>
    <row r="132" spans="1:23" x14ac:dyDescent="0.25">
      <c r="A132">
        <v>131</v>
      </c>
      <c r="B132">
        <v>166</v>
      </c>
      <c r="C132" t="s">
        <v>45</v>
      </c>
      <c r="D132" t="s">
        <v>57</v>
      </c>
      <c r="E132" t="s">
        <v>18</v>
      </c>
      <c r="F132" t="s">
        <v>19</v>
      </c>
      <c r="G132" t="s">
        <v>26</v>
      </c>
      <c r="H132" t="s">
        <v>21</v>
      </c>
      <c r="I132" t="s">
        <v>55</v>
      </c>
      <c r="J132" t="s">
        <v>148</v>
      </c>
      <c r="K132" t="s">
        <v>23</v>
      </c>
      <c r="L132">
        <v>3169</v>
      </c>
      <c r="M132">
        <v>54.496951199999998</v>
      </c>
      <c r="N132">
        <v>-1.4598618471458588E-2</v>
      </c>
      <c r="O132">
        <v>-0.57266344522178747</v>
      </c>
      <c r="P132" s="1" t="str">
        <f>HYPERLINK(".\sm_car_251026_0925\sm_car_251026_0925_131_Ca166TrN_MaMPK_DrSt_ode23t_1.png","figure")</f>
        <v>figure</v>
      </c>
      <c r="Q132" t="s">
        <v>15</v>
      </c>
      <c r="T132">
        <f>L132-'2022a_250915_0045'!L132</f>
        <v>-33</v>
      </c>
      <c r="U132" s="11">
        <f>T132/'2022a_250915_0045'!L132</f>
        <v>-1.0306058713304185E-2</v>
      </c>
      <c r="V132" s="10">
        <f>M132-'2022a_250915_0045'!M132</f>
        <v>2.3886639999999986</v>
      </c>
      <c r="W132" s="11">
        <f>V132/'2022a_250915_0045'!M132</f>
        <v>4.5840386018291511E-2</v>
      </c>
    </row>
    <row r="133" spans="1:23" x14ac:dyDescent="0.25">
      <c r="A133">
        <v>132</v>
      </c>
      <c r="B133">
        <v>166</v>
      </c>
      <c r="C133" t="s">
        <v>45</v>
      </c>
      <c r="D133" t="s">
        <v>57</v>
      </c>
      <c r="E133" t="s">
        <v>18</v>
      </c>
      <c r="F133" t="s">
        <v>19</v>
      </c>
      <c r="G133" t="s">
        <v>26</v>
      </c>
      <c r="H133" t="s">
        <v>21</v>
      </c>
      <c r="I133" t="s">
        <v>55</v>
      </c>
      <c r="J133" t="s">
        <v>149</v>
      </c>
      <c r="K133" t="s">
        <v>23</v>
      </c>
      <c r="L133">
        <v>3740</v>
      </c>
      <c r="M133">
        <v>55.938749100000003</v>
      </c>
      <c r="N133">
        <v>1.7404082918322239E-3</v>
      </c>
      <c r="O133">
        <v>-8.4585511034599922E-2</v>
      </c>
      <c r="P133" s="1" t="str">
        <f>HYPERLINK(".\sm_car_251026_0925\sm_car_251026_0925_132_Ca166TrN_MaMPK_DrSt_ode23t_1.png","figure")</f>
        <v>figure</v>
      </c>
      <c r="Q133" t="s">
        <v>15</v>
      </c>
      <c r="T133">
        <f>L133-'2022a_250915_0045'!L133</f>
        <v>-30</v>
      </c>
      <c r="U133" s="11">
        <f>T133/'2022a_250915_0045'!L133</f>
        <v>-7.9575596816976128E-3</v>
      </c>
      <c r="V133" s="10">
        <f>M133-'2022a_250915_0045'!M133</f>
        <v>-1.4675355999999979</v>
      </c>
      <c r="W133" s="11">
        <f>V133/'2022a_250915_0045'!M133</f>
        <v>-2.5564023306319246E-2</v>
      </c>
    </row>
    <row r="134" spans="1:23" x14ac:dyDescent="0.25">
      <c r="A134">
        <v>133</v>
      </c>
      <c r="B134">
        <v>166</v>
      </c>
      <c r="C134" t="s">
        <v>45</v>
      </c>
      <c r="D134" t="s">
        <v>57</v>
      </c>
      <c r="E134" t="s">
        <v>18</v>
      </c>
      <c r="F134" t="s">
        <v>19</v>
      </c>
      <c r="G134" t="s">
        <v>26</v>
      </c>
      <c r="H134" t="s">
        <v>21</v>
      </c>
      <c r="I134" t="s">
        <v>56</v>
      </c>
      <c r="J134" t="s">
        <v>148</v>
      </c>
      <c r="K134" t="s">
        <v>23</v>
      </c>
      <c r="L134">
        <v>3006</v>
      </c>
      <c r="M134">
        <v>50.958835999999998</v>
      </c>
      <c r="N134">
        <v>0.78848138215043662</v>
      </c>
      <c r="O134">
        <v>-0.36181703170841029</v>
      </c>
      <c r="P134" s="1" t="str">
        <f>HYPERLINK(".\sm_car_251026_0925\sm_car_251026_0925_133_Ca166TrN_MaMPC_DrSt_ode23t_1.png","figure")</f>
        <v>figure</v>
      </c>
      <c r="Q134" t="s">
        <v>15</v>
      </c>
      <c r="T134">
        <f>L134-'2022a_250915_0045'!L134</f>
        <v>-28</v>
      </c>
      <c r="U134" s="11">
        <f>T134/'2022a_250915_0045'!L134</f>
        <v>-9.2287409360580098E-3</v>
      </c>
      <c r="V134" s="10">
        <f>M134-'2022a_250915_0045'!M134</f>
        <v>-2.856843099999999</v>
      </c>
      <c r="W134" s="11">
        <f>V134/'2022a_250915_0045'!M134</f>
        <v>-5.3085701932543285E-2</v>
      </c>
    </row>
    <row r="135" spans="1:23" x14ac:dyDescent="0.25">
      <c r="A135">
        <v>134</v>
      </c>
      <c r="B135">
        <v>166</v>
      </c>
      <c r="C135" t="s">
        <v>45</v>
      </c>
      <c r="D135" t="s">
        <v>57</v>
      </c>
      <c r="E135" t="s">
        <v>18</v>
      </c>
      <c r="F135" t="s">
        <v>19</v>
      </c>
      <c r="G135" t="s">
        <v>26</v>
      </c>
      <c r="H135" t="s">
        <v>21</v>
      </c>
      <c r="I135" t="s">
        <v>56</v>
      </c>
      <c r="J135" t="s">
        <v>149</v>
      </c>
      <c r="K135" t="s">
        <v>23</v>
      </c>
      <c r="L135">
        <v>3483</v>
      </c>
      <c r="M135">
        <v>56.8234821</v>
      </c>
      <c r="N135">
        <v>0.78841300129465886</v>
      </c>
      <c r="O135">
        <v>2.5827174912524505E-2</v>
      </c>
      <c r="P135" s="1" t="str">
        <f>HYPERLINK(".\sm_car_251026_0925\sm_car_251026_0925_134_Ca166TrN_MaMPC_DrSt_ode23t_1.png","figure")</f>
        <v>figure</v>
      </c>
      <c r="Q135" t="s">
        <v>15</v>
      </c>
      <c r="T135">
        <f>L135-'2022a_250915_0045'!L135</f>
        <v>-3</v>
      </c>
      <c r="U135" s="11">
        <f>T135/'2022a_250915_0045'!L135</f>
        <v>-8.6058519793459555E-4</v>
      </c>
      <c r="V135" s="10">
        <f>M135-'2022a_250915_0045'!M135</f>
        <v>3.9671706999999969</v>
      </c>
      <c r="W135" s="11">
        <f>V135/'2022a_250915_0045'!M135</f>
        <v>7.5055761458223832E-2</v>
      </c>
    </row>
    <row r="136" spans="1:23" x14ac:dyDescent="0.25">
      <c r="A136">
        <v>135</v>
      </c>
      <c r="B136">
        <v>169</v>
      </c>
      <c r="C136" t="s">
        <v>45</v>
      </c>
      <c r="D136" t="s">
        <v>58</v>
      </c>
      <c r="E136" t="s">
        <v>49</v>
      </c>
      <c r="F136" t="s">
        <v>19</v>
      </c>
      <c r="G136" t="s">
        <v>26</v>
      </c>
      <c r="H136" t="s">
        <v>21</v>
      </c>
      <c r="I136" t="s">
        <v>55</v>
      </c>
      <c r="J136" t="s">
        <v>148</v>
      </c>
      <c r="K136" t="s">
        <v>23</v>
      </c>
      <c r="L136">
        <v>3303</v>
      </c>
      <c r="M136">
        <v>47.013683499999999</v>
      </c>
      <c r="N136">
        <v>-1.022615994070554E-2</v>
      </c>
      <c r="O136">
        <v>-0.57379438761584889</v>
      </c>
      <c r="P136" s="1" t="str">
        <f>HYPERLINK(".\sm_car_251026_0925\sm_car_251026_0925_135_Ca169TrN_MaMPK_DrSt_ode23t_1.png","figure")</f>
        <v>figure</v>
      </c>
      <c r="Q136" t="s">
        <v>15</v>
      </c>
      <c r="T136">
        <f>L136-'2022a_250915_0045'!L136</f>
        <v>4</v>
      </c>
      <c r="U136" s="11">
        <f>T136/'2022a_250915_0045'!L136</f>
        <v>1.2124886329190664E-3</v>
      </c>
      <c r="V136" s="10">
        <f>M136-'2022a_250915_0045'!M136</f>
        <v>0.96699389999999852</v>
      </c>
      <c r="W136" s="11">
        <f>V136/'2022a_250915_0045'!M136</f>
        <v>2.100029140857063E-2</v>
      </c>
    </row>
    <row r="137" spans="1:23" x14ac:dyDescent="0.25">
      <c r="A137">
        <v>136</v>
      </c>
      <c r="B137">
        <v>169</v>
      </c>
      <c r="C137" t="s">
        <v>45</v>
      </c>
      <c r="D137" t="s">
        <v>58</v>
      </c>
      <c r="E137" t="s">
        <v>49</v>
      </c>
      <c r="F137" t="s">
        <v>19</v>
      </c>
      <c r="G137" t="s">
        <v>26</v>
      </c>
      <c r="H137" t="s">
        <v>21</v>
      </c>
      <c r="I137" t="s">
        <v>55</v>
      </c>
      <c r="J137" t="s">
        <v>149</v>
      </c>
      <c r="K137" t="s">
        <v>23</v>
      </c>
      <c r="L137">
        <v>3921</v>
      </c>
      <c r="M137">
        <v>54.2842834</v>
      </c>
      <c r="N137">
        <v>-2.9668482698876897E-3</v>
      </c>
      <c r="O137">
        <v>-8.3686803572917121E-2</v>
      </c>
      <c r="P137" s="1" t="str">
        <f>HYPERLINK(".\sm_car_251026_0925\sm_car_251026_0925_136_Ca169TrN_MaMPK_DrSt_ode23t_1.png","figure")</f>
        <v>figure</v>
      </c>
      <c r="Q137" t="s">
        <v>15</v>
      </c>
      <c r="T137">
        <f>L137-'2022a_250915_0045'!L137</f>
        <v>25</v>
      </c>
      <c r="U137" s="11">
        <f>T137/'2022a_250915_0045'!L137</f>
        <v>6.4168377823408621E-3</v>
      </c>
      <c r="V137" s="10">
        <f>M137-'2022a_250915_0045'!M137</f>
        <v>0.99377189999999871</v>
      </c>
      <c r="W137" s="11">
        <f>V137/'2022a_250915_0045'!M137</f>
        <v>1.8648195936344102E-2</v>
      </c>
    </row>
    <row r="138" spans="1:23" x14ac:dyDescent="0.25">
      <c r="A138">
        <v>137</v>
      </c>
      <c r="B138">
        <v>169</v>
      </c>
      <c r="C138" t="s">
        <v>45</v>
      </c>
      <c r="D138" t="s">
        <v>58</v>
      </c>
      <c r="E138" t="s">
        <v>49</v>
      </c>
      <c r="F138" t="s">
        <v>19</v>
      </c>
      <c r="G138" t="s">
        <v>26</v>
      </c>
      <c r="H138" t="s">
        <v>21</v>
      </c>
      <c r="I138" t="s">
        <v>56</v>
      </c>
      <c r="J138" t="s">
        <v>148</v>
      </c>
      <c r="K138" t="s">
        <v>23</v>
      </c>
      <c r="L138">
        <v>3021</v>
      </c>
      <c r="M138">
        <v>45.721651799999997</v>
      </c>
      <c r="N138">
        <v>0.7723455213058692</v>
      </c>
      <c r="O138">
        <v>-0.35980502470039999</v>
      </c>
      <c r="P138" s="1" t="str">
        <f>HYPERLINK(".\sm_car_251026_0925\sm_car_251026_0925_137_Ca169TrN_MaMPC_DrSt_ode23t_1.png","figure")</f>
        <v>figure</v>
      </c>
      <c r="Q138" t="s">
        <v>15</v>
      </c>
      <c r="T138">
        <f>L138-'2022a_250915_0045'!L138</f>
        <v>-7</v>
      </c>
      <c r="U138" s="11">
        <f>T138/'2022a_250915_0045'!L138</f>
        <v>-2.311756935270806E-3</v>
      </c>
      <c r="V138" s="10">
        <f>M138-'2022a_250915_0045'!M138</f>
        <v>0.90287159999999744</v>
      </c>
      <c r="W138" s="11">
        <f>V138/'2022a_250915_0045'!M138</f>
        <v>2.0144939152092263E-2</v>
      </c>
    </row>
    <row r="139" spans="1:23" x14ac:dyDescent="0.25">
      <c r="A139">
        <v>138</v>
      </c>
      <c r="B139">
        <v>169</v>
      </c>
      <c r="C139" t="s">
        <v>45</v>
      </c>
      <c r="D139" t="s">
        <v>58</v>
      </c>
      <c r="E139" t="s">
        <v>49</v>
      </c>
      <c r="F139" t="s">
        <v>19</v>
      </c>
      <c r="G139" t="s">
        <v>26</v>
      </c>
      <c r="H139" t="s">
        <v>21</v>
      </c>
      <c r="I139" t="s">
        <v>56</v>
      </c>
      <c r="J139" t="s">
        <v>149</v>
      </c>
      <c r="K139" t="s">
        <v>23</v>
      </c>
      <c r="L139">
        <v>3490</v>
      </c>
      <c r="M139">
        <v>48.775076400000003</v>
      </c>
      <c r="N139">
        <v>0.78550407659751009</v>
      </c>
      <c r="O139">
        <v>2.8195756687299723E-2</v>
      </c>
      <c r="P139" s="1" t="str">
        <f>HYPERLINK(".\sm_car_251026_0925\sm_car_251026_0925_138_Ca169TrN_MaMPC_DrSt_ode23t_1.png","figure")</f>
        <v>figure</v>
      </c>
      <c r="Q139" t="s">
        <v>15</v>
      </c>
      <c r="T139">
        <f>L139-'2022a_250915_0045'!L139</f>
        <v>4</v>
      </c>
      <c r="U139" s="11">
        <f>T139/'2022a_250915_0045'!L139</f>
        <v>1.1474469305794606E-3</v>
      </c>
      <c r="V139" s="10">
        <f>M139-'2022a_250915_0045'!M139</f>
        <v>1.7127195999999998</v>
      </c>
      <c r="W139" s="11">
        <f>V139/'2022a_250915_0045'!M139</f>
        <v>3.6392559073879609E-2</v>
      </c>
    </row>
    <row r="140" spans="1:23" x14ac:dyDescent="0.25">
      <c r="A140">
        <v>139</v>
      </c>
      <c r="B140">
        <v>184</v>
      </c>
      <c r="C140" t="s">
        <v>105</v>
      </c>
      <c r="D140" t="s">
        <v>120</v>
      </c>
      <c r="E140" t="s">
        <v>49</v>
      </c>
      <c r="F140" t="s">
        <v>19</v>
      </c>
      <c r="G140" t="s">
        <v>20</v>
      </c>
      <c r="H140" t="s">
        <v>21</v>
      </c>
      <c r="I140" t="s">
        <v>55</v>
      </c>
      <c r="J140" t="s">
        <v>148</v>
      </c>
      <c r="K140" t="s">
        <v>23</v>
      </c>
      <c r="L140">
        <v>2206</v>
      </c>
      <c r="M140">
        <v>49.460102200000001</v>
      </c>
      <c r="N140">
        <v>-2.2281064354404953E-2</v>
      </c>
      <c r="O140">
        <v>-0.74273538671948169</v>
      </c>
      <c r="P140" s="1" t="str">
        <f>HYPERLINK(".\sm_car_251026_0925\sm_car_251026_0925_139_Ca184TrN_MaMPK_DrSt_ode23t_1.png","figure")</f>
        <v>figure</v>
      </c>
      <c r="Q140" t="s">
        <v>15</v>
      </c>
      <c r="T140">
        <f>L140-'2022a_250915_0045'!L140</f>
        <v>-30</v>
      </c>
      <c r="U140" s="11">
        <f>T140/'2022a_250915_0045'!L140</f>
        <v>-1.3416815742397137E-2</v>
      </c>
      <c r="V140" s="10">
        <f>M140-'2022a_250915_0045'!M140</f>
        <v>2.1161000000020636E-3</v>
      </c>
      <c r="W140" s="11">
        <f>V140/'2022a_250915_0045'!M140</f>
        <v>4.2785810075717244E-5</v>
      </c>
    </row>
    <row r="141" spans="1:23" x14ac:dyDescent="0.25">
      <c r="A141">
        <v>140</v>
      </c>
      <c r="B141">
        <v>184</v>
      </c>
      <c r="C141" t="s">
        <v>105</v>
      </c>
      <c r="D141" t="s">
        <v>120</v>
      </c>
      <c r="E141" t="s">
        <v>49</v>
      </c>
      <c r="F141" t="s">
        <v>19</v>
      </c>
      <c r="G141" t="s">
        <v>20</v>
      </c>
      <c r="H141" t="s">
        <v>21</v>
      </c>
      <c r="I141" t="s">
        <v>55</v>
      </c>
      <c r="J141" t="s">
        <v>149</v>
      </c>
      <c r="K141" t="s">
        <v>23</v>
      </c>
      <c r="L141">
        <v>2316</v>
      </c>
      <c r="M141">
        <v>49.197658099999998</v>
      </c>
      <c r="N141">
        <v>-2.1323478264335116E-3</v>
      </c>
      <c r="O141">
        <v>-3.0195708174273975E-2</v>
      </c>
      <c r="P141" s="1" t="str">
        <f>HYPERLINK(".\sm_car_251026_0925\sm_car_251026_0925_140_Ca184TrN_MaMPK_DrSt_ode23t_1.png","figure")</f>
        <v>figure</v>
      </c>
      <c r="Q141" t="s">
        <v>15</v>
      </c>
      <c r="T141">
        <f>L141-'2022a_250915_0045'!L141</f>
        <v>2</v>
      </c>
      <c r="U141" s="11">
        <f>T141/'2022a_250915_0045'!L141</f>
        <v>8.6430423509075197E-4</v>
      </c>
      <c r="V141" s="10">
        <f>M141-'2022a_250915_0045'!M141</f>
        <v>0.88511749999999978</v>
      </c>
      <c r="W141" s="11">
        <f>V141/'2022a_250915_0045'!M141</f>
        <v>1.8320657307763274E-2</v>
      </c>
    </row>
    <row r="142" spans="1:23" x14ac:dyDescent="0.25">
      <c r="A142">
        <v>141</v>
      </c>
      <c r="B142">
        <v>184</v>
      </c>
      <c r="C142" t="s">
        <v>105</v>
      </c>
      <c r="D142" t="s">
        <v>120</v>
      </c>
      <c r="E142" t="s">
        <v>49</v>
      </c>
      <c r="F142" t="s">
        <v>19</v>
      </c>
      <c r="G142" t="s">
        <v>20</v>
      </c>
      <c r="H142" t="s">
        <v>21</v>
      </c>
      <c r="I142" t="s">
        <v>56</v>
      </c>
      <c r="J142" t="s">
        <v>148</v>
      </c>
      <c r="K142" t="s">
        <v>23</v>
      </c>
      <c r="L142">
        <v>2055</v>
      </c>
      <c r="M142">
        <v>48.220993300000004</v>
      </c>
      <c r="N142">
        <v>0.70445407889100053</v>
      </c>
      <c r="O142">
        <v>-0.33745918034063827</v>
      </c>
      <c r="P142" s="1" t="str">
        <f>HYPERLINK(".\sm_car_251026_0925\sm_car_251026_0925_141_Ca184TrN_MaMPC_DrSt_ode23t_1.png","figure")</f>
        <v>figure</v>
      </c>
      <c r="Q142" t="s">
        <v>15</v>
      </c>
      <c r="T142">
        <f>L142-'2022a_250915_0045'!L142</f>
        <v>-10</v>
      </c>
      <c r="U142" s="11">
        <f>T142/'2022a_250915_0045'!L142</f>
        <v>-4.8426150121065378E-3</v>
      </c>
      <c r="V142" s="10">
        <f>M142-'2022a_250915_0045'!M142</f>
        <v>0.42171090000000078</v>
      </c>
      <c r="W142" s="11">
        <f>V142/'2022a_250915_0045'!M142</f>
        <v>8.8225362144767425E-3</v>
      </c>
    </row>
    <row r="143" spans="1:23" x14ac:dyDescent="0.25">
      <c r="A143">
        <v>142</v>
      </c>
      <c r="B143">
        <v>184</v>
      </c>
      <c r="C143" t="s">
        <v>105</v>
      </c>
      <c r="D143" t="s">
        <v>120</v>
      </c>
      <c r="E143" t="s">
        <v>49</v>
      </c>
      <c r="F143" t="s">
        <v>19</v>
      </c>
      <c r="G143" t="s">
        <v>20</v>
      </c>
      <c r="H143" t="s">
        <v>21</v>
      </c>
      <c r="I143" t="s">
        <v>56</v>
      </c>
      <c r="J143" t="s">
        <v>149</v>
      </c>
      <c r="K143" t="s">
        <v>23</v>
      </c>
      <c r="L143">
        <v>2045</v>
      </c>
      <c r="M143">
        <v>48.370097899999998</v>
      </c>
      <c r="N143">
        <v>0.78440339057606501</v>
      </c>
      <c r="O143">
        <v>-8.2507510874054765E-2</v>
      </c>
      <c r="P143" s="1" t="str">
        <f>HYPERLINK(".\sm_car_251026_0925\sm_car_251026_0925_142_Ca184TrN_MaMPC_DrSt_ode23t_1.png","figure")</f>
        <v>figure</v>
      </c>
      <c r="Q143" t="s">
        <v>15</v>
      </c>
      <c r="T143">
        <f>L143-'2022a_250915_0045'!L143</f>
        <v>-15</v>
      </c>
      <c r="U143" s="11">
        <f>T143/'2022a_250915_0045'!L143</f>
        <v>-7.2815533980582527E-3</v>
      </c>
      <c r="V143" s="10">
        <f>M143-'2022a_250915_0045'!M143</f>
        <v>-1.1071393</v>
      </c>
      <c r="W143" s="11">
        <f>V143/'2022a_250915_0045'!M143</f>
        <v>-2.23767405509053E-2</v>
      </c>
    </row>
    <row r="144" spans="1:23" x14ac:dyDescent="0.25">
      <c r="A144">
        <v>143</v>
      </c>
      <c r="B144">
        <v>195</v>
      </c>
      <c r="C144" t="s">
        <v>45</v>
      </c>
      <c r="D144" t="s">
        <v>58</v>
      </c>
      <c r="E144" t="s">
        <v>107</v>
      </c>
      <c r="F144" t="s">
        <v>19</v>
      </c>
      <c r="G144" t="s">
        <v>26</v>
      </c>
      <c r="H144" t="s">
        <v>21</v>
      </c>
      <c r="I144" t="s">
        <v>55</v>
      </c>
      <c r="J144" t="s">
        <v>148</v>
      </c>
      <c r="K144" t="s">
        <v>23</v>
      </c>
      <c r="L144">
        <v>3279</v>
      </c>
      <c r="M144">
        <v>45.497588700000001</v>
      </c>
      <c r="N144">
        <v>-1.4089221353247819E-2</v>
      </c>
      <c r="O144">
        <v>-0.57369379105237672</v>
      </c>
      <c r="P144" s="1" t="str">
        <f>HYPERLINK(".\sm_car_251026_0925\sm_car_251026_0925_143_Ca195TrN_MaMPK_DrSt_ode23t_1.png","figure")</f>
        <v>figure</v>
      </c>
      <c r="Q144" t="s">
        <v>15</v>
      </c>
      <c r="T144">
        <f>L144-'2022a_250915_0045'!L144</f>
        <v>-26</v>
      </c>
      <c r="U144" s="11">
        <f>T144/'2022a_250915_0045'!L144</f>
        <v>-7.8668683812405452E-3</v>
      </c>
      <c r="V144" s="10">
        <f>M144-'2022a_250915_0045'!M144</f>
        <v>-0.82597169999999664</v>
      </c>
      <c r="W144" s="11">
        <f>V144/'2022a_250915_0045'!M144</f>
        <v>-1.7830488262728542E-2</v>
      </c>
    </row>
    <row r="145" spans="1:23" x14ac:dyDescent="0.25">
      <c r="A145">
        <v>144</v>
      </c>
      <c r="B145">
        <v>195</v>
      </c>
      <c r="C145" t="s">
        <v>45</v>
      </c>
      <c r="D145" t="s">
        <v>58</v>
      </c>
      <c r="E145" t="s">
        <v>107</v>
      </c>
      <c r="F145" t="s">
        <v>19</v>
      </c>
      <c r="G145" t="s">
        <v>26</v>
      </c>
      <c r="H145" t="s">
        <v>21</v>
      </c>
      <c r="I145" t="s">
        <v>55</v>
      </c>
      <c r="J145" t="s">
        <v>149</v>
      </c>
      <c r="K145" t="s">
        <v>23</v>
      </c>
      <c r="L145">
        <v>3883</v>
      </c>
      <c r="M145">
        <v>50.272036800000002</v>
      </c>
      <c r="N145">
        <v>-1.1202770953027408E-3</v>
      </c>
      <c r="O145">
        <v>-8.3861267852739438E-2</v>
      </c>
      <c r="P145" s="1" t="str">
        <f>HYPERLINK(".\sm_car_251026_0925\sm_car_251026_0925_144_Ca195TrN_MaMPK_DrSt_ode23t_1.png","figure")</f>
        <v>figure</v>
      </c>
      <c r="Q145" t="s">
        <v>15</v>
      </c>
      <c r="T145">
        <f>L145-'2022a_250915_0045'!L145</f>
        <v>9</v>
      </c>
      <c r="U145" s="11">
        <f>T145/'2022a_250915_0045'!L145</f>
        <v>2.3231801755291687E-3</v>
      </c>
      <c r="V145" s="10">
        <f>M145-'2022a_250915_0045'!M145</f>
        <v>3.2429100000001654E-2</v>
      </c>
      <c r="W145" s="11">
        <f>V145/'2022a_250915_0045'!M145</f>
        <v>6.4548871865497575E-4</v>
      </c>
    </row>
    <row r="146" spans="1:23" x14ac:dyDescent="0.25">
      <c r="A146">
        <v>145</v>
      </c>
      <c r="B146">
        <v>195</v>
      </c>
      <c r="C146" t="s">
        <v>45</v>
      </c>
      <c r="D146" t="s">
        <v>58</v>
      </c>
      <c r="E146" t="s">
        <v>107</v>
      </c>
      <c r="F146" t="s">
        <v>19</v>
      </c>
      <c r="G146" t="s">
        <v>26</v>
      </c>
      <c r="H146" t="s">
        <v>21</v>
      </c>
      <c r="I146" t="s">
        <v>56</v>
      </c>
      <c r="J146" t="s">
        <v>148</v>
      </c>
      <c r="K146" t="s">
        <v>23</v>
      </c>
      <c r="L146">
        <v>3037</v>
      </c>
      <c r="M146">
        <v>44.537098899999997</v>
      </c>
      <c r="N146">
        <v>0.78776780330393059</v>
      </c>
      <c r="O146">
        <v>-0.35991771161069952</v>
      </c>
      <c r="P146" s="1" t="str">
        <f>HYPERLINK(".\sm_car_251026_0925\sm_car_251026_0925_145_Ca195TrN_MaMPC_DrSt_ode23t_1.png","figure")</f>
        <v>figure</v>
      </c>
      <c r="Q146" t="s">
        <v>15</v>
      </c>
      <c r="T146">
        <f>L146-'2022a_250915_0045'!L146</f>
        <v>15</v>
      </c>
      <c r="U146" s="11">
        <f>T146/'2022a_250915_0045'!L146</f>
        <v>4.9636002647253478E-3</v>
      </c>
      <c r="V146" s="10">
        <f>M146-'2022a_250915_0045'!M146</f>
        <v>2.9507234999999952</v>
      </c>
      <c r="W146" s="11">
        <f>V146/'2022a_250915_0045'!M146</f>
        <v>7.0954091853842952E-2</v>
      </c>
    </row>
    <row r="147" spans="1:23" x14ac:dyDescent="0.25">
      <c r="A147">
        <v>146</v>
      </c>
      <c r="B147">
        <v>195</v>
      </c>
      <c r="C147" t="s">
        <v>45</v>
      </c>
      <c r="D147" t="s">
        <v>58</v>
      </c>
      <c r="E147" t="s">
        <v>107</v>
      </c>
      <c r="F147" t="s">
        <v>19</v>
      </c>
      <c r="G147" t="s">
        <v>26</v>
      </c>
      <c r="H147" t="s">
        <v>21</v>
      </c>
      <c r="I147" t="s">
        <v>56</v>
      </c>
      <c r="J147" t="s">
        <v>149</v>
      </c>
      <c r="K147" t="s">
        <v>23</v>
      </c>
      <c r="L147">
        <v>3494</v>
      </c>
      <c r="M147">
        <v>45.972872600000002</v>
      </c>
      <c r="N147">
        <v>0.78803473483930198</v>
      </c>
      <c r="O147">
        <v>2.8207655979552292E-2</v>
      </c>
      <c r="P147" s="1" t="str">
        <f>HYPERLINK(".\sm_car_251026_0925\sm_car_251026_0925_146_Ca195TrN_MaMPC_DrSt_ode23t_1.png","figure")</f>
        <v>figure</v>
      </c>
      <c r="Q147" t="s">
        <v>15</v>
      </c>
      <c r="T147">
        <f>L147-'2022a_250915_0045'!L147</f>
        <v>35</v>
      </c>
      <c r="U147" s="11">
        <f>T147/'2022a_250915_0045'!L147</f>
        <v>1.0118531367447239E-2</v>
      </c>
      <c r="V147" s="10">
        <f>M147-'2022a_250915_0045'!M147</f>
        <v>0.58966330000000511</v>
      </c>
      <c r="W147" s="11">
        <f>V147/'2022a_250915_0045'!M147</f>
        <v>1.2992983728896517E-2</v>
      </c>
    </row>
    <row r="148" spans="1:23" x14ac:dyDescent="0.25">
      <c r="A148">
        <v>147</v>
      </c>
      <c r="B148">
        <v>198</v>
      </c>
      <c r="C148" t="s">
        <v>105</v>
      </c>
      <c r="D148" t="s">
        <v>120</v>
      </c>
      <c r="E148" t="s">
        <v>107</v>
      </c>
      <c r="F148" t="s">
        <v>19</v>
      </c>
      <c r="G148" t="s">
        <v>20</v>
      </c>
      <c r="H148" t="s">
        <v>21</v>
      </c>
      <c r="I148" t="s">
        <v>55</v>
      </c>
      <c r="J148" t="s">
        <v>148</v>
      </c>
      <c r="K148" t="s">
        <v>23</v>
      </c>
      <c r="L148">
        <v>2303</v>
      </c>
      <c r="M148">
        <v>30.621351199999999</v>
      </c>
      <c r="N148">
        <v>-2.2389496229538008E-2</v>
      </c>
      <c r="O148">
        <v>-0.7427884724596755</v>
      </c>
      <c r="P148" s="1" t="str">
        <f>HYPERLINK(".\sm_car_251026_0925\sm_car_251026_0925_147_Ca198TrN_MaMPK_DrSt_ode23t_1.png","figure")</f>
        <v>figure</v>
      </c>
      <c r="Q148" t="s">
        <v>15</v>
      </c>
      <c r="T148">
        <f>L148-'2022a_250915_0045'!L148</f>
        <v>10</v>
      </c>
      <c r="U148" s="11">
        <f>T148/'2022a_250915_0045'!L148</f>
        <v>4.3610989969472304E-3</v>
      </c>
      <c r="V148" s="10">
        <f>M148-'2022a_250915_0045'!M148</f>
        <v>-0.4436056999999991</v>
      </c>
      <c r="W148" s="11">
        <f>V148/'2022a_250915_0045'!M148</f>
        <v>-1.4279939335760003E-2</v>
      </c>
    </row>
    <row r="149" spans="1:23" x14ac:dyDescent="0.25">
      <c r="A149">
        <v>148</v>
      </c>
      <c r="B149">
        <v>198</v>
      </c>
      <c r="C149" t="s">
        <v>105</v>
      </c>
      <c r="D149" t="s">
        <v>120</v>
      </c>
      <c r="E149" t="s">
        <v>107</v>
      </c>
      <c r="F149" t="s">
        <v>19</v>
      </c>
      <c r="G149" t="s">
        <v>20</v>
      </c>
      <c r="H149" t="s">
        <v>21</v>
      </c>
      <c r="I149" t="s">
        <v>55</v>
      </c>
      <c r="J149" t="s">
        <v>149</v>
      </c>
      <c r="K149" t="s">
        <v>23</v>
      </c>
      <c r="L149">
        <v>2583</v>
      </c>
      <c r="M149">
        <v>32.273238800000001</v>
      </c>
      <c r="N149">
        <v>-9.3626718525139374E-3</v>
      </c>
      <c r="O149">
        <v>-3.031675748293226E-2</v>
      </c>
      <c r="P149" s="1" t="str">
        <f>HYPERLINK(".\sm_car_251026_0925\sm_car_251026_0925_148_Ca198TrN_MaMPK_DrSt_ode23t_1.png","figure")</f>
        <v>figure</v>
      </c>
      <c r="Q149" t="s">
        <v>15</v>
      </c>
      <c r="T149">
        <f>L149-'2022a_250915_0045'!L149</f>
        <v>6</v>
      </c>
      <c r="U149" s="11">
        <f>T149/'2022a_250915_0045'!L149</f>
        <v>2.3282887077997671E-3</v>
      </c>
      <c r="V149" s="10">
        <f>M149-'2022a_250915_0045'!M149</f>
        <v>-2.1410543000000004</v>
      </c>
      <c r="W149" s="11">
        <f>V149/'2022a_250915_0045'!M149</f>
        <v>-6.22141008033665E-2</v>
      </c>
    </row>
    <row r="150" spans="1:23" x14ac:dyDescent="0.25">
      <c r="A150">
        <v>149</v>
      </c>
      <c r="B150">
        <v>198</v>
      </c>
      <c r="C150" t="s">
        <v>105</v>
      </c>
      <c r="D150" t="s">
        <v>120</v>
      </c>
      <c r="E150" t="s">
        <v>107</v>
      </c>
      <c r="F150" t="s">
        <v>19</v>
      </c>
      <c r="G150" t="s">
        <v>20</v>
      </c>
      <c r="H150" t="s">
        <v>21</v>
      </c>
      <c r="I150" t="s">
        <v>56</v>
      </c>
      <c r="J150" t="s">
        <v>148</v>
      </c>
      <c r="K150" t="s">
        <v>23</v>
      </c>
      <c r="L150">
        <v>2077</v>
      </c>
      <c r="M150">
        <v>29.381990600000002</v>
      </c>
      <c r="N150">
        <v>0.78315014353109369</v>
      </c>
      <c r="O150">
        <v>-0.33793436405086263</v>
      </c>
      <c r="P150" s="1" t="str">
        <f>HYPERLINK(".\sm_car_251026_0925\sm_car_251026_0925_149_Ca198TrN_MaMPC_DrSt_ode23t_1.png","figure")</f>
        <v>figure</v>
      </c>
      <c r="Q150" t="s">
        <v>15</v>
      </c>
      <c r="T150">
        <f>L150-'2022a_250915_0045'!L150</f>
        <v>-7</v>
      </c>
      <c r="U150" s="11">
        <f>T150/'2022a_250915_0045'!L150</f>
        <v>-3.3589251439539347E-3</v>
      </c>
      <c r="V150" s="10">
        <f>M150-'2022a_250915_0045'!M150</f>
        <v>-0.80385579999999734</v>
      </c>
      <c r="W150" s="11">
        <f>V150/'2022a_250915_0045'!M150</f>
        <v>-2.6630222301800271E-2</v>
      </c>
    </row>
    <row r="151" spans="1:23" x14ac:dyDescent="0.25">
      <c r="A151">
        <v>150</v>
      </c>
      <c r="B151">
        <v>198</v>
      </c>
      <c r="C151" t="s">
        <v>105</v>
      </c>
      <c r="D151" t="s">
        <v>120</v>
      </c>
      <c r="E151" t="s">
        <v>107</v>
      </c>
      <c r="F151" t="s">
        <v>19</v>
      </c>
      <c r="G151" t="s">
        <v>20</v>
      </c>
      <c r="H151" t="s">
        <v>21</v>
      </c>
      <c r="I151" t="s">
        <v>56</v>
      </c>
      <c r="J151" t="s">
        <v>149</v>
      </c>
      <c r="K151" t="s">
        <v>23</v>
      </c>
      <c r="L151">
        <v>2161</v>
      </c>
      <c r="M151">
        <v>30.231264800000002</v>
      </c>
      <c r="N151">
        <v>0.65579155572269521</v>
      </c>
      <c r="O151">
        <v>-8.0129507115186765E-2</v>
      </c>
      <c r="P151" s="1" t="str">
        <f>HYPERLINK(".\sm_car_251026_0925\sm_car_251026_0925_150_Ca198TrN_MaMPC_DrSt_ode23t_1.png","figure")</f>
        <v>figure</v>
      </c>
      <c r="Q151" t="s">
        <v>15</v>
      </c>
      <c r="T151">
        <f>L151-'2022a_250915_0045'!L151</f>
        <v>-13</v>
      </c>
      <c r="U151" s="11">
        <f>T151/'2022a_250915_0045'!L151</f>
        <v>-5.9797608095676176E-3</v>
      </c>
      <c r="V151" s="10">
        <f>M151-'2022a_250915_0045'!M151</f>
        <v>-0.1776360999999973</v>
      </c>
      <c r="W151" s="11">
        <f>V151/'2022a_250915_0045'!M151</f>
        <v>-5.8415823901085918E-3</v>
      </c>
    </row>
    <row r="152" spans="1:23" x14ac:dyDescent="0.25">
      <c r="A152">
        <v>151</v>
      </c>
      <c r="B152">
        <v>151</v>
      </c>
      <c r="C152" t="s">
        <v>16</v>
      </c>
      <c r="D152" t="s">
        <v>17</v>
      </c>
      <c r="E152" t="s">
        <v>18</v>
      </c>
      <c r="F152" t="s">
        <v>19</v>
      </c>
      <c r="G152" t="s">
        <v>59</v>
      </c>
      <c r="H152" t="s">
        <v>21</v>
      </c>
      <c r="I152" t="s">
        <v>24</v>
      </c>
      <c r="J152" t="s">
        <v>148</v>
      </c>
      <c r="K152" t="s">
        <v>23</v>
      </c>
      <c r="L152">
        <v>507</v>
      </c>
      <c r="M152">
        <v>10.909906700000001</v>
      </c>
      <c r="N152">
        <v>72.160427442816768</v>
      </c>
      <c r="O152">
        <v>-0.79141634724789611</v>
      </c>
      <c r="P152" s="1" t="str">
        <f>HYPERLINK(".\sm_car_251026_0925\sm_car_251026_0925_151_Ca151TrN_MaLSS_DrSt_ode23t_1.png","figure")</f>
        <v>figure</v>
      </c>
      <c r="Q152" t="s">
        <v>15</v>
      </c>
      <c r="T152">
        <f>L152-'2022a_250915_0045'!L152</f>
        <v>-13</v>
      </c>
      <c r="U152" s="11">
        <f>T152/'2022a_250915_0045'!L152</f>
        <v>-2.5000000000000001E-2</v>
      </c>
      <c r="V152" s="10">
        <f>M152-'2022a_250915_0045'!M152</f>
        <v>-0.60496489999999881</v>
      </c>
      <c r="W152" s="11">
        <f>V152/'2022a_250915_0045'!M152</f>
        <v>-5.2537702634912475E-2</v>
      </c>
    </row>
    <row r="153" spans="1:23" x14ac:dyDescent="0.25">
      <c r="A153">
        <v>152</v>
      </c>
      <c r="B153">
        <v>152</v>
      </c>
      <c r="C153" t="s">
        <v>16</v>
      </c>
      <c r="D153" t="s">
        <v>17</v>
      </c>
      <c r="E153" t="s">
        <v>18</v>
      </c>
      <c r="F153" t="s">
        <v>19</v>
      </c>
      <c r="G153" t="s">
        <v>60</v>
      </c>
      <c r="H153" t="s">
        <v>21</v>
      </c>
      <c r="I153" t="s">
        <v>24</v>
      </c>
      <c r="J153" t="s">
        <v>148</v>
      </c>
      <c r="K153" t="s">
        <v>23</v>
      </c>
      <c r="L153">
        <v>532</v>
      </c>
      <c r="M153">
        <v>12.196597499999999</v>
      </c>
      <c r="N153">
        <v>70.588788888565816</v>
      </c>
      <c r="O153">
        <v>-0.52471149581115906</v>
      </c>
      <c r="P153" s="1" t="str">
        <f>HYPERLINK(".\sm_car_251026_0925\sm_car_251026_0925_152_Ca152TrN_MaLSS_DrSt_ode23t_1.png","figure")</f>
        <v>figure</v>
      </c>
      <c r="Q153" t="s">
        <v>15</v>
      </c>
      <c r="T153">
        <f>L153-'2022a_250915_0045'!L153</f>
        <v>20</v>
      </c>
      <c r="U153" s="11">
        <f>T153/'2022a_250915_0045'!L153</f>
        <v>3.90625E-2</v>
      </c>
      <c r="V153" s="10">
        <f>M153-'2022a_250915_0045'!M153</f>
        <v>0.32188599999999923</v>
      </c>
      <c r="W153" s="11">
        <f>V153/'2022a_250915_0045'!M153</f>
        <v>2.7106848027423591E-2</v>
      </c>
    </row>
    <row r="154" spans="1:23" x14ac:dyDescent="0.25">
      <c r="A154">
        <v>153</v>
      </c>
      <c r="B154">
        <v>153</v>
      </c>
      <c r="C154" t="s">
        <v>16</v>
      </c>
      <c r="D154" t="s">
        <v>17</v>
      </c>
      <c r="E154" t="s">
        <v>18</v>
      </c>
      <c r="F154" t="s">
        <v>19</v>
      </c>
      <c r="G154" t="s">
        <v>61</v>
      </c>
      <c r="H154" t="s">
        <v>21</v>
      </c>
      <c r="I154" t="s">
        <v>24</v>
      </c>
      <c r="J154" t="s">
        <v>148</v>
      </c>
      <c r="K154" t="s">
        <v>23</v>
      </c>
      <c r="L154">
        <v>554</v>
      </c>
      <c r="M154">
        <v>13.4059481</v>
      </c>
      <c r="N154">
        <v>70.426245631922242</v>
      </c>
      <c r="O154">
        <v>-0.85746303636131149</v>
      </c>
      <c r="P154" s="1" t="str">
        <f>HYPERLINK(".\sm_car_251026_0925\sm_car_251026_0925_153_Ca153TrN_MaLSS_DrSt_ode23t_1.png","figure")</f>
        <v>figure</v>
      </c>
      <c r="Q154" t="s">
        <v>15</v>
      </c>
      <c r="T154">
        <f>L154-'2022a_250915_0045'!L154</f>
        <v>5</v>
      </c>
      <c r="U154" s="11">
        <f>T154/'2022a_250915_0045'!L154</f>
        <v>9.1074681238615673E-3</v>
      </c>
      <c r="V154" s="10">
        <f>M154-'2022a_250915_0045'!M154</f>
        <v>0.21195810000000037</v>
      </c>
      <c r="W154" s="11">
        <f>V154/'2022a_250915_0045'!M154</f>
        <v>1.6064746145783071E-2</v>
      </c>
    </row>
    <row r="155" spans="1:23" x14ac:dyDescent="0.25">
      <c r="A155">
        <v>154</v>
      </c>
      <c r="B155">
        <v>154</v>
      </c>
      <c r="C155" t="s">
        <v>16</v>
      </c>
      <c r="D155" t="s">
        <v>17</v>
      </c>
      <c r="E155" t="s">
        <v>18</v>
      </c>
      <c r="F155" t="s">
        <v>19</v>
      </c>
      <c r="G155" t="s">
        <v>108</v>
      </c>
      <c r="H155" t="s">
        <v>21</v>
      </c>
      <c r="I155" t="s">
        <v>24</v>
      </c>
      <c r="J155" t="s">
        <v>148</v>
      </c>
      <c r="K155" t="s">
        <v>23</v>
      </c>
      <c r="L155">
        <v>483</v>
      </c>
      <c r="M155">
        <v>14.619173200000001</v>
      </c>
      <c r="N155">
        <v>70.615501275660733</v>
      </c>
      <c r="O155">
        <v>-0.35461279176614657</v>
      </c>
      <c r="P155" s="1" t="str">
        <f>HYPERLINK(".\sm_car_251026_0925\sm_car_251026_0925_154_Ca154TrN_MaLSS_DrSt_ode23t_1.png","figure")</f>
        <v>figure</v>
      </c>
      <c r="Q155" t="s">
        <v>15</v>
      </c>
      <c r="T155">
        <f>L155-'2022a_250915_0045'!L155</f>
        <v>-9</v>
      </c>
      <c r="U155" s="11">
        <f>T155/'2022a_250915_0045'!L155</f>
        <v>-1.8292682926829267E-2</v>
      </c>
      <c r="V155" s="10">
        <f>M155-'2022a_250915_0045'!M155</f>
        <v>-0.642279499999999</v>
      </c>
      <c r="W155" s="11">
        <f>V155/'2022a_250915_0045'!M155</f>
        <v>-4.2085082765417149E-2</v>
      </c>
    </row>
    <row r="156" spans="1:23" x14ac:dyDescent="0.25">
      <c r="A156">
        <v>155</v>
      </c>
      <c r="B156">
        <v>155</v>
      </c>
      <c r="C156" t="s">
        <v>16</v>
      </c>
      <c r="D156" t="s">
        <v>17</v>
      </c>
      <c r="E156" t="s">
        <v>18</v>
      </c>
      <c r="F156" t="s">
        <v>19</v>
      </c>
      <c r="G156" t="s">
        <v>62</v>
      </c>
      <c r="H156" t="s">
        <v>21</v>
      </c>
      <c r="I156" t="s">
        <v>24</v>
      </c>
      <c r="J156" t="s">
        <v>148</v>
      </c>
      <c r="K156" t="s">
        <v>23</v>
      </c>
      <c r="L156">
        <v>549</v>
      </c>
      <c r="M156">
        <v>17.8625902</v>
      </c>
      <c r="N156">
        <v>70.462482802612243</v>
      </c>
      <c r="O156">
        <v>-0.8332261701682927</v>
      </c>
      <c r="P156" s="1" t="str">
        <f>HYPERLINK(".\sm_car_251026_0925\sm_car_251026_0925_155_Ca155TrN_MaLSS_DrSt_ode23t_1.png","figure")</f>
        <v>figure</v>
      </c>
      <c r="Q156" t="s">
        <v>15</v>
      </c>
      <c r="T156">
        <f>L156-'2022a_250915_0045'!L156</f>
        <v>-19</v>
      </c>
      <c r="U156" s="11">
        <f>T156/'2022a_250915_0045'!L156</f>
        <v>-3.345070422535211E-2</v>
      </c>
      <c r="V156" s="10">
        <f>M156-'2022a_250915_0045'!M156</f>
        <v>0.34425209999999851</v>
      </c>
      <c r="W156" s="11">
        <f>V156/'2022a_250915_0045'!M156</f>
        <v>1.9650956502546238E-2</v>
      </c>
    </row>
    <row r="157" spans="1:23" x14ac:dyDescent="0.25">
      <c r="A157">
        <v>156</v>
      </c>
      <c r="B157">
        <v>4</v>
      </c>
      <c r="C157" t="s">
        <v>16</v>
      </c>
      <c r="D157" t="s">
        <v>17</v>
      </c>
      <c r="E157" t="s">
        <v>18</v>
      </c>
      <c r="F157" t="s">
        <v>28</v>
      </c>
      <c r="G157" t="s">
        <v>20</v>
      </c>
      <c r="H157" t="s">
        <v>21</v>
      </c>
      <c r="I157" t="s">
        <v>22</v>
      </c>
      <c r="J157" t="s">
        <v>148</v>
      </c>
      <c r="K157" t="s">
        <v>63</v>
      </c>
      <c r="L157">
        <v>3247</v>
      </c>
      <c r="M157">
        <v>8.0870450999999992</v>
      </c>
      <c r="N157">
        <v>230.12391721786827</v>
      </c>
      <c r="O157">
        <v>-2.7190338637773392E-3</v>
      </c>
      <c r="P157" s="1" t="str">
        <f>HYPERLINK(".\sm_car_251026_0925\sm_car_251026_0925_156_Ca004TrN_MaWOT_DrSt_ode3_1.png","figure")</f>
        <v>figure</v>
      </c>
      <c r="Q157" t="s">
        <v>15</v>
      </c>
      <c r="T157">
        <f>L157-'2022a_250915_0045'!L157</f>
        <v>0</v>
      </c>
      <c r="U157" s="11">
        <f>T157/'2022a_250915_0045'!L157</f>
        <v>0</v>
      </c>
      <c r="V157" s="10">
        <f>M157-'2022a_250915_0045'!M157</f>
        <v>-1.0093367000000004</v>
      </c>
      <c r="W157" s="11">
        <f>V157/'2022a_250915_0045'!M157</f>
        <v>-0.11096023915794745</v>
      </c>
    </row>
    <row r="158" spans="1:23" x14ac:dyDescent="0.25">
      <c r="A158">
        <v>157</v>
      </c>
      <c r="B158">
        <v>4</v>
      </c>
      <c r="C158" t="s">
        <v>16</v>
      </c>
      <c r="D158" t="s">
        <v>17</v>
      </c>
      <c r="E158" t="s">
        <v>18</v>
      </c>
      <c r="F158" t="s">
        <v>28</v>
      </c>
      <c r="G158" t="s">
        <v>20</v>
      </c>
      <c r="H158" t="s">
        <v>21</v>
      </c>
      <c r="I158" t="s">
        <v>24</v>
      </c>
      <c r="J158" t="s">
        <v>148</v>
      </c>
      <c r="K158" t="s">
        <v>63</v>
      </c>
      <c r="L158">
        <v>2564</v>
      </c>
      <c r="M158">
        <v>6.2994452000000001</v>
      </c>
      <c r="N158">
        <v>70.877460183569553</v>
      </c>
      <c r="O158">
        <v>-0.53377972266774365</v>
      </c>
      <c r="P158" s="1" t="str">
        <f>HYPERLINK(".\sm_car_251026_0925\sm_car_251026_0925_157_Ca004TrN_MaLSS_DrSt_ode3_1.png","figure")</f>
        <v>figure</v>
      </c>
      <c r="Q158" t="s">
        <v>15</v>
      </c>
      <c r="T158">
        <f>L158-'2022a_250915_0045'!L158</f>
        <v>0</v>
      </c>
      <c r="U158" s="11">
        <f>T158/'2022a_250915_0045'!L158</f>
        <v>0</v>
      </c>
      <c r="V158" s="10">
        <f>M158-'2022a_250915_0045'!M158</f>
        <v>-0.64684260000000027</v>
      </c>
      <c r="W158" s="11">
        <f>V158/'2022a_250915_0045'!M158</f>
        <v>-9.3120616165659045E-2</v>
      </c>
    </row>
    <row r="159" spans="1:23" x14ac:dyDescent="0.25">
      <c r="A159">
        <v>158</v>
      </c>
      <c r="B159">
        <v>4</v>
      </c>
      <c r="C159" t="s">
        <v>16</v>
      </c>
      <c r="D159" t="s">
        <v>17</v>
      </c>
      <c r="E159" t="s">
        <v>18</v>
      </c>
      <c r="F159" t="s">
        <v>28</v>
      </c>
      <c r="G159" t="s">
        <v>20</v>
      </c>
      <c r="H159" t="s">
        <v>21</v>
      </c>
      <c r="I159" t="s">
        <v>64</v>
      </c>
      <c r="J159" t="s">
        <v>148</v>
      </c>
      <c r="K159" t="s">
        <v>63</v>
      </c>
      <c r="L159">
        <v>2562</v>
      </c>
      <c r="M159">
        <v>6.3176663</v>
      </c>
      <c r="N159">
        <v>63.517181708669909</v>
      </c>
      <c r="O159">
        <v>-24.808510950198681</v>
      </c>
      <c r="P159" s="1" t="str">
        <f>HYPERLINK(".\sm_car_251026_0925\sm_car_251026_0925_158_Ca004TrN_MaTUR_DrSt_ode3_1.png","figure")</f>
        <v>figure</v>
      </c>
      <c r="Q159" t="s">
        <v>15</v>
      </c>
      <c r="T159">
        <f>L159-'2022a_250915_0045'!L159</f>
        <v>0</v>
      </c>
      <c r="U159" s="11">
        <f>T159/'2022a_250915_0045'!L159</f>
        <v>0</v>
      </c>
      <c r="V159" s="10">
        <f>M159-'2022a_250915_0045'!M159</f>
        <v>-0.60230940000000022</v>
      </c>
      <c r="W159" s="11">
        <f>V159/'2022a_250915_0045'!M159</f>
        <v>-8.7039236279399107E-2</v>
      </c>
    </row>
    <row r="160" spans="1:23" x14ac:dyDescent="0.25">
      <c r="A160">
        <v>159</v>
      </c>
      <c r="B160">
        <v>116</v>
      </c>
      <c r="C160" t="s">
        <v>16</v>
      </c>
      <c r="D160" t="s">
        <v>35</v>
      </c>
      <c r="E160" t="s">
        <v>18</v>
      </c>
      <c r="F160" t="s">
        <v>28</v>
      </c>
      <c r="G160" t="s">
        <v>20</v>
      </c>
      <c r="H160" t="s">
        <v>21</v>
      </c>
      <c r="I160" t="s">
        <v>22</v>
      </c>
      <c r="J160" t="s">
        <v>148</v>
      </c>
      <c r="K160" t="s">
        <v>63</v>
      </c>
      <c r="L160">
        <v>3244</v>
      </c>
      <c r="M160">
        <v>3.5031664</v>
      </c>
      <c r="N160">
        <v>242.69607452341987</v>
      </c>
      <c r="O160">
        <v>0.23635446031101723</v>
      </c>
      <c r="P160" s="1" t="str">
        <f>HYPERLINK(".\sm_car_251026_0925\sm_car_251026_0925_159_Ca116TrN_MaWOT_DrSt_ode3_1.png","figure")</f>
        <v>figure</v>
      </c>
      <c r="Q160" t="s">
        <v>15</v>
      </c>
      <c r="T160">
        <f>L160-'2022a_250915_0045'!L160</f>
        <v>0</v>
      </c>
      <c r="U160" s="11">
        <f>T160/'2022a_250915_0045'!L160</f>
        <v>0</v>
      </c>
      <c r="V160" s="10">
        <f>M160-'2022a_250915_0045'!M160</f>
        <v>-0.48518879999999998</v>
      </c>
      <c r="W160" s="11">
        <f>V160/'2022a_250915_0045'!M160</f>
        <v>-0.12165135141423712</v>
      </c>
    </row>
    <row r="161" spans="1:23" x14ac:dyDescent="0.25">
      <c r="A161">
        <v>160</v>
      </c>
      <c r="B161">
        <v>116</v>
      </c>
      <c r="C161" t="s">
        <v>16</v>
      </c>
      <c r="D161" t="s">
        <v>35</v>
      </c>
      <c r="E161" t="s">
        <v>18</v>
      </c>
      <c r="F161" t="s">
        <v>28</v>
      </c>
      <c r="G161" t="s">
        <v>20</v>
      </c>
      <c r="H161" t="s">
        <v>21</v>
      </c>
      <c r="I161" t="s">
        <v>24</v>
      </c>
      <c r="J161" t="s">
        <v>148</v>
      </c>
      <c r="K161" t="s">
        <v>63</v>
      </c>
      <c r="L161">
        <v>2564</v>
      </c>
      <c r="M161">
        <v>2.9302750999999998</v>
      </c>
      <c r="N161">
        <v>74.657190781644118</v>
      </c>
      <c r="O161">
        <v>-0.34075824439014252</v>
      </c>
      <c r="P161" s="1" t="str">
        <f>HYPERLINK(".\sm_car_251026_0925\sm_car_251026_0925_160_Ca116TrN_MaLSS_DrSt_ode3_1.png","figure")</f>
        <v>figure</v>
      </c>
      <c r="Q161" t="s">
        <v>15</v>
      </c>
      <c r="T161">
        <f>L161-'2022a_250915_0045'!L161</f>
        <v>0</v>
      </c>
      <c r="U161" s="11">
        <f>T161/'2022a_250915_0045'!L161</f>
        <v>0</v>
      </c>
      <c r="V161" s="10">
        <f>M161-'2022a_250915_0045'!M161</f>
        <v>-0.49870720000000013</v>
      </c>
      <c r="W161" s="11">
        <f>V161/'2022a_250915_0045'!M161</f>
        <v>-0.14543883763996102</v>
      </c>
    </row>
    <row r="162" spans="1:23" x14ac:dyDescent="0.25">
      <c r="A162">
        <v>161</v>
      </c>
      <c r="B162">
        <v>116</v>
      </c>
      <c r="C162" t="s">
        <v>16</v>
      </c>
      <c r="D162" t="s">
        <v>35</v>
      </c>
      <c r="E162" t="s">
        <v>18</v>
      </c>
      <c r="F162" t="s">
        <v>28</v>
      </c>
      <c r="G162" t="s">
        <v>20</v>
      </c>
      <c r="H162" t="s">
        <v>21</v>
      </c>
      <c r="I162" t="s">
        <v>64</v>
      </c>
      <c r="J162" t="s">
        <v>148</v>
      </c>
      <c r="K162" t="s">
        <v>63</v>
      </c>
      <c r="L162">
        <v>2563</v>
      </c>
      <c r="M162">
        <v>2.9671932999999999</v>
      </c>
      <c r="N162">
        <v>71.322015477791922</v>
      </c>
      <c r="O162">
        <v>-17.59032913116118</v>
      </c>
      <c r="P162" s="1" t="str">
        <f>HYPERLINK(".\sm_car_251026_0925\sm_car_251026_0925_161_Ca116TrN_MaTUR_DrSt_ode3_1.png","figure")</f>
        <v>figure</v>
      </c>
      <c r="Q162" t="s">
        <v>15</v>
      </c>
      <c r="T162">
        <f>L162-'2022a_250915_0045'!L162</f>
        <v>0</v>
      </c>
      <c r="U162" s="11">
        <f>T162/'2022a_250915_0045'!L162</f>
        <v>0</v>
      </c>
      <c r="V162" s="10">
        <f>M162-'2022a_250915_0045'!M162</f>
        <v>-0.30388130000000002</v>
      </c>
      <c r="W162" s="11">
        <f>V162/'2022a_250915_0045'!M162</f>
        <v>-9.2899532159859646E-2</v>
      </c>
    </row>
    <row r="163" spans="1:23" x14ac:dyDescent="0.25">
      <c r="A163">
        <v>162</v>
      </c>
      <c r="B163">
        <v>124</v>
      </c>
      <c r="C163" t="s">
        <v>16</v>
      </c>
      <c r="D163" t="s">
        <v>35</v>
      </c>
      <c r="E163" t="s">
        <v>49</v>
      </c>
      <c r="F163" t="s">
        <v>28</v>
      </c>
      <c r="G163" t="s">
        <v>20</v>
      </c>
      <c r="H163" t="s">
        <v>21</v>
      </c>
      <c r="I163" t="s">
        <v>22</v>
      </c>
      <c r="J163" t="s">
        <v>148</v>
      </c>
      <c r="K163" t="s">
        <v>63</v>
      </c>
      <c r="L163">
        <v>3244</v>
      </c>
      <c r="M163">
        <v>1.9528455</v>
      </c>
      <c r="N163">
        <v>242.87242715534208</v>
      </c>
      <c r="O163">
        <v>0.23615864655911348</v>
      </c>
      <c r="P163" s="1" t="str">
        <f>HYPERLINK(".\sm_car_251026_0925\sm_car_251026_0925_162_Ca124TrN_MaWOT_DrSt_ode3_1.png","figure")</f>
        <v>figure</v>
      </c>
      <c r="Q163" t="s">
        <v>15</v>
      </c>
      <c r="T163">
        <f>L163-'2022a_250915_0045'!L163</f>
        <v>0</v>
      </c>
      <c r="U163" s="11">
        <f>T163/'2022a_250915_0045'!L163</f>
        <v>0</v>
      </c>
      <c r="V163" s="10">
        <f>M163-'2022a_250915_0045'!M163</f>
        <v>-0.23971700000000018</v>
      </c>
      <c r="W163" s="11">
        <f>V163/'2022a_250915_0045'!M163</f>
        <v>-0.10933188905675444</v>
      </c>
    </row>
    <row r="164" spans="1:23" x14ac:dyDescent="0.25">
      <c r="A164">
        <v>163</v>
      </c>
      <c r="B164">
        <v>124</v>
      </c>
      <c r="C164" t="s">
        <v>16</v>
      </c>
      <c r="D164" t="s">
        <v>35</v>
      </c>
      <c r="E164" t="s">
        <v>49</v>
      </c>
      <c r="F164" t="s">
        <v>28</v>
      </c>
      <c r="G164" t="s">
        <v>20</v>
      </c>
      <c r="H164" t="s">
        <v>21</v>
      </c>
      <c r="I164" t="s">
        <v>24</v>
      </c>
      <c r="J164" t="s">
        <v>148</v>
      </c>
      <c r="K164" t="s">
        <v>63</v>
      </c>
      <c r="L164">
        <v>2565</v>
      </c>
      <c r="M164">
        <v>1.6685648</v>
      </c>
      <c r="N164">
        <v>74.796106047599451</v>
      </c>
      <c r="O164">
        <v>-0.3423374665159527</v>
      </c>
      <c r="P164" s="1" t="str">
        <f>HYPERLINK(".\sm_car_251026_0925\sm_car_251026_0925_163_Ca124TrN_MaLSS_DrSt_ode3_1.png","figure")</f>
        <v>figure</v>
      </c>
      <c r="Q164" t="s">
        <v>15</v>
      </c>
      <c r="T164">
        <f>L164-'2022a_250915_0045'!L164</f>
        <v>0</v>
      </c>
      <c r="U164" s="11">
        <f>T164/'2022a_250915_0045'!L164</f>
        <v>0</v>
      </c>
      <c r="V164" s="10">
        <f>M164-'2022a_250915_0045'!M164</f>
        <v>-0.12128139999999998</v>
      </c>
      <c r="W164" s="11">
        <f>V164/'2022a_250915_0045'!M164</f>
        <v>-6.7760794195612997E-2</v>
      </c>
    </row>
    <row r="165" spans="1:23" x14ac:dyDescent="0.25">
      <c r="A165">
        <v>164</v>
      </c>
      <c r="B165">
        <v>124</v>
      </c>
      <c r="C165" t="s">
        <v>16</v>
      </c>
      <c r="D165" t="s">
        <v>35</v>
      </c>
      <c r="E165" t="s">
        <v>49</v>
      </c>
      <c r="F165" t="s">
        <v>28</v>
      </c>
      <c r="G165" t="s">
        <v>20</v>
      </c>
      <c r="H165" t="s">
        <v>21</v>
      </c>
      <c r="I165" t="s">
        <v>64</v>
      </c>
      <c r="J165" t="s">
        <v>148</v>
      </c>
      <c r="K165" t="s">
        <v>63</v>
      </c>
      <c r="L165">
        <v>2564</v>
      </c>
      <c r="M165">
        <v>1.6583664</v>
      </c>
      <c r="N165">
        <v>71.44740813970391</v>
      </c>
      <c r="O165">
        <v>-17.636376353758365</v>
      </c>
      <c r="P165" s="1" t="str">
        <f>HYPERLINK(".\sm_car_251026_0925\sm_car_251026_0925_164_Ca124TrN_MaTUR_DrSt_ode3_1.png","figure")</f>
        <v>figure</v>
      </c>
      <c r="Q165" t="s">
        <v>15</v>
      </c>
      <c r="T165">
        <f>L165-'2022a_250915_0045'!L165</f>
        <v>0</v>
      </c>
      <c r="U165" s="11">
        <f>T165/'2022a_250915_0045'!L165</f>
        <v>0</v>
      </c>
      <c r="V165" s="10">
        <f>M165-'2022a_250915_0045'!M165</f>
        <v>-5.5994499999999947E-2</v>
      </c>
      <c r="W165" s="11">
        <f>V165/'2022a_250915_0045'!M165</f>
        <v>-3.2662025831317054E-2</v>
      </c>
    </row>
    <row r="166" spans="1:23" x14ac:dyDescent="0.25">
      <c r="A166">
        <v>165</v>
      </c>
      <c r="B166">
        <v>141</v>
      </c>
      <c r="C166" t="s">
        <v>45</v>
      </c>
      <c r="D166" t="s">
        <v>17</v>
      </c>
      <c r="E166" t="s">
        <v>18</v>
      </c>
      <c r="F166" t="s">
        <v>28</v>
      </c>
      <c r="G166" t="s">
        <v>26</v>
      </c>
      <c r="H166" t="s">
        <v>21</v>
      </c>
      <c r="I166" t="s">
        <v>22</v>
      </c>
      <c r="J166" t="s">
        <v>148</v>
      </c>
      <c r="K166" t="s">
        <v>63</v>
      </c>
      <c r="L166">
        <v>3839</v>
      </c>
      <c r="M166">
        <v>10.982824300000001</v>
      </c>
      <c r="N166">
        <v>402.30863495690755</v>
      </c>
      <c r="O166">
        <v>1.6338397292265674</v>
      </c>
      <c r="P166" s="1" t="str">
        <f>HYPERLINK(".\sm_car_251026_0925\sm_car_251026_0925_165_Ca141TrN_MaWOT_DrSt_ode3_1.png","figure")</f>
        <v>figure</v>
      </c>
      <c r="Q166" t="s">
        <v>15</v>
      </c>
      <c r="T166">
        <f>L166-'2022a_250915_0045'!L166</f>
        <v>0</v>
      </c>
      <c r="U166" s="11">
        <f>T166/'2022a_250915_0045'!L166</f>
        <v>0</v>
      </c>
      <c r="V166" s="10">
        <f>M166-'2022a_250915_0045'!M166</f>
        <v>-0.17797689999999911</v>
      </c>
      <c r="W166" s="11">
        <f>V166/'2022a_250915_0045'!M166</f>
        <v>-1.5946606055486329E-2</v>
      </c>
    </row>
    <row r="167" spans="1:23" x14ac:dyDescent="0.25">
      <c r="A167">
        <v>166</v>
      </c>
      <c r="B167">
        <v>141</v>
      </c>
      <c r="C167" t="s">
        <v>45</v>
      </c>
      <c r="D167" t="s">
        <v>17</v>
      </c>
      <c r="E167" t="s">
        <v>18</v>
      </c>
      <c r="F167" t="s">
        <v>28</v>
      </c>
      <c r="G167" t="s">
        <v>26</v>
      </c>
      <c r="H167" t="s">
        <v>21</v>
      </c>
      <c r="I167" t="s">
        <v>24</v>
      </c>
      <c r="J167" t="s">
        <v>148</v>
      </c>
      <c r="K167" t="s">
        <v>63</v>
      </c>
      <c r="L167">
        <v>3192</v>
      </c>
      <c r="M167">
        <v>9.3212492000000005</v>
      </c>
      <c r="N167">
        <v>153.1610325304562</v>
      </c>
      <c r="O167">
        <v>-0.57333301742495391</v>
      </c>
      <c r="P167" s="1" t="str">
        <f>HYPERLINK(".\sm_car_251026_0925\sm_car_251026_0925_166_Ca141TrN_MaLSS_DrSt_ode3_1.png","figure")</f>
        <v>figure</v>
      </c>
      <c r="Q167" t="s">
        <v>15</v>
      </c>
      <c r="T167">
        <f>L167-'2022a_250915_0045'!L167</f>
        <v>0</v>
      </c>
      <c r="U167" s="11">
        <f>T167/'2022a_250915_0045'!L167</f>
        <v>0</v>
      </c>
      <c r="V167" s="10">
        <f>M167-'2022a_250915_0045'!M167</f>
        <v>-0.166334599999999</v>
      </c>
      <c r="W167" s="11">
        <f>V167/'2022a_250915_0045'!M167</f>
        <v>-1.7531818796688678E-2</v>
      </c>
    </row>
    <row r="168" spans="1:23" x14ac:dyDescent="0.25">
      <c r="A168">
        <v>167</v>
      </c>
      <c r="B168">
        <v>141</v>
      </c>
      <c r="C168" t="s">
        <v>45</v>
      </c>
      <c r="D168" t="s">
        <v>17</v>
      </c>
      <c r="E168" t="s">
        <v>18</v>
      </c>
      <c r="F168" t="s">
        <v>28</v>
      </c>
      <c r="G168" t="s">
        <v>26</v>
      </c>
      <c r="H168" t="s">
        <v>21</v>
      </c>
      <c r="I168" t="s">
        <v>64</v>
      </c>
      <c r="J168" t="s">
        <v>148</v>
      </c>
      <c r="K168" t="s">
        <v>63</v>
      </c>
      <c r="L168">
        <v>3161</v>
      </c>
      <c r="M168">
        <v>9.2151961999999994</v>
      </c>
      <c r="N168">
        <v>98.182502301530434</v>
      </c>
      <c r="O168">
        <v>-86.478323076891002</v>
      </c>
      <c r="P168" s="1" t="str">
        <f>HYPERLINK(".\sm_car_251026_0925\sm_car_251026_0925_167_Ca141TrN_MaTUR_DrSt_ode3_1.png","figure")</f>
        <v>figure</v>
      </c>
      <c r="Q168" t="s">
        <v>15</v>
      </c>
      <c r="T168">
        <f>L168-'2022a_250915_0045'!L168</f>
        <v>0</v>
      </c>
      <c r="U168" s="11">
        <f>T168/'2022a_250915_0045'!L168</f>
        <v>0</v>
      </c>
      <c r="V168" s="10">
        <f>M168-'2022a_250915_0045'!M168</f>
        <v>-0.34135900000000063</v>
      </c>
      <c r="W168" s="11">
        <f>V168/'2022a_250915_0045'!M168</f>
        <v>-3.5719879481259174E-2</v>
      </c>
    </row>
    <row r="169" spans="1:23" x14ac:dyDescent="0.25">
      <c r="A169">
        <v>168</v>
      </c>
      <c r="B169">
        <v>145</v>
      </c>
      <c r="C169" t="s">
        <v>46</v>
      </c>
      <c r="D169" t="s">
        <v>17</v>
      </c>
      <c r="E169" t="s">
        <v>50</v>
      </c>
      <c r="F169" t="s">
        <v>19</v>
      </c>
      <c r="G169" t="s">
        <v>26</v>
      </c>
      <c r="H169" t="s">
        <v>21</v>
      </c>
      <c r="I169" t="s">
        <v>22</v>
      </c>
      <c r="J169" t="s">
        <v>148</v>
      </c>
      <c r="K169" t="s">
        <v>63</v>
      </c>
      <c r="L169">
        <v>2643</v>
      </c>
      <c r="M169">
        <v>6.5379512000000002</v>
      </c>
      <c r="N169">
        <v>62.801920219963705</v>
      </c>
      <c r="O169">
        <v>1.2870889453072795E-2</v>
      </c>
      <c r="P169" s="1" t="str">
        <f>HYPERLINK(".\sm_car_251026_0925\sm_car_251026_0925_168_Ca145TrN_MaWOT_DrSt_ode3_1.png","figure")</f>
        <v>figure</v>
      </c>
      <c r="Q169" t="s">
        <v>15</v>
      </c>
      <c r="T169">
        <f>L169-'2022a_250915_0045'!L169</f>
        <v>2</v>
      </c>
      <c r="U169" s="11">
        <f>T169/'2022a_250915_0045'!L169</f>
        <v>7.572889057175312E-4</v>
      </c>
      <c r="V169" s="10">
        <f>M169-'2022a_250915_0045'!M169</f>
        <v>-2.605249999999959E-2</v>
      </c>
      <c r="W169" s="11">
        <f>V169/'2022a_250915_0045'!M169</f>
        <v>-3.9689953252158572E-3</v>
      </c>
    </row>
    <row r="170" spans="1:23" x14ac:dyDescent="0.25">
      <c r="A170">
        <v>169</v>
      </c>
      <c r="B170">
        <v>145</v>
      </c>
      <c r="C170" t="s">
        <v>46</v>
      </c>
      <c r="D170" t="s">
        <v>17</v>
      </c>
      <c r="E170" t="s">
        <v>50</v>
      </c>
      <c r="F170" t="s">
        <v>19</v>
      </c>
      <c r="G170" t="s">
        <v>26</v>
      </c>
      <c r="H170" t="s">
        <v>21</v>
      </c>
      <c r="I170" t="s">
        <v>24</v>
      </c>
      <c r="J170" t="s">
        <v>148</v>
      </c>
      <c r="K170" t="s">
        <v>63</v>
      </c>
      <c r="L170">
        <v>2382</v>
      </c>
      <c r="M170">
        <v>5.8780336999999996</v>
      </c>
      <c r="N170">
        <v>25.29979029858395</v>
      </c>
      <c r="O170">
        <v>-5.1073510343849056E-2</v>
      </c>
      <c r="P170" s="1" t="str">
        <f>HYPERLINK(".\sm_car_251026_0925\sm_car_251026_0925_169_Ca145TrN_MaLSS_DrSt_ode3_1.png","figure")</f>
        <v>figure</v>
      </c>
      <c r="Q170" t="s">
        <v>15</v>
      </c>
      <c r="T170">
        <f>L170-'2022a_250915_0045'!L170</f>
        <v>0</v>
      </c>
      <c r="U170" s="11">
        <f>T170/'2022a_250915_0045'!L170</f>
        <v>0</v>
      </c>
      <c r="V170" s="10">
        <f>M170-'2022a_250915_0045'!M170</f>
        <v>-0.20409580000000016</v>
      </c>
      <c r="W170" s="11">
        <f>V170/'2022a_250915_0045'!M170</f>
        <v>-3.3556635056849769E-2</v>
      </c>
    </row>
    <row r="171" spans="1:23" x14ac:dyDescent="0.25">
      <c r="A171">
        <v>170</v>
      </c>
      <c r="B171">
        <v>145</v>
      </c>
      <c r="C171" t="s">
        <v>46</v>
      </c>
      <c r="D171" t="s">
        <v>17</v>
      </c>
      <c r="E171" t="s">
        <v>50</v>
      </c>
      <c r="F171" t="s">
        <v>19</v>
      </c>
      <c r="G171" t="s">
        <v>26</v>
      </c>
      <c r="H171" t="s">
        <v>21</v>
      </c>
      <c r="I171" t="s">
        <v>64</v>
      </c>
      <c r="J171" t="s">
        <v>148</v>
      </c>
      <c r="K171" t="s">
        <v>63</v>
      </c>
      <c r="L171">
        <v>2381</v>
      </c>
      <c r="M171">
        <v>5.8027480000000002</v>
      </c>
      <c r="N171">
        <v>25.120380758055489</v>
      </c>
      <c r="O171">
        <v>-2.6101423234318388</v>
      </c>
      <c r="P171" s="1" t="str">
        <f>HYPERLINK(".\sm_car_251026_0925\sm_car_251026_0925_170_Ca145TrN_MaTUR_DrSt_ode3_1.png","figure")</f>
        <v>figure</v>
      </c>
      <c r="Q171" t="s">
        <v>15</v>
      </c>
      <c r="T171">
        <f>L171-'2022a_250915_0045'!L171</f>
        <v>0</v>
      </c>
      <c r="U171" s="11">
        <f>T171/'2022a_250915_0045'!L171</f>
        <v>0</v>
      </c>
      <c r="V171" s="10">
        <f>M171-'2022a_250915_0045'!M171</f>
        <v>-0.54994429999999994</v>
      </c>
      <c r="W171" s="11">
        <f>V171/'2022a_250915_0045'!M171</f>
        <v>-8.6568697810218184E-2</v>
      </c>
    </row>
    <row r="172" spans="1:23" x14ac:dyDescent="0.25">
      <c r="A172">
        <v>171</v>
      </c>
      <c r="B172">
        <v>199</v>
      </c>
      <c r="C172" t="s">
        <v>46</v>
      </c>
      <c r="D172" t="s">
        <v>17</v>
      </c>
      <c r="E172" t="s">
        <v>109</v>
      </c>
      <c r="F172" t="s">
        <v>19</v>
      </c>
      <c r="G172" t="s">
        <v>26</v>
      </c>
      <c r="H172" t="s">
        <v>21</v>
      </c>
      <c r="I172" t="s">
        <v>22</v>
      </c>
      <c r="J172" t="s">
        <v>148</v>
      </c>
      <c r="K172" t="s">
        <v>63</v>
      </c>
      <c r="L172">
        <v>2646</v>
      </c>
      <c r="M172">
        <v>7.1463406999999997</v>
      </c>
      <c r="N172">
        <v>63.479376009665017</v>
      </c>
      <c r="O172">
        <v>-1.1364260915967339E-4</v>
      </c>
      <c r="P172" s="1" t="str">
        <f>HYPERLINK(".\sm_car_251026_0925\sm_car_251026_0925_171_Ca199TrN_MaWOT_DrSt_ode3_1.png","figure")</f>
        <v>figure</v>
      </c>
      <c r="Q172" t="s">
        <v>15</v>
      </c>
      <c r="T172">
        <f>L172-'2022a_250915_0045'!L172</f>
        <v>-1</v>
      </c>
      <c r="U172" s="11">
        <f>T172/'2022a_250915_0045'!L172</f>
        <v>-3.7778617302606723E-4</v>
      </c>
      <c r="V172" s="10">
        <f>M172-'2022a_250915_0045'!M172</f>
        <v>-0.32441840000000077</v>
      </c>
      <c r="W172" s="11">
        <f>V172/'2022a_250915_0045'!M172</f>
        <v>-4.3425091835714628E-2</v>
      </c>
    </row>
    <row r="173" spans="1:23" x14ac:dyDescent="0.25">
      <c r="A173">
        <v>172</v>
      </c>
      <c r="B173">
        <v>199</v>
      </c>
      <c r="C173" t="s">
        <v>46</v>
      </c>
      <c r="D173" t="s">
        <v>17</v>
      </c>
      <c r="E173" t="s">
        <v>109</v>
      </c>
      <c r="F173" t="s">
        <v>19</v>
      </c>
      <c r="G173" t="s">
        <v>26</v>
      </c>
      <c r="H173" t="s">
        <v>21</v>
      </c>
      <c r="I173" t="s">
        <v>24</v>
      </c>
      <c r="J173" t="s">
        <v>148</v>
      </c>
      <c r="K173" t="s">
        <v>63</v>
      </c>
      <c r="L173">
        <v>2385</v>
      </c>
      <c r="M173">
        <v>6.5134359999999996</v>
      </c>
      <c r="N173">
        <v>25.91953307782153</v>
      </c>
      <c r="O173">
        <v>-5.3786532613676601E-2</v>
      </c>
      <c r="P173" s="1" t="str">
        <f>HYPERLINK(".\sm_car_251026_0925\sm_car_251026_0925_172_Ca199TrN_MaLSS_DrSt_ode3_1.png","figure")</f>
        <v>figure</v>
      </c>
      <c r="Q173" t="s">
        <v>15</v>
      </c>
      <c r="T173">
        <f>L173-'2022a_250915_0045'!L173</f>
        <v>0</v>
      </c>
      <c r="U173" s="11">
        <f>T173/'2022a_250915_0045'!L173</f>
        <v>0</v>
      </c>
      <c r="V173" s="10">
        <f>M173-'2022a_250915_0045'!M173</f>
        <v>-0.4619680000000006</v>
      </c>
      <c r="W173" s="11">
        <f>V173/'2022a_250915_0045'!M173</f>
        <v>-6.6228135316606832E-2</v>
      </c>
    </row>
    <row r="174" spans="1:23" x14ac:dyDescent="0.25">
      <c r="A174">
        <v>173</v>
      </c>
      <c r="B174">
        <v>199</v>
      </c>
      <c r="C174" t="s">
        <v>46</v>
      </c>
      <c r="D174" t="s">
        <v>17</v>
      </c>
      <c r="E174" t="s">
        <v>109</v>
      </c>
      <c r="F174" t="s">
        <v>19</v>
      </c>
      <c r="G174" t="s">
        <v>26</v>
      </c>
      <c r="H174" t="s">
        <v>21</v>
      </c>
      <c r="I174" t="s">
        <v>64</v>
      </c>
      <c r="J174" t="s">
        <v>148</v>
      </c>
      <c r="K174" t="s">
        <v>63</v>
      </c>
      <c r="L174">
        <v>2383</v>
      </c>
      <c r="M174">
        <v>6.8218246000000002</v>
      </c>
      <c r="N174">
        <v>25.733627921922782</v>
      </c>
      <c r="O174">
        <v>-2.6936809071955667</v>
      </c>
      <c r="P174" s="1" t="str">
        <f>HYPERLINK(".\sm_car_251026_0925\sm_car_251026_0925_173_Ca199TrN_MaTUR_DrSt_ode3_1.png","figure")</f>
        <v>figure</v>
      </c>
      <c r="Q174" t="s">
        <v>15</v>
      </c>
      <c r="T174">
        <f>L174-'2022a_250915_0045'!L174</f>
        <v>0</v>
      </c>
      <c r="U174" s="11">
        <f>T174/'2022a_250915_0045'!L174</f>
        <v>0</v>
      </c>
      <c r="V174" s="10">
        <f>M174-'2022a_250915_0045'!M174</f>
        <v>0.10957160000000066</v>
      </c>
      <c r="W174" s="11">
        <f>V174/'2022a_250915_0045'!M174</f>
        <v>1.6324116507527454E-2</v>
      </c>
    </row>
    <row r="175" spans="1:23" x14ac:dyDescent="0.25">
      <c r="A175">
        <v>174</v>
      </c>
      <c r="B175">
        <v>139</v>
      </c>
      <c r="C175" t="s">
        <v>45</v>
      </c>
      <c r="D175" t="s">
        <v>17</v>
      </c>
      <c r="E175" t="s">
        <v>18</v>
      </c>
      <c r="F175" t="s">
        <v>19</v>
      </c>
      <c r="G175" t="s">
        <v>26</v>
      </c>
      <c r="H175" t="s">
        <v>21</v>
      </c>
      <c r="I175" t="s">
        <v>53</v>
      </c>
      <c r="J175" t="s">
        <v>148</v>
      </c>
      <c r="K175" t="s">
        <v>23</v>
      </c>
      <c r="L175">
        <v>547</v>
      </c>
      <c r="M175">
        <v>13.1220163</v>
      </c>
      <c r="N175">
        <v>254.52410607794945</v>
      </c>
      <c r="O175">
        <v>-8.1096108128351219E-3</v>
      </c>
      <c r="P175" s="1" t="str">
        <f>HYPERLINK(".\sm_car_251026_0925\sm_car_251026_0925_174_Ca139TrN_MaDLC_DrSt_ode23t_1.png","figure")</f>
        <v>figure</v>
      </c>
      <c r="Q175" t="s">
        <v>15</v>
      </c>
      <c r="T175">
        <f>L175-'2022a_250915_0045'!L175</f>
        <v>25</v>
      </c>
      <c r="U175" s="11">
        <f>T175/'2022a_250915_0045'!L175</f>
        <v>4.7892720306513412E-2</v>
      </c>
      <c r="V175" s="10">
        <f>M175-'2022a_250915_0045'!M175</f>
        <v>2.9592930000000006</v>
      </c>
      <c r="W175" s="11">
        <f>V175/'2022a_250915_0045'!M175</f>
        <v>0.29119094485235081</v>
      </c>
    </row>
    <row r="176" spans="1:23" x14ac:dyDescent="0.25">
      <c r="A176">
        <v>175</v>
      </c>
      <c r="B176">
        <v>139</v>
      </c>
      <c r="C176" t="s">
        <v>45</v>
      </c>
      <c r="D176" t="s">
        <v>17</v>
      </c>
      <c r="E176" t="s">
        <v>18</v>
      </c>
      <c r="F176" t="s">
        <v>19</v>
      </c>
      <c r="G176" t="s">
        <v>26</v>
      </c>
      <c r="H176" t="s">
        <v>65</v>
      </c>
      <c r="I176" t="s">
        <v>53</v>
      </c>
      <c r="J176" t="s">
        <v>148</v>
      </c>
      <c r="K176" t="s">
        <v>23</v>
      </c>
      <c r="L176">
        <v>834</v>
      </c>
      <c r="M176">
        <v>38.3935812</v>
      </c>
      <c r="N176">
        <v>253.41072675110667</v>
      </c>
      <c r="O176">
        <v>7.8925577810311509E-3</v>
      </c>
      <c r="P176" s="1" t="str">
        <f>HYPERLINK(".\sm_car_251026_0925\sm_car_251026_0925_175_Ca139TrE_MaDLC_DrSt_ode23t_1.png","figure")</f>
        <v>figure</v>
      </c>
      <c r="Q176" t="s">
        <v>15</v>
      </c>
      <c r="T176">
        <f>L176-'2022a_250915_0045'!L176</f>
        <v>-12</v>
      </c>
      <c r="U176" s="11">
        <f>T176/'2022a_250915_0045'!L176</f>
        <v>-1.4184397163120567E-2</v>
      </c>
      <c r="V176" s="10">
        <f>M176-'2022a_250915_0045'!M176</f>
        <v>9.9837795000000007</v>
      </c>
      <c r="W176" s="11">
        <f>V176/'2022a_250915_0045'!M176</f>
        <v>0.35142024592167431</v>
      </c>
    </row>
    <row r="177" spans="1:23" x14ac:dyDescent="0.25">
      <c r="A177">
        <v>176</v>
      </c>
      <c r="B177">
        <v>139</v>
      </c>
      <c r="C177" t="s">
        <v>45</v>
      </c>
      <c r="D177" t="s">
        <v>17</v>
      </c>
      <c r="E177" t="s">
        <v>18</v>
      </c>
      <c r="F177" t="s">
        <v>19</v>
      </c>
      <c r="G177" t="s">
        <v>26</v>
      </c>
      <c r="H177" t="s">
        <v>66</v>
      </c>
      <c r="I177" t="s">
        <v>53</v>
      </c>
      <c r="J177" t="s">
        <v>148</v>
      </c>
      <c r="K177" t="s">
        <v>23</v>
      </c>
      <c r="L177">
        <v>994</v>
      </c>
      <c r="M177">
        <v>44.334375999999999</v>
      </c>
      <c r="N177">
        <v>253.50117757716129</v>
      </c>
      <c r="O177">
        <v>-9.4592125030859009E-3</v>
      </c>
      <c r="P177" s="1" t="str">
        <f>HYPERLINK(".\sm_car_251026_0925\sm_car_251026_0925_176_Ca139TrT_MaDLC_DrSt_ode23t_1.png","figure")</f>
        <v>figure</v>
      </c>
      <c r="Q177" t="s">
        <v>15</v>
      </c>
      <c r="T177">
        <f>L177-'2022a_250915_0045'!L177</f>
        <v>-26</v>
      </c>
      <c r="U177" s="11">
        <f>T177/'2022a_250915_0045'!L177</f>
        <v>-2.5490196078431372E-2</v>
      </c>
      <c r="V177" s="10">
        <f>M177-'2022a_250915_0045'!M177</f>
        <v>6.5670938999999962</v>
      </c>
      <c r="W177" s="11">
        <f>V177/'2022a_250915_0045'!M177</f>
        <v>0.17388314792183565</v>
      </c>
    </row>
    <row r="178" spans="1:23" x14ac:dyDescent="0.25">
      <c r="A178">
        <v>177</v>
      </c>
      <c r="B178">
        <v>139</v>
      </c>
      <c r="C178" t="s">
        <v>45</v>
      </c>
      <c r="D178" t="s">
        <v>17</v>
      </c>
      <c r="E178" t="s">
        <v>18</v>
      </c>
      <c r="F178" t="s">
        <v>19</v>
      </c>
      <c r="G178" t="s">
        <v>26</v>
      </c>
      <c r="H178" t="s">
        <v>65</v>
      </c>
      <c r="I178" t="s">
        <v>53</v>
      </c>
      <c r="J178" t="s">
        <v>148</v>
      </c>
      <c r="K178" t="s">
        <v>23</v>
      </c>
      <c r="L178">
        <v>954</v>
      </c>
      <c r="M178">
        <v>26.973851</v>
      </c>
      <c r="N178">
        <v>253.27768587464482</v>
      </c>
      <c r="O178">
        <v>0.17002960848229876</v>
      </c>
      <c r="P178" s="1" t="str">
        <f>HYPERLINK(".\sm_car_251026_0925\sm_car_251026_0925_177_Ca139TrE_MaDLC_DrSt_ode23t_1.png","figure")</f>
        <v>figure</v>
      </c>
      <c r="Q178" t="s">
        <v>15</v>
      </c>
      <c r="T178">
        <f>L178-'2022a_250915_0045'!L178</f>
        <v>-4</v>
      </c>
      <c r="U178" s="11">
        <f>T178/'2022a_250915_0045'!L178</f>
        <v>-4.1753653444676405E-3</v>
      </c>
      <c r="V178" s="10">
        <f>M178-'2022a_250915_0045'!M178</f>
        <v>2.5030557999999985</v>
      </c>
      <c r="W178" s="11">
        <f>V178/'2022a_250915_0045'!M178</f>
        <v>0.10228747286479674</v>
      </c>
    </row>
    <row r="179" spans="1:23" x14ac:dyDescent="0.25">
      <c r="A179">
        <v>178</v>
      </c>
      <c r="B179">
        <v>2</v>
      </c>
      <c r="C179" t="s">
        <v>16</v>
      </c>
      <c r="D179" t="s">
        <v>17</v>
      </c>
      <c r="E179" t="s">
        <v>18</v>
      </c>
      <c r="F179" t="s">
        <v>19</v>
      </c>
      <c r="G179" t="s">
        <v>26</v>
      </c>
      <c r="H179" t="s">
        <v>21</v>
      </c>
      <c r="I179" t="s">
        <v>53</v>
      </c>
      <c r="J179" t="s">
        <v>148</v>
      </c>
      <c r="K179" t="s">
        <v>23</v>
      </c>
      <c r="L179">
        <v>529</v>
      </c>
      <c r="M179">
        <v>10.8425365</v>
      </c>
      <c r="N179">
        <v>254.98668971193138</v>
      </c>
      <c r="O179">
        <v>4.1088907798354501E-2</v>
      </c>
      <c r="P179" s="1" t="str">
        <f>HYPERLINK(".\sm_car_251026_0925\sm_car_251026_0925_178_Ca002TrN_MaDLC_DrSt_ode23t_1.png","figure")</f>
        <v>figure</v>
      </c>
      <c r="Q179" t="s">
        <v>15</v>
      </c>
      <c r="T179">
        <f>L179-'2022a_250915_0045'!L179</f>
        <v>9</v>
      </c>
      <c r="U179" s="11">
        <f>T179/'2022a_250915_0045'!L179</f>
        <v>1.7307692307692309E-2</v>
      </c>
      <c r="V179" s="10">
        <f>M179-'2022a_250915_0045'!M179</f>
        <v>2.1181582999999993</v>
      </c>
      <c r="W179" s="11">
        <f>V179/'2022a_250915_0045'!M179</f>
        <v>0.24278616211296286</v>
      </c>
    </row>
    <row r="180" spans="1:23" x14ac:dyDescent="0.25">
      <c r="A180">
        <v>179</v>
      </c>
      <c r="B180">
        <v>2</v>
      </c>
      <c r="C180" t="s">
        <v>16</v>
      </c>
      <c r="D180" t="s">
        <v>17</v>
      </c>
      <c r="E180" t="s">
        <v>18</v>
      </c>
      <c r="F180" t="s">
        <v>19</v>
      </c>
      <c r="G180" t="s">
        <v>26</v>
      </c>
      <c r="H180" t="s">
        <v>65</v>
      </c>
      <c r="I180" t="s">
        <v>53</v>
      </c>
      <c r="J180" t="s">
        <v>148</v>
      </c>
      <c r="K180" t="s">
        <v>23</v>
      </c>
      <c r="L180">
        <v>564</v>
      </c>
      <c r="M180">
        <v>19.392562099999999</v>
      </c>
      <c r="N180">
        <v>255.22921486954465</v>
      </c>
      <c r="O180">
        <v>4.0793742758303164E-2</v>
      </c>
      <c r="P180" s="1" t="str">
        <f>HYPERLINK(".\sm_car_251026_0925\sm_car_251026_0925_179_Ca002TrE_MaDLC_DrSt_ode23t_1.png","figure")</f>
        <v>figure</v>
      </c>
      <c r="Q180" t="s">
        <v>15</v>
      </c>
      <c r="T180">
        <f>L180-'2022a_250915_0045'!L180</f>
        <v>-1</v>
      </c>
      <c r="U180" s="11">
        <f>T180/'2022a_250915_0045'!L180</f>
        <v>-1.7699115044247787E-3</v>
      </c>
      <c r="V180" s="10">
        <f>M180-'2022a_250915_0045'!M180</f>
        <v>2.9443394000000005</v>
      </c>
      <c r="W180" s="11">
        <f>V180/'2022a_250915_0045'!M180</f>
        <v>0.17900653789178089</v>
      </c>
    </row>
    <row r="181" spans="1:23" x14ac:dyDescent="0.25">
      <c r="A181">
        <v>180</v>
      </c>
      <c r="B181">
        <v>2</v>
      </c>
      <c r="C181" t="s">
        <v>16</v>
      </c>
      <c r="D181" t="s">
        <v>17</v>
      </c>
      <c r="E181" t="s">
        <v>18</v>
      </c>
      <c r="F181" t="s">
        <v>19</v>
      </c>
      <c r="G181" t="s">
        <v>26</v>
      </c>
      <c r="H181" t="s">
        <v>66</v>
      </c>
      <c r="I181" t="s">
        <v>53</v>
      </c>
      <c r="J181" t="s">
        <v>148</v>
      </c>
      <c r="K181" t="s">
        <v>23</v>
      </c>
      <c r="L181">
        <v>846</v>
      </c>
      <c r="M181">
        <v>27.010198299999999</v>
      </c>
      <c r="N181">
        <v>254.61634224987506</v>
      </c>
      <c r="O181">
        <v>4.2321892658817362E-2</v>
      </c>
      <c r="P181" s="1" t="str">
        <f>HYPERLINK(".\sm_car_251026_0925\sm_car_251026_0925_180_Ca002TrT_MaDLC_DrSt_ode23t_1.png","figure")</f>
        <v>figure</v>
      </c>
      <c r="Q181" t="s">
        <v>15</v>
      </c>
      <c r="T181">
        <f>L181-'2022a_250915_0045'!L181</f>
        <v>57</v>
      </c>
      <c r="U181" s="11">
        <f>T181/'2022a_250915_0045'!L181</f>
        <v>7.2243346007604556E-2</v>
      </c>
      <c r="V181" s="10">
        <f>M181-'2022a_250915_0045'!M181</f>
        <v>5.0110159000000003</v>
      </c>
      <c r="W181" s="11">
        <f>V181/'2022a_250915_0045'!M181</f>
        <v>0.22778191520426688</v>
      </c>
    </row>
    <row r="182" spans="1:23" x14ac:dyDescent="0.25">
      <c r="A182">
        <v>181</v>
      </c>
      <c r="B182">
        <v>2</v>
      </c>
      <c r="C182" t="s">
        <v>16</v>
      </c>
      <c r="D182" t="s">
        <v>17</v>
      </c>
      <c r="E182" t="s">
        <v>18</v>
      </c>
      <c r="F182" t="s">
        <v>19</v>
      </c>
      <c r="G182" t="s">
        <v>26</v>
      </c>
      <c r="H182" t="s">
        <v>65</v>
      </c>
      <c r="I182" t="s">
        <v>53</v>
      </c>
      <c r="J182" t="s">
        <v>148</v>
      </c>
      <c r="K182" t="s">
        <v>23</v>
      </c>
      <c r="L182">
        <v>579</v>
      </c>
      <c r="M182">
        <v>13.4341968</v>
      </c>
      <c r="N182">
        <v>255.30680264779829</v>
      </c>
      <c r="O182">
        <v>4.0514454061913785E-2</v>
      </c>
      <c r="P182" s="1" t="str">
        <f>HYPERLINK(".\sm_car_251026_0925\sm_car_251026_0925_181_Ca002TrE_MaDLC_DrSt_ode23t_1.png","figure")</f>
        <v>figure</v>
      </c>
      <c r="Q182" t="s">
        <v>15</v>
      </c>
      <c r="T182">
        <f>L182-'2022a_250915_0045'!L182</f>
        <v>4</v>
      </c>
      <c r="U182" s="11">
        <f>T182/'2022a_250915_0045'!L182</f>
        <v>6.956521739130435E-3</v>
      </c>
      <c r="V182" s="10">
        <f>M182-'2022a_250915_0045'!M182</f>
        <v>0.19333420000000068</v>
      </c>
      <c r="W182" s="11">
        <f>V182/'2022a_250915_0045'!M182</f>
        <v>1.4601329674699643E-2</v>
      </c>
    </row>
    <row r="183" spans="1:23" x14ac:dyDescent="0.25">
      <c r="A183">
        <v>182</v>
      </c>
      <c r="B183">
        <v>145</v>
      </c>
      <c r="C183" t="s">
        <v>46</v>
      </c>
      <c r="D183" t="s">
        <v>17</v>
      </c>
      <c r="E183" t="s">
        <v>50</v>
      </c>
      <c r="F183" t="s">
        <v>19</v>
      </c>
      <c r="G183" t="s">
        <v>26</v>
      </c>
      <c r="H183" t="s">
        <v>21</v>
      </c>
      <c r="I183" t="s">
        <v>53</v>
      </c>
      <c r="J183" t="s">
        <v>148</v>
      </c>
      <c r="K183" t="s">
        <v>23</v>
      </c>
      <c r="L183">
        <v>456</v>
      </c>
      <c r="M183">
        <v>17.604681599999999</v>
      </c>
      <c r="N183">
        <v>253.91319581641682</v>
      </c>
      <c r="O183">
        <v>7.4963089743133704E-2</v>
      </c>
      <c r="P183" s="1" t="str">
        <f>HYPERLINK(".\sm_car_251026_0925\sm_car_251026_0925_182_Ca145TrN_MaDLC_DrSt_ode23t_1.png","figure")</f>
        <v>figure</v>
      </c>
      <c r="Q183" t="s">
        <v>15</v>
      </c>
      <c r="T183">
        <f>L183-'2022a_250915_0045'!L183</f>
        <v>-5</v>
      </c>
      <c r="U183" s="11">
        <f>T183/'2022a_250915_0045'!L183</f>
        <v>-1.0845986984815618E-2</v>
      </c>
      <c r="V183" s="10">
        <f>M183-'2022a_250915_0045'!M183</f>
        <v>2.3792311999999995</v>
      </c>
      <c r="W183" s="11">
        <f>V183/'2022a_250915_0045'!M183</f>
        <v>0.15626672035922165</v>
      </c>
    </row>
    <row r="184" spans="1:23" x14ac:dyDescent="0.25">
      <c r="A184">
        <v>183</v>
      </c>
      <c r="B184">
        <v>145</v>
      </c>
      <c r="C184" t="s">
        <v>46</v>
      </c>
      <c r="D184" t="s">
        <v>17</v>
      </c>
      <c r="E184" t="s">
        <v>50</v>
      </c>
      <c r="F184" t="s">
        <v>19</v>
      </c>
      <c r="G184" t="s">
        <v>26</v>
      </c>
      <c r="H184" t="s">
        <v>65</v>
      </c>
      <c r="I184" t="s">
        <v>53</v>
      </c>
      <c r="J184" t="s">
        <v>148</v>
      </c>
      <c r="K184" t="s">
        <v>23</v>
      </c>
      <c r="L184">
        <v>568</v>
      </c>
      <c r="M184">
        <v>32.755604900000002</v>
      </c>
      <c r="N184">
        <v>253.54158605579875</v>
      </c>
      <c r="O184">
        <v>7.7434658771752485E-2</v>
      </c>
      <c r="P184" s="1" t="str">
        <f>HYPERLINK(".\sm_car_251026_0925\sm_car_251026_0925_183_Ca145TrE_MaDLC_DrSt_ode23t_1.png","figure")</f>
        <v>figure</v>
      </c>
      <c r="Q184" t="s">
        <v>15</v>
      </c>
      <c r="T184">
        <f>L184-'2022a_250915_0045'!L184</f>
        <v>1</v>
      </c>
      <c r="U184" s="11">
        <f>T184/'2022a_250915_0045'!L184</f>
        <v>1.7636684303350969E-3</v>
      </c>
      <c r="V184" s="10">
        <f>M184-'2022a_250915_0045'!M184</f>
        <v>3.0868368000000004</v>
      </c>
      <c r="W184" s="11">
        <f>V184/'2022a_250915_0045'!M184</f>
        <v>0.10404330876144467</v>
      </c>
    </row>
    <row r="185" spans="1:23" x14ac:dyDescent="0.25">
      <c r="A185">
        <v>184</v>
      </c>
      <c r="B185">
        <v>145</v>
      </c>
      <c r="C185" t="s">
        <v>46</v>
      </c>
      <c r="D185" t="s">
        <v>17</v>
      </c>
      <c r="E185" t="s">
        <v>50</v>
      </c>
      <c r="F185" t="s">
        <v>19</v>
      </c>
      <c r="G185" t="s">
        <v>26</v>
      </c>
      <c r="H185" t="s">
        <v>66</v>
      </c>
      <c r="I185" t="s">
        <v>53</v>
      </c>
      <c r="J185" t="s">
        <v>148</v>
      </c>
      <c r="K185" t="s">
        <v>23</v>
      </c>
      <c r="L185">
        <v>785</v>
      </c>
      <c r="M185">
        <v>47.734876200000002</v>
      </c>
      <c r="N185">
        <v>256.23238480540806</v>
      </c>
      <c r="O185">
        <v>6.470934361257763E-2</v>
      </c>
      <c r="P185" s="1" t="str">
        <f>HYPERLINK(".\sm_car_251026_0925\sm_car_251026_0925_184_Ca145TrT_MaDLC_DrSt_ode23t_1.png","figure")</f>
        <v>figure</v>
      </c>
      <c r="Q185" t="s">
        <v>15</v>
      </c>
      <c r="T185">
        <f>L185-'2022a_250915_0045'!L185</f>
        <v>3</v>
      </c>
      <c r="U185" s="11">
        <f>T185/'2022a_250915_0045'!L185</f>
        <v>3.8363171355498722E-3</v>
      </c>
      <c r="V185" s="10">
        <f>M185-'2022a_250915_0045'!M185</f>
        <v>2.4631994000000006</v>
      </c>
      <c r="W185" s="11">
        <f>V185/'2022a_250915_0045'!M185</f>
        <v>5.4409281345638175E-2</v>
      </c>
    </row>
    <row r="186" spans="1:23" x14ac:dyDescent="0.25">
      <c r="A186">
        <v>185</v>
      </c>
      <c r="B186">
        <v>145</v>
      </c>
      <c r="C186" t="s">
        <v>46</v>
      </c>
      <c r="D186" t="s">
        <v>17</v>
      </c>
      <c r="E186" t="s">
        <v>50</v>
      </c>
      <c r="F186" t="s">
        <v>19</v>
      </c>
      <c r="G186" t="s">
        <v>26</v>
      </c>
      <c r="H186" t="s">
        <v>65</v>
      </c>
      <c r="I186" t="s">
        <v>53</v>
      </c>
      <c r="J186" t="s">
        <v>148</v>
      </c>
      <c r="K186" t="s">
        <v>23</v>
      </c>
      <c r="L186">
        <v>574</v>
      </c>
      <c r="M186">
        <v>28.856338699999998</v>
      </c>
      <c r="N186">
        <v>254.52744634729021</v>
      </c>
      <c r="O186">
        <v>7.2685837890370752E-2</v>
      </c>
      <c r="P186" s="1" t="str">
        <f>HYPERLINK(".\sm_car_251026_0925\sm_car_251026_0925_185_Ca145TrE_MaDLC_DrSt_ode23t_1.png","figure")</f>
        <v>figure</v>
      </c>
      <c r="Q186" t="s">
        <v>15</v>
      </c>
      <c r="T186">
        <f>L186-'2022a_250915_0045'!L186</f>
        <v>-4</v>
      </c>
      <c r="U186" s="11">
        <f>T186/'2022a_250915_0045'!L186</f>
        <v>-6.920415224913495E-3</v>
      </c>
      <c r="V186" s="10">
        <f>M186-'2022a_250915_0045'!M186</f>
        <v>3.8930417999999989</v>
      </c>
      <c r="W186" s="11">
        <f>V186/'2022a_250915_0045'!M186</f>
        <v>0.1559506268581054</v>
      </c>
    </row>
    <row r="187" spans="1:23" x14ac:dyDescent="0.25">
      <c r="A187">
        <v>186</v>
      </c>
      <c r="B187">
        <v>199</v>
      </c>
      <c r="C187" t="s">
        <v>46</v>
      </c>
      <c r="D187" t="s">
        <v>17</v>
      </c>
      <c r="E187" t="s">
        <v>109</v>
      </c>
      <c r="F187" t="s">
        <v>19</v>
      </c>
      <c r="G187" t="s">
        <v>26</v>
      </c>
      <c r="H187" t="s">
        <v>21</v>
      </c>
      <c r="I187" t="s">
        <v>53</v>
      </c>
      <c r="J187" t="s">
        <v>148</v>
      </c>
      <c r="K187" t="s">
        <v>23</v>
      </c>
      <c r="L187">
        <v>471</v>
      </c>
      <c r="M187">
        <v>7.5442220999999998</v>
      </c>
      <c r="N187">
        <v>253.35903487708219</v>
      </c>
      <c r="O187">
        <v>7.768790645386181E-2</v>
      </c>
      <c r="P187" s="1" t="str">
        <f>HYPERLINK(".\sm_car_251026_0925\sm_car_251026_0925_186_Ca199TrN_MaDLC_DrSt_ode23t_1.png","figure")</f>
        <v>figure</v>
      </c>
      <c r="Q187" t="s">
        <v>15</v>
      </c>
      <c r="T187">
        <f>L187-'2022a_250915_0045'!L187</f>
        <v>11</v>
      </c>
      <c r="U187" s="11">
        <f>T187/'2022a_250915_0045'!L187</f>
        <v>2.391304347826087E-2</v>
      </c>
      <c r="V187" s="10">
        <f>M187-'2022a_250915_0045'!M187</f>
        <v>1.3882368999999999</v>
      </c>
      <c r="W187" s="11">
        <f>V187/'2022a_250915_0045'!M187</f>
        <v>0.22551011006329252</v>
      </c>
    </row>
    <row r="188" spans="1:23" x14ac:dyDescent="0.25">
      <c r="A188">
        <v>187</v>
      </c>
      <c r="B188">
        <v>199</v>
      </c>
      <c r="C188" t="s">
        <v>46</v>
      </c>
      <c r="D188" t="s">
        <v>17</v>
      </c>
      <c r="E188" t="s">
        <v>109</v>
      </c>
      <c r="F188" t="s">
        <v>19</v>
      </c>
      <c r="G188" t="s">
        <v>26</v>
      </c>
      <c r="H188" t="s">
        <v>65</v>
      </c>
      <c r="I188" t="s">
        <v>53</v>
      </c>
      <c r="J188" t="s">
        <v>148</v>
      </c>
      <c r="K188" t="s">
        <v>23</v>
      </c>
      <c r="L188">
        <v>575</v>
      </c>
      <c r="M188">
        <v>17.349598</v>
      </c>
      <c r="N188">
        <v>254.88684941609313</v>
      </c>
      <c r="O188">
        <v>7.0975244757817357E-2</v>
      </c>
      <c r="P188" s="1" t="str">
        <f>HYPERLINK(".\sm_car_251026_0925\sm_car_251026_0925_187_Ca199TrE_MaDLC_DrSt_ode23t_1.png","figure")</f>
        <v>figure</v>
      </c>
      <c r="Q188" t="s">
        <v>15</v>
      </c>
      <c r="T188">
        <f>L188-'2022a_250915_0045'!L188</f>
        <v>2</v>
      </c>
      <c r="U188" s="11">
        <f>T188/'2022a_250915_0045'!L188</f>
        <v>3.4904013961605585E-3</v>
      </c>
      <c r="V188" s="10">
        <f>M188-'2022a_250915_0045'!M188</f>
        <v>2.0672086000000007</v>
      </c>
      <c r="W188" s="11">
        <f>V188/'2022a_250915_0045'!M188</f>
        <v>0.13526736859616997</v>
      </c>
    </row>
    <row r="189" spans="1:23" x14ac:dyDescent="0.25">
      <c r="A189">
        <v>188</v>
      </c>
      <c r="B189">
        <v>199</v>
      </c>
      <c r="C189" t="s">
        <v>46</v>
      </c>
      <c r="D189" t="s">
        <v>17</v>
      </c>
      <c r="E189" t="s">
        <v>109</v>
      </c>
      <c r="F189" t="s">
        <v>19</v>
      </c>
      <c r="G189" t="s">
        <v>26</v>
      </c>
      <c r="H189" t="s">
        <v>66</v>
      </c>
      <c r="I189" t="s">
        <v>53</v>
      </c>
      <c r="J189" t="s">
        <v>148</v>
      </c>
      <c r="K189" t="s">
        <v>23</v>
      </c>
      <c r="L189">
        <v>1185</v>
      </c>
      <c r="M189">
        <v>50.582893800000001</v>
      </c>
      <c r="N189">
        <v>255.52440194215603</v>
      </c>
      <c r="O189">
        <v>6.7777836312274964E-2</v>
      </c>
      <c r="P189" s="1" t="str">
        <f>HYPERLINK(".\sm_car_251026_0925\sm_car_251026_0925_188_Ca199TrT_MaDLC_DrSt_ode23t_1.png","figure")</f>
        <v>figure</v>
      </c>
      <c r="Q189" t="s">
        <v>15</v>
      </c>
      <c r="T189">
        <f>L189-'2022a_250915_0045'!L189</f>
        <v>-1068</v>
      </c>
      <c r="U189" s="11">
        <f>T189/'2022a_250915_0045'!L189</f>
        <v>-0.47403462050599199</v>
      </c>
      <c r="V189" s="10">
        <f>M189-'2022a_250915_0045'!M189</f>
        <v>-86.843546099999998</v>
      </c>
      <c r="W189" s="11">
        <f>V189/'2022a_250915_0045'!M189</f>
        <v>-0.63192749636236489</v>
      </c>
    </row>
    <row r="190" spans="1:23" x14ac:dyDescent="0.25">
      <c r="A190">
        <v>189</v>
      </c>
      <c r="B190">
        <v>199</v>
      </c>
      <c r="C190" t="s">
        <v>46</v>
      </c>
      <c r="D190" t="s">
        <v>17</v>
      </c>
      <c r="E190" t="s">
        <v>109</v>
      </c>
      <c r="F190" t="s">
        <v>19</v>
      </c>
      <c r="G190" t="s">
        <v>26</v>
      </c>
      <c r="H190" t="s">
        <v>65</v>
      </c>
      <c r="I190" t="s">
        <v>53</v>
      </c>
      <c r="J190" t="s">
        <v>148</v>
      </c>
      <c r="K190" t="s">
        <v>23</v>
      </c>
      <c r="L190">
        <v>582</v>
      </c>
      <c r="M190">
        <v>11.726466200000001</v>
      </c>
      <c r="N190">
        <v>255.71038449004971</v>
      </c>
      <c r="O190">
        <v>6.7512426457045027E-2</v>
      </c>
      <c r="P190" s="1" t="str">
        <f>HYPERLINK(".\sm_car_251026_0925\sm_car_251026_0925_189_Ca199TrE_MaDLC_DrSt_ode23t_1.png","figure")</f>
        <v>figure</v>
      </c>
      <c r="Q190" t="s">
        <v>15</v>
      </c>
      <c r="T190">
        <f>L190-'2022a_250915_0045'!L190</f>
        <v>8</v>
      </c>
      <c r="U190" s="11">
        <f>T190/'2022a_250915_0045'!L190</f>
        <v>1.3937282229965157E-2</v>
      </c>
      <c r="V190" s="10">
        <f>M190-'2022a_250915_0045'!M190</f>
        <v>0.50979710000000011</v>
      </c>
      <c r="W190" s="11">
        <f>V190/'2022a_250915_0045'!M190</f>
        <v>4.5449954478910329E-2</v>
      </c>
    </row>
    <row r="191" spans="1:23" x14ac:dyDescent="0.25">
      <c r="A191">
        <v>190</v>
      </c>
      <c r="B191">
        <v>189</v>
      </c>
      <c r="C191" t="s">
        <v>45</v>
      </c>
      <c r="D191" t="s">
        <v>17</v>
      </c>
      <c r="E191" t="s">
        <v>107</v>
      </c>
      <c r="F191" t="s">
        <v>19</v>
      </c>
      <c r="G191" t="s">
        <v>26</v>
      </c>
      <c r="H191" t="s">
        <v>65</v>
      </c>
      <c r="I191" t="s">
        <v>67</v>
      </c>
      <c r="J191" t="s">
        <v>148</v>
      </c>
      <c r="K191" t="s">
        <v>23</v>
      </c>
      <c r="L191">
        <v>399</v>
      </c>
      <c r="M191">
        <v>11.1114473</v>
      </c>
      <c r="N191">
        <v>264.58233228340436</v>
      </c>
      <c r="O191">
        <v>1.2782582768440243E-3</v>
      </c>
      <c r="P191" s="1" t="str">
        <f>HYPERLINK(".\sm_car_251026_0925\sm_car_251026_0925_190_Ca189TrE_MaTRD_DrSt_ode23t_1.png","figure")</f>
        <v>figure</v>
      </c>
      <c r="Q191" t="s">
        <v>15</v>
      </c>
      <c r="T191">
        <f>L191-'2022a_250915_0045'!L191</f>
        <v>-16</v>
      </c>
      <c r="U191" s="11">
        <f>T191/'2022a_250915_0045'!L191</f>
        <v>-3.8554216867469883E-2</v>
      </c>
      <c r="V191" s="10">
        <f>M191-'2022a_250915_0045'!M191</f>
        <v>1.0942182999999996</v>
      </c>
      <c r="W191" s="11">
        <f>V191/'2022a_250915_0045'!M191</f>
        <v>0.10923363137650138</v>
      </c>
    </row>
    <row r="192" spans="1:23" x14ac:dyDescent="0.25">
      <c r="A192">
        <v>191</v>
      </c>
      <c r="B192">
        <v>189</v>
      </c>
      <c r="C192" t="s">
        <v>45</v>
      </c>
      <c r="D192" t="s">
        <v>17</v>
      </c>
      <c r="E192" t="s">
        <v>107</v>
      </c>
      <c r="F192" t="s">
        <v>19</v>
      </c>
      <c r="G192" t="s">
        <v>26</v>
      </c>
      <c r="H192" t="s">
        <v>65</v>
      </c>
      <c r="I192" t="s">
        <v>67</v>
      </c>
      <c r="J192" t="s">
        <v>148</v>
      </c>
      <c r="K192" t="s">
        <v>23</v>
      </c>
      <c r="L192">
        <v>596</v>
      </c>
      <c r="M192">
        <v>15.6495224</v>
      </c>
      <c r="N192">
        <v>264.429023822722</v>
      </c>
      <c r="O192">
        <v>-9.0223587035060504E-2</v>
      </c>
      <c r="P192" s="1" t="str">
        <f>HYPERLINK(".\sm_car_251026_0925\sm_car_251026_0925_191_Ca189TrU_MaTRD_DrSt_ode23t_1.png","figure")</f>
        <v>figure</v>
      </c>
      <c r="Q192" t="s">
        <v>15</v>
      </c>
      <c r="T192">
        <f>L192-'2022a_250915_0045'!L192</f>
        <v>17</v>
      </c>
      <c r="U192" s="11">
        <f>T192/'2022a_250915_0045'!L192</f>
        <v>2.9360967184801381E-2</v>
      </c>
      <c r="V192" s="10">
        <f>M192-'2022a_250915_0045'!M192</f>
        <v>1.8613236000000004</v>
      </c>
      <c r="W192" s="11">
        <f>V192/'2022a_250915_0045'!M192</f>
        <v>0.13499396309835629</v>
      </c>
    </row>
    <row r="193" spans="1:23" x14ac:dyDescent="0.25">
      <c r="A193">
        <v>192</v>
      </c>
      <c r="B193">
        <v>149</v>
      </c>
      <c r="C193" t="s">
        <v>46</v>
      </c>
      <c r="D193" t="s">
        <v>17</v>
      </c>
      <c r="E193" t="s">
        <v>68</v>
      </c>
      <c r="F193" t="s">
        <v>19</v>
      </c>
      <c r="G193" t="s">
        <v>26</v>
      </c>
      <c r="H193" t="s">
        <v>21</v>
      </c>
      <c r="I193" t="s">
        <v>177</v>
      </c>
      <c r="J193" t="s">
        <v>148</v>
      </c>
      <c r="K193" t="s">
        <v>23</v>
      </c>
      <c r="L193">
        <v>1010</v>
      </c>
      <c r="M193">
        <v>11.1018483</v>
      </c>
      <c r="N193">
        <v>-5.9774844504780766E-3</v>
      </c>
      <c r="O193">
        <v>-8.5063886080352646E-4</v>
      </c>
      <c r="P193" s="1" t="str">
        <f>HYPERLINK(".\sm_car_251026_0925\sm_car_251026_0925_192_Ca149TrN_MaPS1_DrSt_ode23t_1.png","figure")</f>
        <v>figure</v>
      </c>
      <c r="Q193" t="s">
        <v>15</v>
      </c>
      <c r="T193">
        <f>L193-'2022a_250915_0045'!L193</f>
        <v>-107</v>
      </c>
      <c r="U193" s="11">
        <f>T193/'2022a_250915_0045'!L193</f>
        <v>-9.5792300805729633E-2</v>
      </c>
      <c r="V193" s="10">
        <f>M193-'2022a_250915_0045'!M193</f>
        <v>-1.5792295999999997</v>
      </c>
      <c r="W193" s="11">
        <f>V193/'2022a_250915_0045'!M193</f>
        <v>-0.1245343347350622</v>
      </c>
    </row>
    <row r="194" spans="1:23" x14ac:dyDescent="0.25">
      <c r="A194">
        <v>193</v>
      </c>
      <c r="B194">
        <v>149</v>
      </c>
      <c r="C194" t="s">
        <v>46</v>
      </c>
      <c r="D194" t="s">
        <v>17</v>
      </c>
      <c r="E194" t="s">
        <v>68</v>
      </c>
      <c r="F194" t="s">
        <v>19</v>
      </c>
      <c r="G194" t="s">
        <v>26</v>
      </c>
      <c r="H194" t="s">
        <v>21</v>
      </c>
      <c r="I194" t="s">
        <v>178</v>
      </c>
      <c r="J194" t="s">
        <v>148</v>
      </c>
      <c r="K194" t="s">
        <v>23</v>
      </c>
      <c r="L194">
        <v>2926</v>
      </c>
      <c r="M194">
        <v>15.007296200000001</v>
      </c>
      <c r="N194">
        <v>-9.0054605809259947E-3</v>
      </c>
      <c r="O194">
        <v>1.0904602449134868E-3</v>
      </c>
      <c r="P194" s="1" t="str">
        <f>HYPERLINK(".\sm_car_251026_0925\sm_car_251026_0925_193_Ca149TrN_MaPSD_DrSt_ode23t_1.png","figure")</f>
        <v>figure</v>
      </c>
      <c r="Q194" t="s">
        <v>15</v>
      </c>
      <c r="T194">
        <f>L194-'2022a_250915_0045'!L194</f>
        <v>-2234</v>
      </c>
      <c r="U194" s="11">
        <f>T194/'2022a_250915_0045'!L194</f>
        <v>-0.43294573643410855</v>
      </c>
      <c r="V194" s="10">
        <f>M194-'2022a_250915_0045'!M194</f>
        <v>-30.843665000000001</v>
      </c>
      <c r="W194" s="11">
        <f>V194/'2022a_250915_0045'!M194</f>
        <v>-0.67269396742766652</v>
      </c>
    </row>
    <row r="195" spans="1:23" x14ac:dyDescent="0.25">
      <c r="A195">
        <v>194</v>
      </c>
      <c r="B195">
        <v>139</v>
      </c>
      <c r="C195" t="s">
        <v>45</v>
      </c>
      <c r="D195" t="s">
        <v>17</v>
      </c>
      <c r="E195" t="s">
        <v>18</v>
      </c>
      <c r="F195" t="s">
        <v>19</v>
      </c>
      <c r="G195" t="s">
        <v>26</v>
      </c>
      <c r="H195" t="s">
        <v>21</v>
      </c>
      <c r="I195" t="s">
        <v>70</v>
      </c>
      <c r="J195" t="s">
        <v>148</v>
      </c>
      <c r="K195" t="s">
        <v>23</v>
      </c>
      <c r="L195">
        <v>1544</v>
      </c>
      <c r="M195">
        <v>33.5890019</v>
      </c>
      <c r="N195">
        <v>36.380996610599055</v>
      </c>
      <c r="O195">
        <v>0.23297904863917651</v>
      </c>
      <c r="P195" s="1" t="str">
        <f>HYPERLINK(".\sm_car_251026_0925\sm_car_251026_0925_194_Ca139TrN_MaSKD_DrSt_ode23t_1.png","figure")</f>
        <v>figure</v>
      </c>
      <c r="Q195" t="s">
        <v>15</v>
      </c>
      <c r="T195">
        <f>L195-'2022a_250915_0045'!L195</f>
        <v>-2</v>
      </c>
      <c r="U195" s="11">
        <f>T195/'2022a_250915_0045'!L195</f>
        <v>-1.29366106080207E-3</v>
      </c>
      <c r="V195" s="10">
        <f>M195-'2022a_250915_0045'!M195</f>
        <v>0.57157929999999624</v>
      </c>
      <c r="W195" s="11">
        <f>V195/'2022a_250915_0045'!M195</f>
        <v>1.7311445139875824E-2</v>
      </c>
    </row>
    <row r="196" spans="1:23" x14ac:dyDescent="0.25">
      <c r="A196">
        <v>195</v>
      </c>
      <c r="B196">
        <v>139</v>
      </c>
      <c r="C196" t="s">
        <v>45</v>
      </c>
      <c r="D196" t="s">
        <v>17</v>
      </c>
      <c r="E196" t="s">
        <v>18</v>
      </c>
      <c r="F196" t="s">
        <v>19</v>
      </c>
      <c r="G196" t="s">
        <v>26</v>
      </c>
      <c r="H196" t="s">
        <v>21</v>
      </c>
      <c r="I196" t="s">
        <v>71</v>
      </c>
      <c r="J196" t="s">
        <v>148</v>
      </c>
      <c r="K196" t="s">
        <v>23</v>
      </c>
      <c r="L196">
        <v>818</v>
      </c>
      <c r="M196">
        <v>18.7201758</v>
      </c>
      <c r="N196">
        <v>2.854346832243948E-4</v>
      </c>
      <c r="O196">
        <v>20.559217788148725</v>
      </c>
      <c r="P196" s="1" t="str">
        <f>HYPERLINK(".\sm_car_251026_0925\sm_car_251026_0925_195_Ca139TrN_MaRAD_DrSt_ode23t_1.png","figure")</f>
        <v>figure</v>
      </c>
      <c r="Q196" t="s">
        <v>15</v>
      </c>
      <c r="T196">
        <f>L196-'2022a_250915_0045'!L196</f>
        <v>12</v>
      </c>
      <c r="U196" s="11">
        <f>T196/'2022a_250915_0045'!L196</f>
        <v>1.488833746898263E-2</v>
      </c>
      <c r="V196" s="10">
        <f>M196-'2022a_250915_0045'!M196</f>
        <v>1.6453196000000005</v>
      </c>
      <c r="W196" s="11">
        <f>V196/'2022a_250915_0045'!M196</f>
        <v>9.6359206820142984E-2</v>
      </c>
    </row>
    <row r="197" spans="1:23" x14ac:dyDescent="0.25">
      <c r="A197">
        <v>196</v>
      </c>
      <c r="B197">
        <v>184</v>
      </c>
      <c r="C197" t="s">
        <v>105</v>
      </c>
      <c r="D197" t="s">
        <v>120</v>
      </c>
      <c r="E197" t="s">
        <v>49</v>
      </c>
      <c r="F197" t="s">
        <v>19</v>
      </c>
      <c r="G197" t="s">
        <v>20</v>
      </c>
      <c r="H197" t="s">
        <v>21</v>
      </c>
      <c r="I197" t="s">
        <v>70</v>
      </c>
      <c r="J197" t="s">
        <v>148</v>
      </c>
      <c r="K197" t="s">
        <v>23</v>
      </c>
      <c r="L197">
        <v>1317</v>
      </c>
      <c r="M197">
        <v>47.495578500000001</v>
      </c>
      <c r="N197">
        <v>36.539141079078327</v>
      </c>
      <c r="O197">
        <v>0.15673863727957171</v>
      </c>
      <c r="P197" s="1" t="str">
        <f>HYPERLINK(".\sm_car_251026_0925\sm_car_251026_0925_196_Ca184TrN_MaSKD_DrSt_ode23t_1.png","figure")</f>
        <v>figure</v>
      </c>
      <c r="Q197" t="s">
        <v>15</v>
      </c>
      <c r="T197">
        <f>L197-'2022a_250915_0045'!L197</f>
        <v>19</v>
      </c>
      <c r="U197" s="11">
        <f>T197/'2022a_250915_0045'!L197</f>
        <v>1.4637904468412942E-2</v>
      </c>
      <c r="V197" s="10">
        <f>M197-'2022a_250915_0045'!M197</f>
        <v>1.0987545999999995</v>
      </c>
      <c r="W197" s="11">
        <f>V197/'2022a_250915_0045'!M197</f>
        <v>2.3681677055484813E-2</v>
      </c>
    </row>
    <row r="198" spans="1:23" x14ac:dyDescent="0.25">
      <c r="A198">
        <v>197</v>
      </c>
      <c r="B198">
        <v>184</v>
      </c>
      <c r="C198" t="s">
        <v>105</v>
      </c>
      <c r="D198" t="s">
        <v>120</v>
      </c>
      <c r="E198" t="s">
        <v>49</v>
      </c>
      <c r="F198" t="s">
        <v>19</v>
      </c>
      <c r="G198" t="s">
        <v>20</v>
      </c>
      <c r="H198" t="s">
        <v>21</v>
      </c>
      <c r="I198" t="s">
        <v>71</v>
      </c>
      <c r="J198" t="s">
        <v>148</v>
      </c>
      <c r="K198" t="s">
        <v>23</v>
      </c>
      <c r="L198">
        <v>646</v>
      </c>
      <c r="M198">
        <v>22.7676385</v>
      </c>
      <c r="N198">
        <v>7.4804616239762574</v>
      </c>
      <c r="O198">
        <v>10.383853124414514</v>
      </c>
      <c r="P198" s="1" t="str">
        <f>HYPERLINK(".\sm_car_251026_0925\sm_car_251026_0925_197_Ca184TrN_MaRAD_DrSt_ode23t_1.png","figure")</f>
        <v>figure</v>
      </c>
      <c r="Q198" t="s">
        <v>15</v>
      </c>
      <c r="T198">
        <f>L198-'2022a_250915_0045'!L198</f>
        <v>2</v>
      </c>
      <c r="U198" s="11">
        <f>T198/'2022a_250915_0045'!L198</f>
        <v>3.105590062111801E-3</v>
      </c>
      <c r="V198" s="10">
        <f>M198-'2022a_250915_0045'!M198</f>
        <v>0.48606739999999959</v>
      </c>
      <c r="W198" s="11">
        <f>V198/'2022a_250915_0045'!M198</f>
        <v>2.1814772298529683E-2</v>
      </c>
    </row>
    <row r="199" spans="1:23" x14ac:dyDescent="0.25">
      <c r="A199">
        <v>198</v>
      </c>
      <c r="B199">
        <v>228</v>
      </c>
      <c r="C199" t="s">
        <v>160</v>
      </c>
      <c r="D199" t="s">
        <v>35</v>
      </c>
      <c r="E199" t="s">
        <v>107</v>
      </c>
      <c r="F199" t="s">
        <v>19</v>
      </c>
      <c r="G199" t="s">
        <v>26</v>
      </c>
      <c r="H199" t="s">
        <v>21</v>
      </c>
      <c r="I199" t="s">
        <v>70</v>
      </c>
      <c r="J199" t="s">
        <v>148</v>
      </c>
      <c r="K199" t="s">
        <v>23</v>
      </c>
      <c r="L199">
        <v>1676</v>
      </c>
      <c r="M199">
        <v>7.1677584999999997</v>
      </c>
      <c r="N199">
        <v>36.353384192054179</v>
      </c>
      <c r="O199">
        <v>0.58374133154352403</v>
      </c>
      <c r="P199" s="1" t="str">
        <f>HYPERLINK(".\sm_car_251026_0925\sm_car_251026_0925_198_Ca228TrN_MaSKD_DrSt_ode23t_1.png","figure")</f>
        <v>figure</v>
      </c>
      <c r="Q199" t="s">
        <v>15</v>
      </c>
      <c r="T199">
        <f>L199-'2022a_250915_0045'!L199</f>
        <v>0</v>
      </c>
      <c r="U199" s="11">
        <f>T199/'2022a_250915_0045'!L199</f>
        <v>0</v>
      </c>
      <c r="V199" s="10">
        <f>M199-'2022a_250915_0045'!M199</f>
        <v>0.46635919999999942</v>
      </c>
      <c r="W199" s="11">
        <f>V199/'2022a_250915_0045'!M199</f>
        <v>6.9591316547873719E-2</v>
      </c>
    </row>
    <row r="200" spans="1:23" x14ac:dyDescent="0.25">
      <c r="A200">
        <v>199</v>
      </c>
      <c r="B200">
        <v>228</v>
      </c>
      <c r="C200" t="s">
        <v>160</v>
      </c>
      <c r="D200" t="s">
        <v>35</v>
      </c>
      <c r="E200" t="s">
        <v>107</v>
      </c>
      <c r="F200" t="s">
        <v>19</v>
      </c>
      <c r="G200" t="s">
        <v>26</v>
      </c>
      <c r="H200" t="s">
        <v>21</v>
      </c>
      <c r="I200" t="s">
        <v>71</v>
      </c>
      <c r="J200" t="s">
        <v>148</v>
      </c>
      <c r="K200" t="s">
        <v>23</v>
      </c>
      <c r="L200">
        <v>752</v>
      </c>
      <c r="M200">
        <v>3.3177192</v>
      </c>
      <c r="N200">
        <v>6.988179291144629</v>
      </c>
      <c r="O200">
        <v>19.412104772591949</v>
      </c>
      <c r="P200" s="1" t="str">
        <f>HYPERLINK(".\sm_car_251026_0925\sm_car_251026_0925_199_Ca228TrN_MaRAD_DrSt_ode23t_1.png","figure")</f>
        <v>figure</v>
      </c>
      <c r="Q200" t="s">
        <v>15</v>
      </c>
      <c r="T200">
        <f>L200-'2022a_250915_0045'!L200</f>
        <v>3</v>
      </c>
      <c r="U200" s="11">
        <f>T200/'2022a_250915_0045'!L200</f>
        <v>4.0053404539385851E-3</v>
      </c>
      <c r="V200" s="10">
        <f>M200-'2022a_250915_0045'!M200</f>
        <v>0.11297410000000019</v>
      </c>
      <c r="W200" s="11">
        <f>V200/'2022a_250915_0045'!M200</f>
        <v>3.525213284513648E-2</v>
      </c>
    </row>
    <row r="201" spans="1:23" x14ac:dyDescent="0.25">
      <c r="A201">
        <v>200</v>
      </c>
      <c r="B201">
        <v>230</v>
      </c>
      <c r="C201" t="s">
        <v>160</v>
      </c>
      <c r="D201" t="s">
        <v>161</v>
      </c>
      <c r="E201" t="s">
        <v>162</v>
      </c>
      <c r="F201" t="s">
        <v>19</v>
      </c>
      <c r="G201" t="s">
        <v>26</v>
      </c>
      <c r="H201" t="s">
        <v>21</v>
      </c>
      <c r="I201" t="s">
        <v>70</v>
      </c>
      <c r="J201" t="s">
        <v>148</v>
      </c>
      <c r="K201" t="s">
        <v>23</v>
      </c>
      <c r="L201">
        <v>1382</v>
      </c>
      <c r="M201">
        <v>24.434776200000002</v>
      </c>
      <c r="N201">
        <v>36.424502422698879</v>
      </c>
      <c r="O201">
        <v>0.18884961682141918</v>
      </c>
      <c r="P201" s="1" t="str">
        <f>HYPERLINK(".\sm_car_251026_0925\sm_car_251026_0925_200_Ca230TrN_MaSKD_DrSt_ode23t_1.png","figure")</f>
        <v>figure</v>
      </c>
      <c r="Q201" t="s">
        <v>15</v>
      </c>
      <c r="T201">
        <f>L201-'2022a_250915_0045'!L201</f>
        <v>0</v>
      </c>
      <c r="U201" s="11">
        <f>T201/'2022a_250915_0045'!L201</f>
        <v>0</v>
      </c>
      <c r="V201" s="10">
        <f>M201-'2022a_250915_0045'!M201</f>
        <v>0.43025470000000254</v>
      </c>
      <c r="W201" s="11">
        <f>V201/'2022a_250915_0045'!M201</f>
        <v>1.7923902378141659E-2</v>
      </c>
    </row>
    <row r="202" spans="1:23" x14ac:dyDescent="0.25">
      <c r="A202">
        <v>201</v>
      </c>
      <c r="B202">
        <v>230</v>
      </c>
      <c r="C202" t="s">
        <v>160</v>
      </c>
      <c r="D202" t="s">
        <v>161</v>
      </c>
      <c r="E202" t="s">
        <v>162</v>
      </c>
      <c r="F202" t="s">
        <v>19</v>
      </c>
      <c r="G202" t="s">
        <v>26</v>
      </c>
      <c r="H202" t="s">
        <v>21</v>
      </c>
      <c r="I202" t="s">
        <v>71</v>
      </c>
      <c r="J202" t="s">
        <v>148</v>
      </c>
      <c r="K202" t="s">
        <v>23</v>
      </c>
      <c r="L202">
        <v>696</v>
      </c>
      <c r="M202">
        <v>12.2754066</v>
      </c>
      <c r="N202">
        <v>5.4385013339622432</v>
      </c>
      <c r="O202">
        <v>14.267542971268467</v>
      </c>
      <c r="P202" s="1" t="str">
        <f>HYPERLINK(".\sm_car_251026_0925\sm_car_251026_0925_201_Ca230TrN_MaRAD_DrSt_ode23t_1.png","figure")</f>
        <v>figure</v>
      </c>
      <c r="Q202" t="s">
        <v>15</v>
      </c>
      <c r="T202">
        <f>L202-'2022a_250915_0045'!L202</f>
        <v>-4</v>
      </c>
      <c r="U202" s="11">
        <f>T202/'2022a_250915_0045'!L202</f>
        <v>-5.7142857142857143E-3</v>
      </c>
      <c r="V202" s="10">
        <f>M202-'2022a_250915_0045'!M202</f>
        <v>-5.5234900000000309E-2</v>
      </c>
      <c r="W202" s="11">
        <f>V202/'2022a_250915_0045'!M202</f>
        <v>-4.4794830828550408E-3</v>
      </c>
    </row>
    <row r="203" spans="1:23" x14ac:dyDescent="0.25">
      <c r="A203">
        <v>202</v>
      </c>
      <c r="B203">
        <v>231</v>
      </c>
      <c r="C203" t="s">
        <v>160</v>
      </c>
      <c r="D203" t="s">
        <v>172</v>
      </c>
      <c r="E203" t="s">
        <v>162</v>
      </c>
      <c r="F203" t="s">
        <v>19</v>
      </c>
      <c r="G203" t="s">
        <v>26</v>
      </c>
      <c r="H203" t="s">
        <v>21</v>
      </c>
      <c r="I203" t="s">
        <v>70</v>
      </c>
      <c r="J203" t="s">
        <v>148</v>
      </c>
      <c r="K203" t="s">
        <v>23</v>
      </c>
      <c r="L203">
        <v>1502</v>
      </c>
      <c r="M203">
        <v>27.014278000000001</v>
      </c>
      <c r="N203">
        <v>36.475696286609178</v>
      </c>
      <c r="O203">
        <v>-0.1411525955454557</v>
      </c>
      <c r="P203" s="1" t="str">
        <f>HYPERLINK(".\sm_car_251026_0925\sm_car_251026_0925_202_Ca231TrN_MaSKD_DrSt_ode23t_1.png","figure")</f>
        <v>figure</v>
      </c>
      <c r="Q203" t="s">
        <v>15</v>
      </c>
      <c r="T203">
        <f>L203-'2022a_250915_0045'!L203</f>
        <v>5</v>
      </c>
      <c r="U203" s="11">
        <f>T203/'2022a_250915_0045'!L203</f>
        <v>3.3400133600534404E-3</v>
      </c>
      <c r="V203" s="10">
        <f>M203-'2022a_250915_0045'!M203</f>
        <v>1.2410482000000016</v>
      </c>
      <c r="W203" s="11">
        <f>V203/'2022a_250915_0045'!M203</f>
        <v>4.8152606779612916E-2</v>
      </c>
    </row>
    <row r="204" spans="1:23" x14ac:dyDescent="0.25">
      <c r="A204">
        <v>203</v>
      </c>
      <c r="B204">
        <v>231</v>
      </c>
      <c r="C204" t="s">
        <v>160</v>
      </c>
      <c r="D204" t="s">
        <v>172</v>
      </c>
      <c r="E204" t="s">
        <v>162</v>
      </c>
      <c r="F204" t="s">
        <v>19</v>
      </c>
      <c r="G204" t="s">
        <v>26</v>
      </c>
      <c r="H204" t="s">
        <v>21</v>
      </c>
      <c r="I204" t="s">
        <v>71</v>
      </c>
      <c r="J204" t="s">
        <v>148</v>
      </c>
      <c r="K204" t="s">
        <v>23</v>
      </c>
      <c r="L204">
        <v>759</v>
      </c>
      <c r="M204">
        <v>13.199039300000001</v>
      </c>
      <c r="N204">
        <v>6.5513658858689396</v>
      </c>
      <c r="O204">
        <v>3.9325432215188423</v>
      </c>
      <c r="P204" s="1" t="str">
        <f>HYPERLINK(".\sm_car_251026_0925\sm_car_251026_0925_203_Ca231TrN_MaRAD_DrSt_ode23t_1.png","figure")</f>
        <v>figure</v>
      </c>
      <c r="Q204" t="s">
        <v>15</v>
      </c>
      <c r="T204">
        <f>L204-'2022a_250915_0045'!L204</f>
        <v>-1</v>
      </c>
      <c r="U204" s="11">
        <f>T204/'2022a_250915_0045'!L204</f>
        <v>-1.3157894736842105E-3</v>
      </c>
      <c r="V204" s="10">
        <f>M204-'2022a_250915_0045'!M204</f>
        <v>0.38707530000000112</v>
      </c>
      <c r="W204" s="11">
        <f>V204/'2022a_250915_0045'!M204</f>
        <v>3.0212019015976092E-2</v>
      </c>
    </row>
    <row r="205" spans="1:23" x14ac:dyDescent="0.25">
      <c r="A205">
        <v>204</v>
      </c>
      <c r="B205">
        <v>233</v>
      </c>
      <c r="C205" t="s">
        <v>45</v>
      </c>
      <c r="D205" t="s">
        <v>17</v>
      </c>
      <c r="E205" t="s">
        <v>107</v>
      </c>
      <c r="F205" t="s">
        <v>19</v>
      </c>
      <c r="G205" t="s">
        <v>182</v>
      </c>
      <c r="H205" t="s">
        <v>21</v>
      </c>
      <c r="I205" t="s">
        <v>70</v>
      </c>
      <c r="J205" t="s">
        <v>148</v>
      </c>
      <c r="K205" t="s">
        <v>23</v>
      </c>
      <c r="L205">
        <v>1594</v>
      </c>
      <c r="M205">
        <v>26.585158</v>
      </c>
      <c r="N205">
        <v>36.63167778834741</v>
      </c>
      <c r="O205">
        <v>-0.3268829774740189</v>
      </c>
      <c r="P205" s="1" t="str">
        <f>HYPERLINK(".\sm_car_251026_0925\sm_car_251026_0925_204_Ca233TrN_MaSKD_DrSt_ode23t_1.png","figure")</f>
        <v>figure</v>
      </c>
      <c r="Q205" t="s">
        <v>15</v>
      </c>
    </row>
    <row r="206" spans="1:23" x14ac:dyDescent="0.25">
      <c r="A206">
        <v>205</v>
      </c>
      <c r="B206">
        <v>233</v>
      </c>
      <c r="C206" t="s">
        <v>45</v>
      </c>
      <c r="D206" t="s">
        <v>17</v>
      </c>
      <c r="E206" t="s">
        <v>107</v>
      </c>
      <c r="F206" t="s">
        <v>19</v>
      </c>
      <c r="G206" t="s">
        <v>182</v>
      </c>
      <c r="H206" t="s">
        <v>21</v>
      </c>
      <c r="I206" t="s">
        <v>71</v>
      </c>
      <c r="J206" t="s">
        <v>148</v>
      </c>
      <c r="K206" t="s">
        <v>23</v>
      </c>
      <c r="L206">
        <v>-1</v>
      </c>
      <c r="M206">
        <v>22.686556299999999</v>
      </c>
      <c r="N206">
        <v>0</v>
      </c>
      <c r="O206">
        <v>0</v>
      </c>
      <c r="P206" t="s">
        <v>154</v>
      </c>
      <c r="Q206" t="s">
        <v>155</v>
      </c>
    </row>
    <row r="207" spans="1:23" x14ac:dyDescent="0.25">
      <c r="A207">
        <v>206</v>
      </c>
      <c r="B207">
        <v>234</v>
      </c>
      <c r="C207" t="s">
        <v>45</v>
      </c>
      <c r="D207" t="s">
        <v>17</v>
      </c>
      <c r="E207" t="s">
        <v>107</v>
      </c>
      <c r="F207" t="s">
        <v>19</v>
      </c>
      <c r="G207" t="s">
        <v>183</v>
      </c>
      <c r="H207" t="s">
        <v>21</v>
      </c>
      <c r="I207" t="s">
        <v>70</v>
      </c>
      <c r="J207" t="s">
        <v>148</v>
      </c>
      <c r="K207" t="s">
        <v>23</v>
      </c>
      <c r="L207">
        <v>3129</v>
      </c>
      <c r="M207">
        <v>51.389121600000003</v>
      </c>
      <c r="N207">
        <v>36.447032675346627</v>
      </c>
      <c r="O207">
        <v>-0.30289723153062637</v>
      </c>
      <c r="P207" s="1" t="str">
        <f>HYPERLINK(".\sm_car_251026_0925\sm_car_251026_0925_206_Ca234TrN_MaSKD_DrSt_ode23t_1.png","figure")</f>
        <v>figure</v>
      </c>
      <c r="Q207" t="s">
        <v>15</v>
      </c>
      <c r="V207" s="10"/>
    </row>
    <row r="208" spans="1:23" x14ac:dyDescent="0.25">
      <c r="A208">
        <v>207</v>
      </c>
      <c r="B208">
        <v>234</v>
      </c>
      <c r="C208" t="s">
        <v>45</v>
      </c>
      <c r="D208" t="s">
        <v>17</v>
      </c>
      <c r="E208" t="s">
        <v>107</v>
      </c>
      <c r="F208" t="s">
        <v>19</v>
      </c>
      <c r="G208" t="s">
        <v>183</v>
      </c>
      <c r="H208" t="s">
        <v>21</v>
      </c>
      <c r="I208" t="s">
        <v>71</v>
      </c>
      <c r="J208" t="s">
        <v>148</v>
      </c>
      <c r="K208" t="s">
        <v>23</v>
      </c>
      <c r="L208">
        <v>3384</v>
      </c>
      <c r="M208">
        <v>67.502861600000003</v>
      </c>
      <c r="N208">
        <v>4.4853469300772488</v>
      </c>
      <c r="O208">
        <v>59.781048305970046</v>
      </c>
      <c r="P208" s="1" t="str">
        <f>HYPERLINK(".\sm_car_251026_0925\sm_car_251026_0925_207_Ca234TrN_MaRAD_DrSt_ode23t_1.png","figure")</f>
        <v>figure</v>
      </c>
      <c r="Q208" t="s">
        <v>15</v>
      </c>
    </row>
    <row r="209" spans="1:23" x14ac:dyDescent="0.25">
      <c r="A209">
        <v>208</v>
      </c>
      <c r="B209">
        <v>198</v>
      </c>
      <c r="C209" t="s">
        <v>105</v>
      </c>
      <c r="D209" t="s">
        <v>120</v>
      </c>
      <c r="E209" t="s">
        <v>107</v>
      </c>
      <c r="F209" t="s">
        <v>19</v>
      </c>
      <c r="G209" t="s">
        <v>20</v>
      </c>
      <c r="H209" t="s">
        <v>21</v>
      </c>
      <c r="I209" t="s">
        <v>70</v>
      </c>
      <c r="J209" t="s">
        <v>148</v>
      </c>
      <c r="K209" t="s">
        <v>23</v>
      </c>
      <c r="L209">
        <v>1399</v>
      </c>
      <c r="M209">
        <v>28.0018767</v>
      </c>
      <c r="N209">
        <v>36.384718639726941</v>
      </c>
      <c r="O209">
        <v>0.16194127610722706</v>
      </c>
      <c r="P209" s="1" t="str">
        <f>HYPERLINK(".\sm_car_251026_0925\sm_car_251026_0925_208_Ca198TrN_MaSKD_DrSt_ode23t_1.png","figure")</f>
        <v>figure</v>
      </c>
      <c r="Q209" t="s">
        <v>15</v>
      </c>
      <c r="T209">
        <f>L209-'2022a_250915_0045'!L205</f>
        <v>-12</v>
      </c>
      <c r="U209" s="11">
        <f>T209/'2022a_250915_0045'!L205</f>
        <v>-8.5046066619418846E-3</v>
      </c>
      <c r="V209" s="10">
        <f>M209-'2022a_250915_0045'!M205</f>
        <v>-0.87245370000000122</v>
      </c>
      <c r="W209" s="11">
        <f>V209/'2022a_250915_0045'!M205</f>
        <v>-3.0215547440019638E-2</v>
      </c>
    </row>
    <row r="210" spans="1:23" x14ac:dyDescent="0.25">
      <c r="A210">
        <v>209</v>
      </c>
      <c r="B210">
        <v>198</v>
      </c>
      <c r="C210" t="s">
        <v>105</v>
      </c>
      <c r="D210" t="s">
        <v>120</v>
      </c>
      <c r="E210" t="s">
        <v>107</v>
      </c>
      <c r="F210" t="s">
        <v>19</v>
      </c>
      <c r="G210" t="s">
        <v>20</v>
      </c>
      <c r="H210" t="s">
        <v>21</v>
      </c>
      <c r="I210" t="s">
        <v>71</v>
      </c>
      <c r="J210" t="s">
        <v>148</v>
      </c>
      <c r="K210" t="s">
        <v>23</v>
      </c>
      <c r="L210">
        <v>682</v>
      </c>
      <c r="M210">
        <v>14.258274399999999</v>
      </c>
      <c r="N210">
        <v>7.5264208153129992</v>
      </c>
      <c r="O210">
        <v>10.281341582433198</v>
      </c>
      <c r="P210" s="1" t="str">
        <f>HYPERLINK(".\sm_car_251026_0925\sm_car_251026_0925_209_Ca198TrN_MaRAD_DrSt_ode23t_1.png","figure")</f>
        <v>figure</v>
      </c>
      <c r="Q210" t="s">
        <v>15</v>
      </c>
      <c r="T210">
        <f>L210-'2022a_250915_0045'!L206</f>
        <v>-3</v>
      </c>
      <c r="U210" s="11">
        <f>T210/'2022a_250915_0045'!L206</f>
        <v>-4.3795620437956208E-3</v>
      </c>
      <c r="V210" s="10">
        <f>M210-'2022a_250915_0045'!M206</f>
        <v>-3.3648600000001139E-2</v>
      </c>
      <c r="W210" s="11">
        <f>V210/'2022a_250915_0045'!M206</f>
        <v>-2.3543787634456984E-3</v>
      </c>
    </row>
    <row r="211" spans="1:23" x14ac:dyDescent="0.25">
      <c r="A211">
        <v>210</v>
      </c>
      <c r="B211">
        <v>189</v>
      </c>
      <c r="C211" t="s">
        <v>45</v>
      </c>
      <c r="D211" t="s">
        <v>17</v>
      </c>
      <c r="E211" t="s">
        <v>107</v>
      </c>
      <c r="F211" t="s">
        <v>19</v>
      </c>
      <c r="G211" t="s">
        <v>26</v>
      </c>
      <c r="H211" t="s">
        <v>21</v>
      </c>
      <c r="I211" t="s">
        <v>132</v>
      </c>
      <c r="J211" t="s">
        <v>148</v>
      </c>
      <c r="K211" t="s">
        <v>23</v>
      </c>
      <c r="L211">
        <v>554</v>
      </c>
      <c r="M211">
        <v>10.1086393</v>
      </c>
      <c r="N211">
        <v>135.43120978546099</v>
      </c>
      <c r="O211">
        <v>-14.139238862097052</v>
      </c>
      <c r="P211" s="1" t="str">
        <f>HYPERLINK(".\sm_car_251026_0925\sm_car_251026_0925_210_Ca189TrN_MaFSH_DrSt_ode23t_1.png","figure")</f>
        <v>figure</v>
      </c>
      <c r="Q211" t="s">
        <v>15</v>
      </c>
      <c r="T211">
        <f>L211-'2022a_250915_0045'!L207</f>
        <v>-27</v>
      </c>
      <c r="U211" s="11">
        <f>T211/'2022a_250915_0045'!L207</f>
        <v>-4.6471600688468159E-2</v>
      </c>
      <c r="V211" s="10">
        <f>M211-'2022a_250915_0045'!M207</f>
        <v>-1.1197999999996711E-3</v>
      </c>
      <c r="W211" s="11">
        <f>V211/'2022a_250915_0045'!M207</f>
        <v>-1.1076426143523747E-4</v>
      </c>
    </row>
    <row r="212" spans="1:23" x14ac:dyDescent="0.25">
      <c r="A212">
        <v>211</v>
      </c>
      <c r="B212">
        <v>189</v>
      </c>
      <c r="C212" t="s">
        <v>45</v>
      </c>
      <c r="D212" t="s">
        <v>17</v>
      </c>
      <c r="E212" t="s">
        <v>107</v>
      </c>
      <c r="F212" t="s">
        <v>19</v>
      </c>
      <c r="G212" t="s">
        <v>26</v>
      </c>
      <c r="H212" t="s">
        <v>21</v>
      </c>
      <c r="I212" t="s">
        <v>133</v>
      </c>
      <c r="J212" t="s">
        <v>148</v>
      </c>
      <c r="K212" t="s">
        <v>23</v>
      </c>
      <c r="L212">
        <v>425</v>
      </c>
      <c r="M212">
        <v>7.1714175999999998</v>
      </c>
      <c r="N212">
        <v>129.59193491621784</v>
      </c>
      <c r="O212">
        <v>-9.2851593570719224</v>
      </c>
      <c r="P212" s="1" t="str">
        <f>HYPERLINK(".\sm_car_251026_0925\sm_car_251026_0925_211_Ca189TrN_MaSWD_DrSt_ode23t_1.png","figure")</f>
        <v>figure</v>
      </c>
      <c r="Q212" t="s">
        <v>15</v>
      </c>
      <c r="T212">
        <f>L212-'2022a_250915_0045'!L208</f>
        <v>-12</v>
      </c>
      <c r="U212" s="11">
        <f>T212/'2022a_250915_0045'!L208</f>
        <v>-2.7459954233409609E-2</v>
      </c>
      <c r="V212" s="10">
        <f>M212-'2022a_250915_0045'!M208</f>
        <v>0.30064560000000018</v>
      </c>
      <c r="W212" s="11">
        <f>V212/'2022a_250915_0045'!M208</f>
        <v>4.3757178960384682E-2</v>
      </c>
    </row>
    <row r="213" spans="1:23" x14ac:dyDescent="0.25">
      <c r="A213">
        <v>212</v>
      </c>
      <c r="B213">
        <v>189</v>
      </c>
      <c r="C213" t="s">
        <v>45</v>
      </c>
      <c r="D213" t="s">
        <v>17</v>
      </c>
      <c r="E213" t="s">
        <v>107</v>
      </c>
      <c r="F213" t="s">
        <v>19</v>
      </c>
      <c r="G213" t="s">
        <v>26</v>
      </c>
      <c r="H213" t="s">
        <v>21</v>
      </c>
      <c r="I213" t="s">
        <v>134</v>
      </c>
      <c r="J213" t="s">
        <v>148</v>
      </c>
      <c r="K213" t="s">
        <v>23</v>
      </c>
      <c r="L213">
        <v>435</v>
      </c>
      <c r="M213">
        <v>8.3436970000000006</v>
      </c>
      <c r="N213">
        <v>113.36118218077999</v>
      </c>
      <c r="O213">
        <v>18.07500439083374</v>
      </c>
      <c r="P213" s="1" t="str">
        <f>HYPERLINK(".\sm_car_251026_0925\sm_car_251026_0925_212_Ca189TrN_MaRST_DrSt_ode23t_1.png","figure")</f>
        <v>figure</v>
      </c>
      <c r="Q213" t="s">
        <v>15</v>
      </c>
      <c r="T213">
        <f>L213-'2022a_250915_0045'!L209</f>
        <v>-6</v>
      </c>
      <c r="U213" s="11">
        <f>T213/'2022a_250915_0045'!L209</f>
        <v>-1.3605442176870748E-2</v>
      </c>
      <c r="V213" s="10">
        <f>M213-'2022a_250915_0045'!M209</f>
        <v>0.59221910000000033</v>
      </c>
      <c r="W213" s="11">
        <f>V213/'2022a_250915_0045'!M209</f>
        <v>7.640079835614319E-2</v>
      </c>
    </row>
    <row r="214" spans="1:23" x14ac:dyDescent="0.25">
      <c r="A214">
        <v>213</v>
      </c>
      <c r="B214">
        <v>189</v>
      </c>
      <c r="C214" t="s">
        <v>45</v>
      </c>
      <c r="D214" t="s">
        <v>17</v>
      </c>
      <c r="E214" t="s">
        <v>107</v>
      </c>
      <c r="F214" t="s">
        <v>19</v>
      </c>
      <c r="G214" t="s">
        <v>26</v>
      </c>
      <c r="H214" t="s">
        <v>21</v>
      </c>
      <c r="I214" t="s">
        <v>135</v>
      </c>
      <c r="J214" t="s">
        <v>148</v>
      </c>
      <c r="K214" t="s">
        <v>23</v>
      </c>
      <c r="L214">
        <v>582</v>
      </c>
      <c r="M214">
        <v>18.801965899999999</v>
      </c>
      <c r="N214">
        <v>224.05607323348585</v>
      </c>
      <c r="O214">
        <v>0.1073356134072531</v>
      </c>
      <c r="P214" s="1" t="str">
        <f>HYPERLINK(".\sm_car_251026_0925\sm_car_251026_0925_213_Ca189TrN_MaSLA_DrSt_ode23t_1.png","figure")</f>
        <v>figure</v>
      </c>
      <c r="Q214" t="s">
        <v>15</v>
      </c>
      <c r="T214">
        <f>L214-'2022a_250915_0045'!L210</f>
        <v>-12</v>
      </c>
      <c r="U214" s="11">
        <f>T214/'2022a_250915_0045'!L210</f>
        <v>-2.0202020202020204E-2</v>
      </c>
      <c r="V214" s="10">
        <f>M214-'2022a_250915_0045'!M210</f>
        <v>1.4885473000000005</v>
      </c>
      <c r="W214" s="11">
        <f>V214/'2022a_250915_0045'!M210</f>
        <v>8.5976509572754198E-2</v>
      </c>
    </row>
    <row r="215" spans="1:23" x14ac:dyDescent="0.25">
      <c r="A215">
        <v>214</v>
      </c>
      <c r="B215">
        <v>218</v>
      </c>
      <c r="C215" t="s">
        <v>16</v>
      </c>
      <c r="D215" t="s">
        <v>128</v>
      </c>
      <c r="E215" t="s">
        <v>107</v>
      </c>
      <c r="F215" t="s">
        <v>19</v>
      </c>
      <c r="G215" t="s">
        <v>26</v>
      </c>
      <c r="H215" t="s">
        <v>21</v>
      </c>
      <c r="I215" t="s">
        <v>132</v>
      </c>
      <c r="J215" t="s">
        <v>148</v>
      </c>
      <c r="K215" t="s">
        <v>23</v>
      </c>
      <c r="L215">
        <v>571</v>
      </c>
      <c r="M215">
        <v>8.0220143999999998</v>
      </c>
      <c r="N215">
        <v>102.01761147231531</v>
      </c>
      <c r="O215">
        <v>-21.928896951664242</v>
      </c>
      <c r="P215" s="1" t="str">
        <f>HYPERLINK(".\sm_car_251026_0925\sm_car_251026_0925_214_Ca218TrN_MaFSH_DrSt_ode23t_1.png","figure")</f>
        <v>figure</v>
      </c>
      <c r="Q215" t="s">
        <v>15</v>
      </c>
      <c r="T215">
        <f>L215-'2022a_250915_0045'!L211</f>
        <v>-14</v>
      </c>
      <c r="U215" s="11">
        <f>T215/'2022a_250915_0045'!L211</f>
        <v>-2.3931623931623933E-2</v>
      </c>
      <c r="V215" s="10">
        <f>M215-'2022a_250915_0045'!M211</f>
        <v>0.60822019999999988</v>
      </c>
      <c r="W215" s="11">
        <f>V215/'2022a_250915_0045'!M211</f>
        <v>8.2038991586790996E-2</v>
      </c>
    </row>
    <row r="216" spans="1:23" x14ac:dyDescent="0.25">
      <c r="A216">
        <v>215</v>
      </c>
      <c r="B216">
        <v>218</v>
      </c>
      <c r="C216" t="s">
        <v>16</v>
      </c>
      <c r="D216" t="s">
        <v>128</v>
      </c>
      <c r="E216" t="s">
        <v>107</v>
      </c>
      <c r="F216" t="s">
        <v>19</v>
      </c>
      <c r="G216" t="s">
        <v>26</v>
      </c>
      <c r="H216" t="s">
        <v>21</v>
      </c>
      <c r="I216" t="s">
        <v>133</v>
      </c>
      <c r="J216" t="s">
        <v>148</v>
      </c>
      <c r="K216" t="s">
        <v>23</v>
      </c>
      <c r="L216">
        <v>456</v>
      </c>
      <c r="M216">
        <v>5.9981229999999996</v>
      </c>
      <c r="N216">
        <v>136.84285853132644</v>
      </c>
      <c r="O216">
        <v>-8.9093398312589898</v>
      </c>
      <c r="P216" s="1" t="str">
        <f>HYPERLINK(".\sm_car_251026_0925\sm_car_251026_0925_215_Ca218TrN_MaSWD_DrSt_ode23t_1.png","figure")</f>
        <v>figure</v>
      </c>
      <c r="Q216" t="s">
        <v>15</v>
      </c>
      <c r="T216">
        <f>L216-'2022a_250915_0045'!L212</f>
        <v>-9</v>
      </c>
      <c r="U216" s="11">
        <f>T216/'2022a_250915_0045'!L212</f>
        <v>-1.935483870967742E-2</v>
      </c>
      <c r="V216" s="10">
        <f>M216-'2022a_250915_0045'!M212</f>
        <v>0.45286089999999923</v>
      </c>
      <c r="W216" s="11">
        <f>V216/'2022a_250915_0045'!M212</f>
        <v>8.1666275071109656E-2</v>
      </c>
    </row>
    <row r="217" spans="1:23" x14ac:dyDescent="0.25">
      <c r="A217">
        <v>216</v>
      </c>
      <c r="B217">
        <v>218</v>
      </c>
      <c r="C217" t="s">
        <v>16</v>
      </c>
      <c r="D217" t="s">
        <v>128</v>
      </c>
      <c r="E217" t="s">
        <v>107</v>
      </c>
      <c r="F217" t="s">
        <v>19</v>
      </c>
      <c r="G217" t="s">
        <v>26</v>
      </c>
      <c r="H217" t="s">
        <v>21</v>
      </c>
      <c r="I217" t="s">
        <v>134</v>
      </c>
      <c r="J217" t="s">
        <v>148</v>
      </c>
      <c r="K217" t="s">
        <v>23</v>
      </c>
      <c r="L217">
        <v>384</v>
      </c>
      <c r="M217">
        <v>5.5167602999999996</v>
      </c>
      <c r="N217">
        <v>102.53260806953124</v>
      </c>
      <c r="O217">
        <v>29.401235807999903</v>
      </c>
      <c r="P217" s="1" t="str">
        <f>HYPERLINK(".\sm_car_251026_0925\sm_car_251026_0925_216_Ca218TrN_MaRST_DrSt_ode23t_1.png","figure")</f>
        <v>figure</v>
      </c>
      <c r="Q217" t="s">
        <v>15</v>
      </c>
      <c r="T217">
        <f>L217-'2022a_250915_0045'!L213</f>
        <v>-8</v>
      </c>
      <c r="U217" s="11">
        <f>T217/'2022a_250915_0045'!L213</f>
        <v>-2.0408163265306121E-2</v>
      </c>
      <c r="V217" s="10">
        <f>M217-'2022a_250915_0045'!M213</f>
        <v>0.20156729999999978</v>
      </c>
      <c r="W217" s="11">
        <f>V217/'2022a_250915_0045'!M213</f>
        <v>3.7922856234947594E-2</v>
      </c>
    </row>
    <row r="218" spans="1:23" x14ac:dyDescent="0.25">
      <c r="A218">
        <v>217</v>
      </c>
      <c r="B218">
        <v>218</v>
      </c>
      <c r="C218" t="s">
        <v>16</v>
      </c>
      <c r="D218" t="s">
        <v>128</v>
      </c>
      <c r="E218" t="s">
        <v>107</v>
      </c>
      <c r="F218" t="s">
        <v>19</v>
      </c>
      <c r="G218" t="s">
        <v>26</v>
      </c>
      <c r="H218" t="s">
        <v>21</v>
      </c>
      <c r="I218" t="s">
        <v>135</v>
      </c>
      <c r="J218" t="s">
        <v>148</v>
      </c>
      <c r="K218" t="s">
        <v>23</v>
      </c>
      <c r="L218">
        <v>688</v>
      </c>
      <c r="M218">
        <v>17.698739700000001</v>
      </c>
      <c r="N218">
        <v>222.4391282679172</v>
      </c>
      <c r="O218">
        <v>0.10609317601539266</v>
      </c>
      <c r="P218" s="1" t="str">
        <f>HYPERLINK(".\sm_car_251026_0925\sm_car_251026_0925_217_Ca218TrN_MaSLA_DrSt_ode23t_1.png","figure")</f>
        <v>figure</v>
      </c>
      <c r="Q218" t="s">
        <v>15</v>
      </c>
      <c r="T218">
        <f>L218-'2022a_250915_0045'!L214</f>
        <v>19</v>
      </c>
      <c r="U218" s="11">
        <f>T218/'2022a_250915_0045'!L214</f>
        <v>2.8400597907324365E-2</v>
      </c>
      <c r="V218" s="10">
        <f>M218-'2022a_250915_0045'!M214</f>
        <v>1.0864290000000025</v>
      </c>
      <c r="W218" s="11">
        <f>V218/'2022a_250915_0045'!M214</f>
        <v>6.5399029648536652E-2</v>
      </c>
    </row>
    <row r="219" spans="1:23" x14ac:dyDescent="0.25">
      <c r="A219">
        <v>218</v>
      </c>
      <c r="B219">
        <v>232</v>
      </c>
      <c r="C219" t="s">
        <v>160</v>
      </c>
      <c r="D219" t="s">
        <v>172</v>
      </c>
      <c r="E219" t="s">
        <v>162</v>
      </c>
      <c r="F219" t="s">
        <v>179</v>
      </c>
      <c r="G219" t="s">
        <v>26</v>
      </c>
      <c r="H219" t="s">
        <v>21</v>
      </c>
      <c r="I219" t="s">
        <v>132</v>
      </c>
      <c r="J219" t="s">
        <v>148</v>
      </c>
      <c r="K219" t="s">
        <v>23</v>
      </c>
      <c r="L219">
        <v>644</v>
      </c>
      <c r="M219">
        <v>9.7701413000000006</v>
      </c>
      <c r="N219">
        <v>106.51459436554983</v>
      </c>
      <c r="O219">
        <v>-14.16865019289315</v>
      </c>
      <c r="P219" s="1" t="str">
        <f>HYPERLINK(".\sm_car_251026_0925\sm_car_251026_0925_218_Ca232TrN_MaFSH_DrSt_ode23t_1.png","figure")</f>
        <v>figure</v>
      </c>
      <c r="Q219" t="s">
        <v>15</v>
      </c>
      <c r="T219">
        <f>L219-'2022a_250915_0045'!L215</f>
        <v>-15</v>
      </c>
      <c r="U219" s="11">
        <f>T219/'2022a_250915_0045'!L215</f>
        <v>-2.2761760242792108E-2</v>
      </c>
      <c r="V219" s="10">
        <f>M219-'2022a_250915_0045'!M215</f>
        <v>0.28362640000000106</v>
      </c>
      <c r="W219" s="11">
        <f>V219/'2022a_250915_0045'!M215</f>
        <v>2.9897850052393957E-2</v>
      </c>
    </row>
    <row r="220" spans="1:23" x14ac:dyDescent="0.25">
      <c r="A220">
        <v>219</v>
      </c>
      <c r="B220">
        <v>156</v>
      </c>
      <c r="C220" t="s">
        <v>45</v>
      </c>
      <c r="D220" t="s">
        <v>17</v>
      </c>
      <c r="E220" t="s">
        <v>18</v>
      </c>
      <c r="F220" t="s">
        <v>19</v>
      </c>
      <c r="G220" t="s">
        <v>38</v>
      </c>
      <c r="H220" t="s">
        <v>21</v>
      </c>
      <c r="I220" t="s">
        <v>54</v>
      </c>
      <c r="J220" t="s">
        <v>148</v>
      </c>
      <c r="K220" t="s">
        <v>23</v>
      </c>
      <c r="L220">
        <v>26370</v>
      </c>
      <c r="M220">
        <v>347.66867999999999</v>
      </c>
      <c r="N220">
        <v>19.153104469747959</v>
      </c>
      <c r="O220">
        <v>2.4929664007648293</v>
      </c>
      <c r="P220" s="1" t="str">
        <f>HYPERLINK(".\sm_car_251026_0925\sm_car_251026_0925_219_Ca156TrN_MaIPA_DrSt_ode23t.png","figure")</f>
        <v>figure</v>
      </c>
      <c r="Q220" t="s">
        <v>15</v>
      </c>
      <c r="T220">
        <f>L220-'2022a_250915_0045'!L216</f>
        <v>855</v>
      </c>
      <c r="U220" s="11">
        <f>T220/'2022a_250915_0045'!L216</f>
        <v>3.3509700176366841E-2</v>
      </c>
      <c r="V220" s="10">
        <f>M220-'2022a_250915_0045'!M216</f>
        <v>8.4223529999999869</v>
      </c>
      <c r="W220" s="11">
        <f>V220/'2022a_250915_0045'!M216</f>
        <v>2.4826659361296449E-2</v>
      </c>
    </row>
    <row r="221" spans="1:23" x14ac:dyDescent="0.25">
      <c r="A221">
        <v>220</v>
      </c>
      <c r="B221">
        <v>130</v>
      </c>
      <c r="C221" t="s">
        <v>16</v>
      </c>
      <c r="D221" t="s">
        <v>17</v>
      </c>
      <c r="E221" t="s">
        <v>18</v>
      </c>
      <c r="F221" t="s">
        <v>19</v>
      </c>
      <c r="G221" t="s">
        <v>38</v>
      </c>
      <c r="H221" t="s">
        <v>21</v>
      </c>
      <c r="I221" t="s">
        <v>54</v>
      </c>
      <c r="J221" t="s">
        <v>148</v>
      </c>
      <c r="K221" t="s">
        <v>23</v>
      </c>
      <c r="L221">
        <v>18396</v>
      </c>
      <c r="M221">
        <v>247.61635870000001</v>
      </c>
      <c r="N221">
        <v>16.249119280978526</v>
      </c>
      <c r="O221">
        <v>0.55347555898790501</v>
      </c>
      <c r="P221" s="1" t="str">
        <f>HYPERLINK(".\sm_car_251026_0925\sm_car_251026_0925_220_Ca130TrN_MaIPA_DrSt_ode23t.png","figure")</f>
        <v>figure</v>
      </c>
      <c r="Q221" t="s">
        <v>15</v>
      </c>
      <c r="T221">
        <f>L221-'2022a_250915_0045'!L217</f>
        <v>245</v>
      </c>
      <c r="U221" s="11">
        <f>T221/'2022a_250915_0045'!L217</f>
        <v>1.349787890474354E-2</v>
      </c>
      <c r="V221" s="10">
        <f>M221-'2022a_250915_0045'!M217</f>
        <v>4.8080932999999959</v>
      </c>
      <c r="W221" s="11">
        <f>V221/'2022a_250915_0045'!M217</f>
        <v>1.9802016591482952E-2</v>
      </c>
    </row>
    <row r="222" spans="1:23" x14ac:dyDescent="0.25">
      <c r="A222">
        <v>221</v>
      </c>
      <c r="B222">
        <v>171</v>
      </c>
      <c r="C222" t="s">
        <v>45</v>
      </c>
      <c r="D222" t="s">
        <v>17</v>
      </c>
      <c r="E222" t="s">
        <v>72</v>
      </c>
      <c r="F222" t="s">
        <v>19</v>
      </c>
      <c r="G222" t="s">
        <v>26</v>
      </c>
      <c r="H222" t="s">
        <v>21</v>
      </c>
      <c r="I222" t="s">
        <v>73</v>
      </c>
      <c r="J222" t="s">
        <v>148</v>
      </c>
      <c r="K222" t="s">
        <v>23</v>
      </c>
      <c r="L222">
        <v>1458</v>
      </c>
      <c r="M222">
        <v>23.4682411</v>
      </c>
      <c r="N222">
        <v>334.66134860482674</v>
      </c>
      <c r="O222">
        <v>0.65326104430696208</v>
      </c>
      <c r="P222" s="1" t="str">
        <f>HYPERLINK(".\sm_car_251026_0925\sm_car_251026_0925_221_Ca171TrN_MaRDP_DrSt_ode23t_1.png","figure")</f>
        <v>figure</v>
      </c>
      <c r="Q222" t="s">
        <v>15</v>
      </c>
      <c r="T222">
        <f>L222-'2022a_250915_0045'!L218</f>
        <v>17</v>
      </c>
      <c r="U222" s="11">
        <f>T222/'2022a_250915_0045'!L218</f>
        <v>1.1797362942401111E-2</v>
      </c>
      <c r="V222" s="10">
        <f>M222-'2022a_250915_0045'!M218</f>
        <v>2.6242307999999994</v>
      </c>
      <c r="W222" s="11">
        <f>V222/'2022a_250915_0045'!M218</f>
        <v>0.12589855609503317</v>
      </c>
    </row>
    <row r="223" spans="1:23" x14ac:dyDescent="0.25">
      <c r="A223">
        <v>222</v>
      </c>
      <c r="B223">
        <v>172</v>
      </c>
      <c r="C223" t="s">
        <v>46</v>
      </c>
      <c r="D223" t="s">
        <v>17</v>
      </c>
      <c r="E223" t="s">
        <v>72</v>
      </c>
      <c r="F223" t="s">
        <v>19</v>
      </c>
      <c r="G223" t="s">
        <v>26</v>
      </c>
      <c r="H223" t="s">
        <v>21</v>
      </c>
      <c r="I223" t="s">
        <v>73</v>
      </c>
      <c r="J223" t="s">
        <v>148</v>
      </c>
      <c r="K223" t="s">
        <v>23</v>
      </c>
      <c r="L223">
        <v>1228</v>
      </c>
      <c r="M223">
        <v>12.3985413</v>
      </c>
      <c r="N223">
        <v>135.71782387638288</v>
      </c>
      <c r="O223">
        <v>3.6287048227889335E-2</v>
      </c>
      <c r="P223" s="1" t="str">
        <f>HYPERLINK(".\sm_car_251026_0925\sm_car_251026_0925_222_Ca172TrN_MaRDP_DrSt_ode23t_1.png","figure")</f>
        <v>figure</v>
      </c>
      <c r="Q223" t="s">
        <v>15</v>
      </c>
      <c r="T223">
        <f>L223-'2022a_250915_0045'!L219</f>
        <v>-26</v>
      </c>
      <c r="U223" s="11">
        <f>T223/'2022a_250915_0045'!L219</f>
        <v>-2.0733652312599681E-2</v>
      </c>
      <c r="V223" s="10">
        <f>M223-'2022a_250915_0045'!M219</f>
        <v>1.1067359000000003</v>
      </c>
      <c r="W223" s="11">
        <f>V223/'2022a_250915_0045'!M219</f>
        <v>9.8012307225910963E-2</v>
      </c>
    </row>
    <row r="224" spans="1:23" x14ac:dyDescent="0.25">
      <c r="A224">
        <v>223</v>
      </c>
      <c r="B224">
        <v>139</v>
      </c>
      <c r="C224" t="s">
        <v>45</v>
      </c>
      <c r="D224" t="s">
        <v>17</v>
      </c>
      <c r="E224" t="s">
        <v>18</v>
      </c>
      <c r="F224" t="s">
        <v>19</v>
      </c>
      <c r="G224" t="s">
        <v>26</v>
      </c>
      <c r="H224" t="s">
        <v>21</v>
      </c>
      <c r="I224" t="s">
        <v>74</v>
      </c>
      <c r="J224" t="s">
        <v>148</v>
      </c>
      <c r="K224" t="s">
        <v>23</v>
      </c>
      <c r="L224">
        <v>1615</v>
      </c>
      <c r="M224">
        <v>20.070118600000001</v>
      </c>
      <c r="N224">
        <v>361.21816013097191</v>
      </c>
      <c r="O224">
        <v>0.74908404508399951</v>
      </c>
      <c r="P224" s="1" t="str">
        <f>HYPERLINK(".\sm_car_251026_0925\sm_car_251026_0925_223_Ca139TrN_MaZPL_DrSt_ode23t_1.png","figure")</f>
        <v>figure</v>
      </c>
      <c r="Q224" t="s">
        <v>15</v>
      </c>
      <c r="T224">
        <f>L224-'2022a_250915_0045'!L220</f>
        <v>35</v>
      </c>
      <c r="U224" s="11">
        <f>T224/'2022a_250915_0045'!L220</f>
        <v>2.2151898734177215E-2</v>
      </c>
      <c r="V224" s="10">
        <f>M224-'2022a_250915_0045'!M220</f>
        <v>1.8749827000000003</v>
      </c>
      <c r="W224" s="11">
        <f>V224/'2022a_250915_0045'!M220</f>
        <v>0.10304856805164067</v>
      </c>
    </row>
    <row r="225" spans="1:23" x14ac:dyDescent="0.25">
      <c r="A225">
        <v>224</v>
      </c>
      <c r="B225">
        <v>165</v>
      </c>
      <c r="C225" t="s">
        <v>45</v>
      </c>
      <c r="D225" t="s">
        <v>35</v>
      </c>
      <c r="E225" t="s">
        <v>49</v>
      </c>
      <c r="F225" t="s">
        <v>19</v>
      </c>
      <c r="G225" t="s">
        <v>26</v>
      </c>
      <c r="H225" t="s">
        <v>21</v>
      </c>
      <c r="I225" t="s">
        <v>74</v>
      </c>
      <c r="J225" t="s">
        <v>148</v>
      </c>
      <c r="K225" t="s">
        <v>23</v>
      </c>
      <c r="L225">
        <v>1976</v>
      </c>
      <c r="M225">
        <v>9.9655945999999993</v>
      </c>
      <c r="N225">
        <v>397.79576464568521</v>
      </c>
      <c r="O225">
        <v>0.3406155520221863</v>
      </c>
      <c r="P225" s="1" t="str">
        <f>HYPERLINK(".\sm_car_251026_0925\sm_car_251026_0925_224_Ca165TrN_MaZPL_DrSt_ode23t_1.png","figure")</f>
        <v>figure</v>
      </c>
      <c r="Q225" t="s">
        <v>15</v>
      </c>
      <c r="T225">
        <f>L225-'2022a_250915_0045'!L221</f>
        <v>7</v>
      </c>
      <c r="U225" s="11">
        <f>T225/'2022a_250915_0045'!L221</f>
        <v>3.5551041137633316E-3</v>
      </c>
      <c r="V225" s="10">
        <f>M225-'2022a_250915_0045'!M221</f>
        <v>0.14552399999999999</v>
      </c>
      <c r="W225" s="11">
        <f>V225/'2022a_250915_0045'!M221</f>
        <v>1.4819038062720242E-2</v>
      </c>
    </row>
    <row r="226" spans="1:23" x14ac:dyDescent="0.25">
      <c r="A226">
        <v>225</v>
      </c>
      <c r="B226">
        <v>171</v>
      </c>
      <c r="C226" t="s">
        <v>45</v>
      </c>
      <c r="D226" t="s">
        <v>17</v>
      </c>
      <c r="E226" t="s">
        <v>72</v>
      </c>
      <c r="F226" t="s">
        <v>19</v>
      </c>
      <c r="G226" t="s">
        <v>26</v>
      </c>
      <c r="H226" t="s">
        <v>21</v>
      </c>
      <c r="I226" t="s">
        <v>74</v>
      </c>
      <c r="J226" t="s">
        <v>148</v>
      </c>
      <c r="K226" t="s">
        <v>23</v>
      </c>
      <c r="L226">
        <v>1540</v>
      </c>
      <c r="M226">
        <v>24.0025461</v>
      </c>
      <c r="N226">
        <v>361.06134073707528</v>
      </c>
      <c r="O226">
        <v>0.71899608941553972</v>
      </c>
      <c r="P226" s="1" t="str">
        <f>HYPERLINK(".\sm_car_251026_0925\sm_car_251026_0925_225_Ca171TrN_MaZPL_DrSt_ode23t_1.png","figure")</f>
        <v>figure</v>
      </c>
      <c r="Q226" t="s">
        <v>15</v>
      </c>
      <c r="T226">
        <f>L226-'2022a_250915_0045'!L222</f>
        <v>-23</v>
      </c>
      <c r="U226" s="11">
        <f>T226/'2022a_250915_0045'!L222</f>
        <v>-1.471529110684581E-2</v>
      </c>
      <c r="V226" s="10">
        <f>M226-'2022a_250915_0045'!M222</f>
        <v>6.1248800000001324E-2</v>
      </c>
      <c r="W226" s="11">
        <f>V226/'2022a_250915_0045'!M222</f>
        <v>2.5582907739924907E-3</v>
      </c>
    </row>
    <row r="227" spans="1:23" x14ac:dyDescent="0.25">
      <c r="A227">
        <v>226</v>
      </c>
      <c r="B227">
        <v>165</v>
      </c>
      <c r="C227" t="s">
        <v>45</v>
      </c>
      <c r="D227" t="s">
        <v>35</v>
      </c>
      <c r="E227" t="s">
        <v>49</v>
      </c>
      <c r="F227" t="s">
        <v>19</v>
      </c>
      <c r="G227" t="s">
        <v>26</v>
      </c>
      <c r="H227" t="s">
        <v>21</v>
      </c>
      <c r="I227" t="s">
        <v>75</v>
      </c>
      <c r="J227" t="s">
        <v>148</v>
      </c>
      <c r="K227" t="s">
        <v>23</v>
      </c>
      <c r="L227">
        <v>491</v>
      </c>
      <c r="M227">
        <v>4.9446054999999998</v>
      </c>
      <c r="N227">
        <v>378.5133806392281</v>
      </c>
      <c r="O227">
        <v>0.32792709068456227</v>
      </c>
      <c r="P227" s="1" t="str">
        <f>HYPERLINK(".\sm_car_251026_0925\sm_car_251026_0925_226_Ca165TrN_MaCPL_DrSt_ode23t_1.png","figure")</f>
        <v>figure</v>
      </c>
      <c r="Q227" t="s">
        <v>15</v>
      </c>
      <c r="T227">
        <f>L227-'2022a_250915_0045'!L223</f>
        <v>9</v>
      </c>
      <c r="U227" s="11">
        <f>T227/'2022a_250915_0045'!L223</f>
        <v>1.8672199170124481E-2</v>
      </c>
      <c r="V227" s="10">
        <f>M227-'2022a_250915_0045'!M223</f>
        <v>0.5847787999999996</v>
      </c>
      <c r="W227" s="11">
        <f>V227/'2022a_250915_0045'!M223</f>
        <v>0.13412890929816076</v>
      </c>
    </row>
    <row r="228" spans="1:23" x14ac:dyDescent="0.25">
      <c r="A228">
        <v>227</v>
      </c>
      <c r="B228">
        <v>170</v>
      </c>
      <c r="C228" t="s">
        <v>45</v>
      </c>
      <c r="D228" t="s">
        <v>35</v>
      </c>
      <c r="E228" t="s">
        <v>49</v>
      </c>
      <c r="F228" t="s">
        <v>19</v>
      </c>
      <c r="G228" t="s">
        <v>20</v>
      </c>
      <c r="H228" t="s">
        <v>21</v>
      </c>
      <c r="I228" t="s">
        <v>75</v>
      </c>
      <c r="J228" t="s">
        <v>148</v>
      </c>
      <c r="K228" t="s">
        <v>23</v>
      </c>
      <c r="L228">
        <v>461</v>
      </c>
      <c r="M228">
        <v>3.6265307</v>
      </c>
      <c r="N228">
        <v>381.71710262592887</v>
      </c>
      <c r="O228">
        <v>0.33484229423909817</v>
      </c>
      <c r="P228" s="1" t="str">
        <f>HYPERLINK(".\sm_car_251026_0925\sm_car_251026_0925_227_Ca170TrN_MaCPL_DrSt_ode23t_1.png","figure")</f>
        <v>figure</v>
      </c>
      <c r="Q228" t="s">
        <v>15</v>
      </c>
      <c r="T228">
        <f>L228-'2022a_250915_0045'!L224</f>
        <v>-9</v>
      </c>
      <c r="U228" s="11">
        <f>T228/'2022a_250915_0045'!L224</f>
        <v>-1.9148936170212766E-2</v>
      </c>
      <c r="V228" s="10">
        <f>M228-'2022a_250915_0045'!M224</f>
        <v>0.29440730000000004</v>
      </c>
      <c r="W228" s="11">
        <f>V228/'2022a_250915_0045'!M224</f>
        <v>8.8354260829595938E-2</v>
      </c>
    </row>
    <row r="229" spans="1:23" x14ac:dyDescent="0.25">
      <c r="A229">
        <v>228</v>
      </c>
      <c r="B229">
        <v>171</v>
      </c>
      <c r="C229" t="s">
        <v>45</v>
      </c>
      <c r="D229" t="s">
        <v>17</v>
      </c>
      <c r="E229" t="s">
        <v>72</v>
      </c>
      <c r="F229" t="s">
        <v>19</v>
      </c>
      <c r="G229" t="s">
        <v>26</v>
      </c>
      <c r="H229" t="s">
        <v>21</v>
      </c>
      <c r="I229" t="s">
        <v>76</v>
      </c>
      <c r="J229" t="s">
        <v>148</v>
      </c>
      <c r="K229" t="s">
        <v>23</v>
      </c>
      <c r="L229">
        <v>2792</v>
      </c>
      <c r="M229">
        <v>45.975040900000003</v>
      </c>
      <c r="N229">
        <v>165.07855811626774</v>
      </c>
      <c r="O229">
        <v>1.1028056787126617E-3</v>
      </c>
      <c r="P229" s="1" t="str">
        <f>HYPERLINK(".\sm_car_251026_0925\sm_car_251026_0925_228_Ca171TrN_MaRDR_DrSt_ode23t_1.png","figure")</f>
        <v>figure</v>
      </c>
      <c r="Q229" t="s">
        <v>15</v>
      </c>
      <c r="T229">
        <f>L229-'2022a_250915_0045'!L225</f>
        <v>-26</v>
      </c>
      <c r="U229" s="11">
        <f>T229/'2022a_250915_0045'!L225</f>
        <v>-9.2264017033356991E-3</v>
      </c>
      <c r="V229" s="10">
        <f>M229-'2022a_250915_0045'!M225</f>
        <v>0.84649310000000355</v>
      </c>
      <c r="W229" s="11">
        <f>V229/'2022a_250915_0045'!M225</f>
        <v>1.8757375126526973E-2</v>
      </c>
    </row>
    <row r="230" spans="1:23" x14ac:dyDescent="0.25">
      <c r="A230">
        <v>229</v>
      </c>
      <c r="B230">
        <v>172</v>
      </c>
      <c r="C230" t="s">
        <v>46</v>
      </c>
      <c r="D230" t="s">
        <v>17</v>
      </c>
      <c r="E230" t="s">
        <v>72</v>
      </c>
      <c r="F230" t="s">
        <v>19</v>
      </c>
      <c r="G230" t="s">
        <v>26</v>
      </c>
      <c r="H230" t="s">
        <v>21</v>
      </c>
      <c r="I230" t="s">
        <v>76</v>
      </c>
      <c r="J230" t="s">
        <v>148</v>
      </c>
      <c r="K230" t="s">
        <v>23</v>
      </c>
      <c r="L230">
        <v>3280</v>
      </c>
      <c r="M230">
        <v>27.7382387</v>
      </c>
      <c r="N230">
        <v>162.25429077182105</v>
      </c>
      <c r="O230">
        <v>3.6800978511231786E-4</v>
      </c>
      <c r="P230" s="1" t="str">
        <f>HYPERLINK(".\sm_car_251026_0925\sm_car_251026_0925_229_Ca172TrN_MaRDR_DrSt_ode23t_1.png","figure")</f>
        <v>figure</v>
      </c>
      <c r="Q230" t="s">
        <v>15</v>
      </c>
      <c r="T230">
        <f>L230-'2022a_250915_0045'!L226</f>
        <v>19</v>
      </c>
      <c r="U230" s="11">
        <f>T230/'2022a_250915_0045'!L226</f>
        <v>5.8264336093222938E-3</v>
      </c>
      <c r="V230" s="10">
        <f>M230-'2022a_250915_0045'!M226</f>
        <v>1.2263799999999989</v>
      </c>
      <c r="W230" s="11">
        <f>V230/'2022a_250915_0045'!M226</f>
        <v>4.6257790292160803E-2</v>
      </c>
    </row>
    <row r="231" spans="1:23" x14ac:dyDescent="0.25">
      <c r="A231">
        <v>230</v>
      </c>
      <c r="B231">
        <v>139</v>
      </c>
      <c r="C231" t="s">
        <v>45</v>
      </c>
      <c r="D231" t="s">
        <v>17</v>
      </c>
      <c r="E231" t="s">
        <v>18</v>
      </c>
      <c r="F231" t="s">
        <v>19</v>
      </c>
      <c r="G231" t="s">
        <v>26</v>
      </c>
      <c r="H231" t="s">
        <v>21</v>
      </c>
      <c r="I231" t="s">
        <v>77</v>
      </c>
      <c r="J231" t="s">
        <v>148</v>
      </c>
      <c r="K231" t="s">
        <v>23</v>
      </c>
      <c r="L231">
        <v>2961</v>
      </c>
      <c r="M231">
        <v>32.6061105</v>
      </c>
      <c r="N231">
        <v>189.2686969984461</v>
      </c>
      <c r="O231">
        <v>6.8765752751906168E-4</v>
      </c>
      <c r="P231" s="1" t="str">
        <f>HYPERLINK(".\sm_car_251026_0925\sm_car_251026_0925_230_Ca139TrN_MaZRR_DrSt_ode23t_1.png","figure")</f>
        <v>figure</v>
      </c>
      <c r="Q231" t="s">
        <v>15</v>
      </c>
      <c r="T231">
        <f>L231-'2022a_250915_0045'!L227</f>
        <v>-30</v>
      </c>
      <c r="U231" s="11">
        <f>T231/'2022a_250915_0045'!L227</f>
        <v>-1.0030090270812437E-2</v>
      </c>
      <c r="V231" s="10">
        <f>M231-'2022a_250915_0045'!M227</f>
        <v>0.92211229999999844</v>
      </c>
      <c r="W231" s="11">
        <f>V231/'2022a_250915_0045'!M227</f>
        <v>2.9103407157749377E-2</v>
      </c>
    </row>
    <row r="232" spans="1:23" x14ac:dyDescent="0.25">
      <c r="A232">
        <v>231</v>
      </c>
      <c r="B232">
        <v>165</v>
      </c>
      <c r="C232" t="s">
        <v>45</v>
      </c>
      <c r="D232" t="s">
        <v>35</v>
      </c>
      <c r="E232" t="s">
        <v>49</v>
      </c>
      <c r="F232" t="s">
        <v>19</v>
      </c>
      <c r="G232" t="s">
        <v>26</v>
      </c>
      <c r="H232" t="s">
        <v>21</v>
      </c>
      <c r="I232" t="s">
        <v>77</v>
      </c>
      <c r="J232" t="s">
        <v>148</v>
      </c>
      <c r="K232" t="s">
        <v>23</v>
      </c>
      <c r="L232">
        <v>3298</v>
      </c>
      <c r="M232">
        <v>20.357610600000001</v>
      </c>
      <c r="N232">
        <v>189.40970572686228</v>
      </c>
      <c r="O232">
        <v>5.3870159436473319E-5</v>
      </c>
      <c r="P232" s="1" t="str">
        <f>HYPERLINK(".\sm_car_251026_0925\sm_car_251026_0925_231_Ca165TrN_MaZRR_DrSt_ode23t_1.png","figure")</f>
        <v>figure</v>
      </c>
      <c r="Q232" t="s">
        <v>15</v>
      </c>
      <c r="T232">
        <f>L232-'2022a_250915_0045'!L228</f>
        <v>7</v>
      </c>
      <c r="U232" s="11">
        <f>T232/'2022a_250915_0045'!L228</f>
        <v>2.1270130659374049E-3</v>
      </c>
      <c r="V232" s="10">
        <f>M232-'2022a_250915_0045'!M228</f>
        <v>1.2051902000000005</v>
      </c>
      <c r="W232" s="11">
        <f>V232/'2022a_250915_0045'!M228</f>
        <v>6.2926260745613152E-2</v>
      </c>
    </row>
    <row r="233" spans="1:23" x14ac:dyDescent="0.25">
      <c r="A233">
        <v>232</v>
      </c>
      <c r="B233">
        <v>171</v>
      </c>
      <c r="C233" t="s">
        <v>45</v>
      </c>
      <c r="D233" t="s">
        <v>17</v>
      </c>
      <c r="E233" t="s">
        <v>72</v>
      </c>
      <c r="F233" t="s">
        <v>19</v>
      </c>
      <c r="G233" t="s">
        <v>26</v>
      </c>
      <c r="H233" t="s">
        <v>21</v>
      </c>
      <c r="I233" t="s">
        <v>77</v>
      </c>
      <c r="J233" t="s">
        <v>148</v>
      </c>
      <c r="K233" t="s">
        <v>23</v>
      </c>
      <c r="L233">
        <v>2999</v>
      </c>
      <c r="M233">
        <v>50.795828800000002</v>
      </c>
      <c r="N233">
        <v>189.26943365075999</v>
      </c>
      <c r="O233">
        <v>6.991388062142171E-4</v>
      </c>
      <c r="P233" s="1" t="str">
        <f>HYPERLINK(".\sm_car_251026_0925\sm_car_251026_0925_232_Ca171TrN_MaZRR_DrSt_ode23t_1.png","figure")</f>
        <v>figure</v>
      </c>
      <c r="Q233" t="s">
        <v>15</v>
      </c>
      <c r="T233">
        <f>L233-'2022a_250915_0045'!L229</f>
        <v>-52</v>
      </c>
      <c r="U233" s="11">
        <f>T233/'2022a_250915_0045'!L229</f>
        <v>-1.7043592264831202E-2</v>
      </c>
      <c r="V233" s="10">
        <f>M233-'2022a_250915_0045'!M229</f>
        <v>3.8356027000000026</v>
      </c>
      <c r="W233" s="11">
        <f>V233/'2022a_250915_0045'!M229</f>
        <v>8.1677688089325504E-2</v>
      </c>
    </row>
    <row r="234" spans="1:23" x14ac:dyDescent="0.25">
      <c r="A234">
        <v>233</v>
      </c>
      <c r="B234">
        <v>170</v>
      </c>
      <c r="C234" t="s">
        <v>45</v>
      </c>
      <c r="D234" t="s">
        <v>35</v>
      </c>
      <c r="E234" t="s">
        <v>49</v>
      </c>
      <c r="F234" t="s">
        <v>19</v>
      </c>
      <c r="G234" t="s">
        <v>20</v>
      </c>
      <c r="H234" t="s">
        <v>21</v>
      </c>
      <c r="I234" t="s">
        <v>78</v>
      </c>
      <c r="J234" t="s">
        <v>148</v>
      </c>
      <c r="K234" t="s">
        <v>23</v>
      </c>
      <c r="L234">
        <v>6299</v>
      </c>
      <c r="M234">
        <v>24.287680600000002</v>
      </c>
      <c r="N234">
        <v>-5.9990769165489608</v>
      </c>
      <c r="O234">
        <v>-6.3281538773901072E-3</v>
      </c>
      <c r="P234" s="1" t="str">
        <f>HYPERLINK(".\sm_car_251026_0925\sm_car_251026_0925_233_Ca170TrN_MaCMP_DrSt_ode23t_1.png","figure")</f>
        <v>figure</v>
      </c>
      <c r="Q234" t="s">
        <v>15</v>
      </c>
      <c r="T234">
        <f>L234-'2022a_250915_0045'!L230</f>
        <v>137</v>
      </c>
      <c r="U234" s="11">
        <f>T234/'2022a_250915_0045'!L230</f>
        <v>2.2233041220382992E-2</v>
      </c>
      <c r="V234" s="10">
        <f>M234-'2022a_250915_0045'!M230</f>
        <v>4.1111938000000023</v>
      </c>
      <c r="W234" s="11">
        <f>V234/'2022a_250915_0045'!M230</f>
        <v>0.20376162811456366</v>
      </c>
    </row>
    <row r="235" spans="1:23" x14ac:dyDescent="0.25">
      <c r="A235">
        <v>234</v>
      </c>
      <c r="B235">
        <v>170</v>
      </c>
      <c r="C235" t="s">
        <v>45</v>
      </c>
      <c r="D235" t="s">
        <v>35</v>
      </c>
      <c r="E235" t="s">
        <v>49</v>
      </c>
      <c r="F235" t="s">
        <v>19</v>
      </c>
      <c r="G235" t="s">
        <v>20</v>
      </c>
      <c r="H235" t="s">
        <v>21</v>
      </c>
      <c r="I235" t="s">
        <v>79</v>
      </c>
      <c r="J235" t="s">
        <v>148</v>
      </c>
      <c r="K235" t="s">
        <v>23</v>
      </c>
      <c r="L235">
        <v>1617</v>
      </c>
      <c r="M235">
        <v>13.1956928</v>
      </c>
      <c r="N235">
        <v>-5.9984521082395927</v>
      </c>
      <c r="O235">
        <v>-6.2505413515697456E-3</v>
      </c>
      <c r="P235" s="1" t="str">
        <f>HYPERLINK(".\sm_car_251026_0925\sm_car_251026_0925_234_Ca170TrN_MaCMF_DrSt_ode23t_1.png","figure")</f>
        <v>figure</v>
      </c>
      <c r="Q235" t="s">
        <v>15</v>
      </c>
      <c r="T235">
        <f>L235-'2022a_250915_0045'!L231</f>
        <v>-11</v>
      </c>
      <c r="U235" s="11">
        <f>T235/'2022a_250915_0045'!L231</f>
        <v>-6.7567567567567571E-3</v>
      </c>
      <c r="V235" s="10">
        <f>M235-'2022a_250915_0045'!M231</f>
        <v>2.0496493999999998</v>
      </c>
      <c r="W235" s="11">
        <f>V235/'2022a_250915_0045'!M231</f>
        <v>0.18389031214430762</v>
      </c>
    </row>
    <row r="236" spans="1:23" x14ac:dyDescent="0.25">
      <c r="A236">
        <v>235</v>
      </c>
      <c r="B236">
        <v>170</v>
      </c>
      <c r="C236" t="s">
        <v>45</v>
      </c>
      <c r="D236" t="s">
        <v>35</v>
      </c>
      <c r="E236" t="s">
        <v>49</v>
      </c>
      <c r="F236" t="s">
        <v>19</v>
      </c>
      <c r="G236" t="s">
        <v>20</v>
      </c>
      <c r="H236" t="s">
        <v>21</v>
      </c>
      <c r="I236" t="s">
        <v>80</v>
      </c>
      <c r="J236" t="s">
        <v>148</v>
      </c>
      <c r="K236" t="s">
        <v>23</v>
      </c>
      <c r="L236">
        <v>5387</v>
      </c>
      <c r="M236">
        <v>48.750352300000003</v>
      </c>
      <c r="N236">
        <v>-216.3668880994052</v>
      </c>
      <c r="O236">
        <v>5.6821992224166484</v>
      </c>
      <c r="P236" s="1" t="str">
        <f>HYPERLINK(".\sm_car_251026_0925\sm_car_251026_0925_235_Ca170TrN_MaMPO_DrSt_ode23t_1.png","figure")</f>
        <v>figure</v>
      </c>
      <c r="Q236" t="s">
        <v>15</v>
      </c>
      <c r="T236">
        <f>L236-'2022a_250915_0045'!L232</f>
        <v>-17</v>
      </c>
      <c r="U236" s="11">
        <f>T236/'2022a_250915_0045'!L232</f>
        <v>-3.1458179126572909E-3</v>
      </c>
      <c r="V236" s="10">
        <f>M236-'2022a_250915_0045'!M232</f>
        <v>7.0161739000000054</v>
      </c>
      <c r="W236" s="11">
        <f>V236/'2022a_250915_0045'!M232</f>
        <v>0.16811577869710753</v>
      </c>
    </row>
    <row r="237" spans="1:23" x14ac:dyDescent="0.25">
      <c r="A237">
        <v>236</v>
      </c>
      <c r="B237">
        <v>170</v>
      </c>
      <c r="C237" t="s">
        <v>45</v>
      </c>
      <c r="D237" t="s">
        <v>35</v>
      </c>
      <c r="E237" t="s">
        <v>49</v>
      </c>
      <c r="F237" t="s">
        <v>19</v>
      </c>
      <c r="G237" t="s">
        <v>20</v>
      </c>
      <c r="H237" t="s">
        <v>21</v>
      </c>
      <c r="I237" t="s">
        <v>81</v>
      </c>
      <c r="J237" t="s">
        <v>148</v>
      </c>
      <c r="K237" t="s">
        <v>23</v>
      </c>
      <c r="L237">
        <v>1210</v>
      </c>
      <c r="M237">
        <v>22.239913600000001</v>
      </c>
      <c r="N237">
        <v>-14.23795026576029</v>
      </c>
      <c r="O237">
        <v>-1.214388796117305E-2</v>
      </c>
      <c r="P237" s="1" t="str">
        <f>HYPERLINK(".\sm_car_251026_0925\sm_car_251026_0925_236_Ca170TrN_MaMCI_DrSt_ode23t_1.png","figure")</f>
        <v>figure</v>
      </c>
      <c r="Q237" t="s">
        <v>15</v>
      </c>
      <c r="T237">
        <f>L237-'2022a_250915_0045'!L233</f>
        <v>4</v>
      </c>
      <c r="U237" s="11">
        <f>T237/'2022a_250915_0045'!L233</f>
        <v>3.3167495854063019E-3</v>
      </c>
      <c r="V237" s="10">
        <f>M237-'2022a_250915_0045'!M233</f>
        <v>2.733370800000003</v>
      </c>
      <c r="W237" s="11">
        <f>V237/'2022a_250915_0045'!M233</f>
        <v>0.14012584536507428</v>
      </c>
    </row>
    <row r="238" spans="1:23" x14ac:dyDescent="0.25">
      <c r="A238">
        <v>237</v>
      </c>
      <c r="B238">
        <v>170</v>
      </c>
      <c r="C238" t="s">
        <v>45</v>
      </c>
      <c r="D238" t="s">
        <v>35</v>
      </c>
      <c r="E238" t="s">
        <v>49</v>
      </c>
      <c r="F238" t="s">
        <v>19</v>
      </c>
      <c r="G238" t="s">
        <v>20</v>
      </c>
      <c r="H238" t="s">
        <v>21</v>
      </c>
      <c r="I238" t="s">
        <v>110</v>
      </c>
      <c r="J238" t="s">
        <v>148</v>
      </c>
      <c r="K238" t="s">
        <v>23</v>
      </c>
      <c r="L238">
        <v>3785</v>
      </c>
      <c r="M238">
        <v>26.9192818</v>
      </c>
      <c r="N238">
        <v>-5.999241063177827</v>
      </c>
      <c r="O238">
        <v>-4.69369769511637E-3</v>
      </c>
      <c r="P238" s="1" t="str">
        <f>HYPERLINK(".\sm_car_251026_0925\sm_car_251026_0925_237_Ca170TrN_MaCHO_DrSt_ode23t_1.png","figure")</f>
        <v>figure</v>
      </c>
      <c r="Q238" t="s">
        <v>15</v>
      </c>
      <c r="T238">
        <f>L238-'2022a_250915_0045'!L234</f>
        <v>-274</v>
      </c>
      <c r="U238" s="11">
        <f>T238/'2022a_250915_0045'!L234</f>
        <v>-6.7504311406750436E-2</v>
      </c>
      <c r="V238" s="10">
        <f>M238-'2022a_250915_0045'!M234</f>
        <v>3.4017863999999989</v>
      </c>
      <c r="W238" s="11">
        <f>V238/'2022a_250915_0045'!M234</f>
        <v>0.14464917892574558</v>
      </c>
    </row>
    <row r="239" spans="1:23" x14ac:dyDescent="0.25">
      <c r="A239">
        <v>238</v>
      </c>
      <c r="B239">
        <v>170</v>
      </c>
      <c r="C239" t="s">
        <v>45</v>
      </c>
      <c r="D239" t="s">
        <v>35</v>
      </c>
      <c r="E239" t="s">
        <v>49</v>
      </c>
      <c r="F239" t="s">
        <v>19</v>
      </c>
      <c r="G239" t="s">
        <v>20</v>
      </c>
      <c r="H239" t="s">
        <v>21</v>
      </c>
      <c r="I239" t="s">
        <v>111</v>
      </c>
      <c r="J239" t="s">
        <v>148</v>
      </c>
      <c r="K239" t="s">
        <v>23</v>
      </c>
      <c r="L239">
        <v>2641</v>
      </c>
      <c r="M239">
        <v>26.268428400000001</v>
      </c>
      <c r="N239">
        <v>-5.9994017984258488</v>
      </c>
      <c r="O239">
        <v>-4.7390090988919465E-3</v>
      </c>
      <c r="P239" s="1" t="str">
        <f>HYPERLINK(".\sm_car_251026_0925\sm_car_251026_0925_238_Ca170TrN_MaCHF_DrSt_ode23t_1.png","figure")</f>
        <v>figure</v>
      </c>
      <c r="Q239" t="s">
        <v>15</v>
      </c>
      <c r="T239">
        <f>L239-'2022a_250915_0045'!L235</f>
        <v>36</v>
      </c>
      <c r="U239" s="11">
        <f>T239/'2022a_250915_0045'!L235</f>
        <v>1.3819577735124759E-2</v>
      </c>
      <c r="V239" s="10">
        <f>M239-'2022a_250915_0045'!M235</f>
        <v>3.714137400000002</v>
      </c>
      <c r="W239" s="11">
        <f>V239/'2022a_250915_0045'!M235</f>
        <v>0.16467542251716102</v>
      </c>
    </row>
    <row r="240" spans="1:23" x14ac:dyDescent="0.25">
      <c r="A240">
        <v>239</v>
      </c>
      <c r="B240">
        <v>170</v>
      </c>
      <c r="C240" t="s">
        <v>45</v>
      </c>
      <c r="D240" t="s">
        <v>35</v>
      </c>
      <c r="E240" t="s">
        <v>49</v>
      </c>
      <c r="F240" t="s">
        <v>19</v>
      </c>
      <c r="G240" t="s">
        <v>20</v>
      </c>
      <c r="H240" t="s">
        <v>21</v>
      </c>
      <c r="I240" t="s">
        <v>82</v>
      </c>
      <c r="J240" t="s">
        <v>148</v>
      </c>
      <c r="K240" t="s">
        <v>23</v>
      </c>
      <c r="L240">
        <v>9297</v>
      </c>
      <c r="M240">
        <v>45.5703976</v>
      </c>
      <c r="N240">
        <v>-768.71600053891882</v>
      </c>
      <c r="O240">
        <v>638.64313333948121</v>
      </c>
      <c r="P240" s="1" t="str">
        <f>HYPERLINK(".\sm_car_251026_0925\sm_car_251026_0925_239_Ca170TrN_MaCKY_DrSt_ode23t_1.png","figure")</f>
        <v>figure</v>
      </c>
      <c r="Q240" t="s">
        <v>15</v>
      </c>
      <c r="T240">
        <f>L240-'2022a_250915_0045'!L236</f>
        <v>-74</v>
      </c>
      <c r="U240" s="11">
        <f>T240/'2022a_250915_0045'!L236</f>
        <v>-7.8967025931063924E-3</v>
      </c>
      <c r="V240" s="10">
        <f>M240-'2022a_250915_0045'!M236</f>
        <v>6.9439966999999996</v>
      </c>
      <c r="W240" s="11">
        <f>V240/'2022a_250915_0045'!M236</f>
        <v>0.1797733295933352</v>
      </c>
    </row>
    <row r="241" spans="1:23" x14ac:dyDescent="0.25">
      <c r="A241">
        <v>240</v>
      </c>
      <c r="B241">
        <v>170</v>
      </c>
      <c r="C241" t="s">
        <v>45</v>
      </c>
      <c r="D241" t="s">
        <v>35</v>
      </c>
      <c r="E241" t="s">
        <v>49</v>
      </c>
      <c r="F241" t="s">
        <v>19</v>
      </c>
      <c r="G241" t="s">
        <v>20</v>
      </c>
      <c r="H241" t="s">
        <v>21</v>
      </c>
      <c r="I241" t="s">
        <v>83</v>
      </c>
      <c r="J241" t="s">
        <v>148</v>
      </c>
      <c r="K241" t="s">
        <v>23</v>
      </c>
      <c r="L241">
        <v>1724</v>
      </c>
      <c r="M241">
        <v>17.636530700000002</v>
      </c>
      <c r="N241">
        <v>-772.67627619643918</v>
      </c>
      <c r="O241">
        <v>640.74522380707151</v>
      </c>
      <c r="P241" s="1" t="str">
        <f>HYPERLINK(".\sm_car_251026_0925\sm_car_251026_0925_240_Ca170TrN_MaCKF_DrSt_ode23t_1.png","figure")</f>
        <v>figure</v>
      </c>
      <c r="Q241" t="s">
        <v>15</v>
      </c>
      <c r="T241">
        <f>L241-'2022a_250915_0045'!L237</f>
        <v>29</v>
      </c>
      <c r="U241" s="11">
        <f>T241/'2022a_250915_0045'!L237</f>
        <v>1.7109144542772861E-2</v>
      </c>
      <c r="V241" s="10">
        <f>M241-'2022a_250915_0045'!M237</f>
        <v>4.2102629000000018</v>
      </c>
      <c r="W241" s="11">
        <f>V241/'2022a_250915_0045'!M237</f>
        <v>0.31358401029361277</v>
      </c>
    </row>
    <row r="242" spans="1:23" x14ac:dyDescent="0.25">
      <c r="A242">
        <v>241</v>
      </c>
      <c r="B242">
        <v>170</v>
      </c>
      <c r="C242" t="s">
        <v>45</v>
      </c>
      <c r="D242" t="s">
        <v>35</v>
      </c>
      <c r="E242" t="s">
        <v>49</v>
      </c>
      <c r="F242" t="s">
        <v>19</v>
      </c>
      <c r="G242" t="s">
        <v>20</v>
      </c>
      <c r="H242" t="s">
        <v>21</v>
      </c>
      <c r="I242" t="s">
        <v>84</v>
      </c>
      <c r="J242" t="s">
        <v>148</v>
      </c>
      <c r="K242" t="s">
        <v>23</v>
      </c>
      <c r="L242">
        <v>2268</v>
      </c>
      <c r="M242">
        <v>31.883852999999998</v>
      </c>
      <c r="N242">
        <v>189.31356980212755</v>
      </c>
      <c r="O242">
        <v>308.88773790177095</v>
      </c>
      <c r="P242" s="1" t="str">
        <f>HYPERLINK(".\sm_car_251026_0925\sm_car_251026_0925_241_Ca170TrN_MaCNN_DrSt_ode23t_1.png","figure")</f>
        <v>figure</v>
      </c>
      <c r="Q242" t="s">
        <v>15</v>
      </c>
      <c r="T242">
        <f>L242-'2022a_250915_0045'!L238</f>
        <v>-83</v>
      </c>
      <c r="U242" s="11">
        <f>T242/'2022a_250915_0045'!L238</f>
        <v>-3.5304125903870692E-2</v>
      </c>
      <c r="V242" s="10">
        <f>M242-'2022a_250915_0045'!M238</f>
        <v>2.607992099999997</v>
      </c>
      <c r="W242" s="11">
        <f>V242/'2022a_250915_0045'!M238</f>
        <v>8.9083361507568751E-2</v>
      </c>
    </row>
    <row r="243" spans="1:23" x14ac:dyDescent="0.25">
      <c r="A243">
        <v>242</v>
      </c>
      <c r="B243">
        <v>170</v>
      </c>
      <c r="C243" t="s">
        <v>45</v>
      </c>
      <c r="D243" t="s">
        <v>35</v>
      </c>
      <c r="E243" t="s">
        <v>49</v>
      </c>
      <c r="F243" t="s">
        <v>19</v>
      </c>
      <c r="G243" t="s">
        <v>20</v>
      </c>
      <c r="H243" t="s">
        <v>21</v>
      </c>
      <c r="I243" t="s">
        <v>85</v>
      </c>
      <c r="J243" t="s">
        <v>148</v>
      </c>
      <c r="K243" t="s">
        <v>23</v>
      </c>
      <c r="L243">
        <v>3557</v>
      </c>
      <c r="M243">
        <v>156.4155882</v>
      </c>
      <c r="N243">
        <v>2981.6994285974338</v>
      </c>
      <c r="O243">
        <v>-3077.7705619199373</v>
      </c>
      <c r="P243" s="1" t="str">
        <f>HYPERLINK(".\sm_car_251026_0925\sm_car_251026_0925_242_Ca170TrN_MaCNF_DrSt_ode23t_1.png","figure")</f>
        <v>figure</v>
      </c>
      <c r="Q243" t="s">
        <v>15</v>
      </c>
      <c r="T243">
        <f>L243-'2022a_250915_0045'!L239</f>
        <v>0</v>
      </c>
      <c r="U243" s="11">
        <f>T243/'2022a_250915_0045'!L239</f>
        <v>0</v>
      </c>
      <c r="V243" s="10">
        <f>M243-'2022a_250915_0045'!M239</f>
        <v>13.475840800000014</v>
      </c>
      <c r="W243" s="11">
        <f>V243/'2022a_250915_0045'!M239</f>
        <v>9.4276372003718925E-2</v>
      </c>
    </row>
    <row r="244" spans="1:23" x14ac:dyDescent="0.25">
      <c r="A244">
        <v>243</v>
      </c>
      <c r="B244">
        <v>170</v>
      </c>
      <c r="C244" t="s">
        <v>45</v>
      </c>
      <c r="D244" t="s">
        <v>35</v>
      </c>
      <c r="E244" t="s">
        <v>49</v>
      </c>
      <c r="F244" t="s">
        <v>19</v>
      </c>
      <c r="G244" t="s">
        <v>20</v>
      </c>
      <c r="H244" t="s">
        <v>21</v>
      </c>
      <c r="I244" t="s">
        <v>86</v>
      </c>
      <c r="J244" t="s">
        <v>148</v>
      </c>
      <c r="K244" t="s">
        <v>23</v>
      </c>
      <c r="L244">
        <v>3006</v>
      </c>
      <c r="M244">
        <v>20.829022299999998</v>
      </c>
      <c r="N244">
        <v>497.8633130490565</v>
      </c>
      <c r="O244">
        <v>-175.70293786799922</v>
      </c>
      <c r="P244" s="1" t="str">
        <f>HYPERLINK(".\sm_car_251026_0925\sm_car_251026_0925_243_Ca170TrN_MaCSZ_DrSt_ode23t_1.png","figure")</f>
        <v>figure</v>
      </c>
      <c r="Q244" t="s">
        <v>15</v>
      </c>
      <c r="T244">
        <f>L244-'2022a_250915_0045'!L240</f>
        <v>-2</v>
      </c>
      <c r="U244" s="11">
        <f>T244/'2022a_250915_0045'!L240</f>
        <v>-6.6489361702127658E-4</v>
      </c>
      <c r="V244" s="10">
        <f>M244-'2022a_250915_0045'!M240</f>
        <v>1.4011158999999971</v>
      </c>
      <c r="W244" s="11">
        <f>V244/'2022a_250915_0045'!M240</f>
        <v>7.2118728140464841E-2</v>
      </c>
    </row>
    <row r="245" spans="1:23" x14ac:dyDescent="0.25">
      <c r="A245">
        <v>244</v>
      </c>
      <c r="B245">
        <v>170</v>
      </c>
      <c r="C245" t="s">
        <v>45</v>
      </c>
      <c r="D245" t="s">
        <v>35</v>
      </c>
      <c r="E245" t="s">
        <v>49</v>
      </c>
      <c r="F245" t="s">
        <v>19</v>
      </c>
      <c r="G245" t="s">
        <v>20</v>
      </c>
      <c r="H245" t="s">
        <v>21</v>
      </c>
      <c r="I245" t="s">
        <v>87</v>
      </c>
      <c r="J245" t="s">
        <v>148</v>
      </c>
      <c r="K245" t="s">
        <v>23</v>
      </c>
      <c r="L245">
        <v>5125</v>
      </c>
      <c r="M245">
        <v>119.1139481</v>
      </c>
      <c r="N245">
        <v>-8.9787463822973272</v>
      </c>
      <c r="O245">
        <v>8.1265911202612166E-3</v>
      </c>
      <c r="P245" s="1" t="str">
        <f>HYPERLINK(".\sm_car_251026_0925\sm_car_251026_0925_244_Ca170TrN_MaCSF_DrSt_ode23t_1.png","figure")</f>
        <v>figure</v>
      </c>
      <c r="Q245" t="s">
        <v>15</v>
      </c>
      <c r="T245">
        <f>L245-'2022a_250915_0045'!L241</f>
        <v>-18</v>
      </c>
      <c r="U245" s="11">
        <f>T245/'2022a_250915_0045'!L241</f>
        <v>-3.49990278047832E-3</v>
      </c>
      <c r="V245" s="10">
        <f>M245-'2022a_250915_0045'!M241</f>
        <v>4.790683400000006</v>
      </c>
      <c r="W245" s="11">
        <f>V245/'2022a_250915_0045'!M241</f>
        <v>4.1904711281395085E-2</v>
      </c>
    </row>
    <row r="246" spans="1:23" x14ac:dyDescent="0.25">
      <c r="A246">
        <v>245</v>
      </c>
      <c r="B246">
        <v>170</v>
      </c>
      <c r="C246" t="s">
        <v>45</v>
      </c>
      <c r="D246" t="s">
        <v>35</v>
      </c>
      <c r="E246" t="s">
        <v>49</v>
      </c>
      <c r="F246" t="s">
        <v>19</v>
      </c>
      <c r="G246" t="s">
        <v>20</v>
      </c>
      <c r="H246" t="s">
        <v>21</v>
      </c>
      <c r="I246" t="s">
        <v>88</v>
      </c>
      <c r="J246" t="s">
        <v>148</v>
      </c>
      <c r="K246" t="s">
        <v>23</v>
      </c>
      <c r="L246">
        <v>1617</v>
      </c>
      <c r="M246">
        <v>38.748332900000001</v>
      </c>
      <c r="N246">
        <v>247.79328154069458</v>
      </c>
      <c r="O246">
        <v>391.37851350458124</v>
      </c>
      <c r="P246" s="1" t="str">
        <f>HYPERLINK(".\sm_car_251026_0925\sm_car_251026_0925_245_Ca170TrN_MaCPU_DrSt_ode23t_1.png","figure")</f>
        <v>figure</v>
      </c>
      <c r="Q246" t="s">
        <v>15</v>
      </c>
      <c r="T246">
        <f>L246-'2022a_250915_0045'!L242</f>
        <v>-252</v>
      </c>
      <c r="U246" s="11">
        <f>T246/'2022a_250915_0045'!L242</f>
        <v>-0.1348314606741573</v>
      </c>
      <c r="V246" s="10">
        <f>M246-'2022a_250915_0045'!M242</f>
        <v>0.99207200000000029</v>
      </c>
      <c r="W246" s="11">
        <f>V246/'2022a_250915_0045'!M242</f>
        <v>2.6275695112595226E-2</v>
      </c>
    </row>
    <row r="247" spans="1:23" x14ac:dyDescent="0.25">
      <c r="A247">
        <v>246</v>
      </c>
      <c r="B247">
        <v>170</v>
      </c>
      <c r="C247" t="s">
        <v>45</v>
      </c>
      <c r="D247" t="s">
        <v>35</v>
      </c>
      <c r="E247" t="s">
        <v>49</v>
      </c>
      <c r="F247" t="s">
        <v>19</v>
      </c>
      <c r="G247" t="s">
        <v>20</v>
      </c>
      <c r="H247" t="s">
        <v>21</v>
      </c>
      <c r="I247" t="s">
        <v>89</v>
      </c>
      <c r="J247" t="s">
        <v>148</v>
      </c>
      <c r="K247" t="s">
        <v>23</v>
      </c>
      <c r="L247">
        <v>2466</v>
      </c>
      <c r="M247">
        <v>29.853925100000001</v>
      </c>
      <c r="N247">
        <v>179.59000234636187</v>
      </c>
      <c r="O247">
        <v>-180.28252161593991</v>
      </c>
      <c r="P247" s="1" t="str">
        <f>HYPERLINK(".\sm_car_251026_0925\sm_car_251026_0925_246_Ca170TrN_MaCPD_DrSt_ode23t_1.png","figure")</f>
        <v>figure</v>
      </c>
      <c r="Q247" t="s">
        <v>15</v>
      </c>
      <c r="T247">
        <f>L247-'2022a_250915_0045'!L243</f>
        <v>-1</v>
      </c>
      <c r="U247" s="11">
        <f>T247/'2022a_250915_0045'!L243</f>
        <v>-4.0535062829347385E-4</v>
      </c>
      <c r="V247" s="10">
        <f>M247-'2022a_250915_0045'!M243</f>
        <v>2.6348091000000018</v>
      </c>
      <c r="W247" s="11">
        <f>V247/'2022a_250915_0045'!M243</f>
        <v>9.6799951181368332E-2</v>
      </c>
    </row>
    <row r="248" spans="1:23" x14ac:dyDescent="0.25">
      <c r="A248">
        <v>247</v>
      </c>
      <c r="B248">
        <v>202</v>
      </c>
      <c r="C248" t="s">
        <v>45</v>
      </c>
      <c r="D248" t="s">
        <v>35</v>
      </c>
      <c r="E248" t="s">
        <v>107</v>
      </c>
      <c r="F248" t="s">
        <v>19</v>
      </c>
      <c r="G248" t="s">
        <v>20</v>
      </c>
      <c r="H248" t="s">
        <v>21</v>
      </c>
      <c r="I248" t="s">
        <v>79</v>
      </c>
      <c r="J248" t="s">
        <v>148</v>
      </c>
      <c r="K248" t="s">
        <v>23</v>
      </c>
      <c r="L248">
        <v>1635</v>
      </c>
      <c r="M248">
        <v>4.8461935</v>
      </c>
      <c r="N248">
        <v>-5.9991130369005505</v>
      </c>
      <c r="O248">
        <v>-6.174553701024787E-3</v>
      </c>
      <c r="P248" s="1" t="str">
        <f>HYPERLINK(".\sm_car_251026_0925\sm_car_251026_0925_247_Ca202TrN_MaCMF_DrSt_ode23t_1.png","figure")</f>
        <v>figure</v>
      </c>
      <c r="Q248" t="s">
        <v>15</v>
      </c>
      <c r="T248">
        <f>L248-'2022a_250915_0045'!L244</f>
        <v>13</v>
      </c>
      <c r="U248" s="11">
        <f>T248/'2022a_250915_0045'!L244</f>
        <v>8.0147965474722561E-3</v>
      </c>
      <c r="V248" s="10">
        <f>M248-'2022a_250915_0045'!M244</f>
        <v>0.41343870000000038</v>
      </c>
      <c r="W248" s="11">
        <f>V248/'2022a_250915_0045'!M244</f>
        <v>9.3269020880649756E-2</v>
      </c>
    </row>
    <row r="249" spans="1:23" x14ac:dyDescent="0.25">
      <c r="A249">
        <v>248</v>
      </c>
      <c r="B249">
        <v>202</v>
      </c>
      <c r="C249" t="s">
        <v>45</v>
      </c>
      <c r="D249" t="s">
        <v>35</v>
      </c>
      <c r="E249" t="s">
        <v>107</v>
      </c>
      <c r="F249" t="s">
        <v>19</v>
      </c>
      <c r="G249" t="s">
        <v>20</v>
      </c>
      <c r="H249" t="s">
        <v>21</v>
      </c>
      <c r="I249" t="s">
        <v>80</v>
      </c>
      <c r="J249" t="s">
        <v>148</v>
      </c>
      <c r="K249" t="s">
        <v>23</v>
      </c>
      <c r="L249">
        <v>5367</v>
      </c>
      <c r="M249">
        <v>31.1857206</v>
      </c>
      <c r="N249">
        <v>-217.49333607968032</v>
      </c>
      <c r="O249">
        <v>5.8591981140250748</v>
      </c>
      <c r="P249" s="1" t="str">
        <f>HYPERLINK(".\sm_car_251026_0925\sm_car_251026_0925_248_Ca202TrN_MaMPO_DrSt_ode23t_1.png","figure")</f>
        <v>figure</v>
      </c>
      <c r="Q249" t="s">
        <v>15</v>
      </c>
      <c r="T249">
        <f>L249-'2022a_250915_0045'!L245</f>
        <v>3</v>
      </c>
      <c r="U249" s="11">
        <f>T249/'2022a_250915_0045'!L245</f>
        <v>5.5928411633109618E-4</v>
      </c>
      <c r="V249" s="10">
        <f>M249-'2022a_250915_0045'!M245</f>
        <v>3.5905982999999999</v>
      </c>
      <c r="W249" s="11">
        <f>V249/'2022a_250915_0045'!M245</f>
        <v>0.13011713667962255</v>
      </c>
    </row>
    <row r="250" spans="1:23" x14ac:dyDescent="0.25">
      <c r="A250">
        <v>249</v>
      </c>
      <c r="B250">
        <v>202</v>
      </c>
      <c r="C250" t="s">
        <v>45</v>
      </c>
      <c r="D250" t="s">
        <v>35</v>
      </c>
      <c r="E250" t="s">
        <v>107</v>
      </c>
      <c r="F250" t="s">
        <v>19</v>
      </c>
      <c r="G250" t="s">
        <v>20</v>
      </c>
      <c r="H250" t="s">
        <v>21</v>
      </c>
      <c r="I250" t="s">
        <v>81</v>
      </c>
      <c r="J250" t="s">
        <v>148</v>
      </c>
      <c r="K250" t="s">
        <v>23</v>
      </c>
      <c r="L250">
        <v>1195</v>
      </c>
      <c r="M250">
        <v>10.9690092</v>
      </c>
      <c r="N250">
        <v>-14.230475054048874</v>
      </c>
      <c r="O250">
        <v>-6.6785544601657421E-3</v>
      </c>
      <c r="P250" s="1" t="str">
        <f>HYPERLINK(".\sm_car_251026_0925\sm_car_251026_0925_249_Ca202TrN_MaMCI_DrSt_ode23t_1.png","figure")</f>
        <v>figure</v>
      </c>
      <c r="Q250" t="s">
        <v>15</v>
      </c>
      <c r="T250">
        <f>L250-'2022a_250915_0045'!L246</f>
        <v>-8</v>
      </c>
      <c r="U250" s="11">
        <f>T250/'2022a_250915_0045'!L246</f>
        <v>-6.6500415627597674E-3</v>
      </c>
      <c r="V250" s="10">
        <f>M250-'2022a_250915_0045'!M246</f>
        <v>0.45474500000000084</v>
      </c>
      <c r="W250" s="11">
        <f>V250/'2022a_250915_0045'!M246</f>
        <v>4.3250292302907972E-2</v>
      </c>
    </row>
    <row r="251" spans="1:23" x14ac:dyDescent="0.25">
      <c r="A251">
        <v>250</v>
      </c>
      <c r="B251">
        <v>202</v>
      </c>
      <c r="C251" t="s">
        <v>45</v>
      </c>
      <c r="D251" t="s">
        <v>35</v>
      </c>
      <c r="E251" t="s">
        <v>107</v>
      </c>
      <c r="F251" t="s">
        <v>19</v>
      </c>
      <c r="G251" t="s">
        <v>20</v>
      </c>
      <c r="H251" t="s">
        <v>21</v>
      </c>
      <c r="I251" t="s">
        <v>83</v>
      </c>
      <c r="J251" t="s">
        <v>148</v>
      </c>
      <c r="K251" t="s">
        <v>23</v>
      </c>
      <c r="L251">
        <v>2876</v>
      </c>
      <c r="M251">
        <v>10.469614999999999</v>
      </c>
      <c r="N251">
        <v>-5.9967599757358716</v>
      </c>
      <c r="O251">
        <v>-2.6152970750457961E-2</v>
      </c>
      <c r="P251" s="1" t="str">
        <f>HYPERLINK(".\sm_car_251026_0925\sm_car_251026_0925_250_Ca202TrN_MaCKF_DrSt_ode23t_1.png","figure")</f>
        <v>figure</v>
      </c>
      <c r="Q251" t="s">
        <v>15</v>
      </c>
      <c r="T251">
        <f>L251-'2022a_250915_0045'!L247</f>
        <v>-53</v>
      </c>
      <c r="U251" s="11">
        <f>T251/'2022a_250915_0045'!L247</f>
        <v>-1.8094912939569819E-2</v>
      </c>
      <c r="V251" s="10">
        <f>M251-'2022a_250915_0045'!M247</f>
        <v>-0.65307470000000123</v>
      </c>
      <c r="W251" s="11">
        <f>V251/'2022a_250915_0045'!M247</f>
        <v>-5.8715537124082604E-2</v>
      </c>
    </row>
    <row r="252" spans="1:23" x14ac:dyDescent="0.25">
      <c r="A252">
        <v>251</v>
      </c>
      <c r="B252">
        <v>202</v>
      </c>
      <c r="C252" t="s">
        <v>45</v>
      </c>
      <c r="D252" t="s">
        <v>35</v>
      </c>
      <c r="E252" t="s">
        <v>107</v>
      </c>
      <c r="F252" t="s">
        <v>19</v>
      </c>
      <c r="G252" t="s">
        <v>20</v>
      </c>
      <c r="H252" t="s">
        <v>21</v>
      </c>
      <c r="I252" t="s">
        <v>85</v>
      </c>
      <c r="J252" t="s">
        <v>148</v>
      </c>
      <c r="K252" t="s">
        <v>23</v>
      </c>
      <c r="L252">
        <v>8360</v>
      </c>
      <c r="M252">
        <v>220.805789</v>
      </c>
      <c r="N252">
        <v>-8.9781757971358171</v>
      </c>
      <c r="O252">
        <v>2.3794324531505762E-2</v>
      </c>
      <c r="P252" s="1" t="str">
        <f>HYPERLINK(".\sm_car_251026_0925\sm_car_251026_0925_251_Ca202TrN_MaCNF_DrSt_ode23t_1.png","figure")</f>
        <v>figure</v>
      </c>
      <c r="Q252" t="s">
        <v>15</v>
      </c>
      <c r="T252">
        <f>L252-'2022a_250915_0045'!L248</f>
        <v>-78</v>
      </c>
      <c r="U252" s="11">
        <f>T252/'2022a_250915_0045'!L248</f>
        <v>-9.2438966579758228E-3</v>
      </c>
      <c r="V252" s="10">
        <f>M252-'2022a_250915_0045'!M248</f>
        <v>1.4729447999999934</v>
      </c>
      <c r="W252" s="11">
        <f>V252/'2022a_250915_0045'!M248</f>
        <v>6.7155687757227984E-3</v>
      </c>
    </row>
    <row r="253" spans="1:23" x14ac:dyDescent="0.25">
      <c r="A253">
        <v>252</v>
      </c>
      <c r="B253">
        <v>202</v>
      </c>
      <c r="C253" t="s">
        <v>45</v>
      </c>
      <c r="D253" t="s">
        <v>35</v>
      </c>
      <c r="E253" t="s">
        <v>107</v>
      </c>
      <c r="F253" t="s">
        <v>19</v>
      </c>
      <c r="G253" t="s">
        <v>20</v>
      </c>
      <c r="H253" t="s">
        <v>21</v>
      </c>
      <c r="I253" t="s">
        <v>87</v>
      </c>
      <c r="J253" t="s">
        <v>148</v>
      </c>
      <c r="K253" t="s">
        <v>23</v>
      </c>
      <c r="L253">
        <v>5157</v>
      </c>
      <c r="M253">
        <v>64.018747300000001</v>
      </c>
      <c r="N253">
        <v>-8.9900981534315569</v>
      </c>
      <c r="O253">
        <v>8.180138961622483E-3</v>
      </c>
      <c r="P253" s="1" t="str">
        <f>HYPERLINK(".\sm_car_251026_0925\sm_car_251026_0925_252_Ca202TrN_MaCSF_DrSt_ode23t_1.png","figure")</f>
        <v>figure</v>
      </c>
      <c r="Q253" t="s">
        <v>15</v>
      </c>
      <c r="T253">
        <f>L253-'2022a_250915_0045'!L249</f>
        <v>-5</v>
      </c>
      <c r="U253" s="11">
        <f>T253/'2022a_250915_0045'!L249</f>
        <v>-9.6861681518791169E-4</v>
      </c>
      <c r="V253" s="10">
        <f>M253-'2022a_250915_0045'!M249</f>
        <v>0.86176689999999923</v>
      </c>
      <c r="W253" s="11">
        <f>V253/'2022a_250915_0045'!M249</f>
        <v>1.3644840119683734E-2</v>
      </c>
    </row>
    <row r="254" spans="1:23" x14ac:dyDescent="0.25">
      <c r="A254">
        <v>253</v>
      </c>
      <c r="B254">
        <v>202</v>
      </c>
      <c r="C254" t="s">
        <v>45</v>
      </c>
      <c r="D254" t="s">
        <v>35</v>
      </c>
      <c r="E254" t="s">
        <v>107</v>
      </c>
      <c r="F254" t="s">
        <v>19</v>
      </c>
      <c r="G254" t="s">
        <v>20</v>
      </c>
      <c r="H254" t="s">
        <v>21</v>
      </c>
      <c r="I254" t="s">
        <v>78</v>
      </c>
      <c r="J254" t="s">
        <v>148</v>
      </c>
      <c r="K254" t="s">
        <v>23</v>
      </c>
      <c r="L254">
        <v>7199</v>
      </c>
      <c r="M254">
        <v>23.774258700000001</v>
      </c>
      <c r="N254">
        <v>-5.9988907716602711</v>
      </c>
      <c r="O254">
        <v>-6.2432342963856073E-3</v>
      </c>
      <c r="P254" s="1" t="str">
        <f>HYPERLINK(".\sm_car_251026_0925\sm_car_251026_0925_253_Ca202TrN_MaCMP_DrSt_ode23t_1.png","figure")</f>
        <v>figure</v>
      </c>
      <c r="Q254" t="s">
        <v>15</v>
      </c>
      <c r="T254">
        <f>L254-'2022a_250915_0045'!L250</f>
        <v>56</v>
      </c>
      <c r="U254" s="11">
        <f>T254/'2022a_250915_0045'!L250</f>
        <v>7.8398432031359377E-3</v>
      </c>
      <c r="V254" s="10">
        <f>M254-'2022a_250915_0045'!M250</f>
        <v>0.61927280000000096</v>
      </c>
      <c r="W254" s="11">
        <f>V254/'2022a_250915_0045'!M250</f>
        <v>2.6744684824014552E-2</v>
      </c>
    </row>
    <row r="255" spans="1:23" x14ac:dyDescent="0.25">
      <c r="A255">
        <v>254</v>
      </c>
      <c r="B255">
        <v>202</v>
      </c>
      <c r="C255" t="s">
        <v>45</v>
      </c>
      <c r="D255" t="s">
        <v>35</v>
      </c>
      <c r="E255" t="s">
        <v>107</v>
      </c>
      <c r="F255" t="s">
        <v>19</v>
      </c>
      <c r="G255" t="s">
        <v>20</v>
      </c>
      <c r="H255" t="s">
        <v>21</v>
      </c>
      <c r="I255" t="s">
        <v>82</v>
      </c>
      <c r="J255" t="s">
        <v>148</v>
      </c>
      <c r="K255" t="s">
        <v>23</v>
      </c>
      <c r="L255">
        <v>20050</v>
      </c>
      <c r="M255">
        <v>74.423101500000001</v>
      </c>
      <c r="N255">
        <v>-5.9994553843777556</v>
      </c>
      <c r="O255">
        <v>-2.79228268452241E-2</v>
      </c>
      <c r="P255" s="1" t="str">
        <f>HYPERLINK(".\sm_car_251026_0925\sm_car_251026_0925_254_Ca202TrN_MaCKY_DrSt_ode23t_1.png","figure")</f>
        <v>figure</v>
      </c>
      <c r="Q255" t="s">
        <v>15</v>
      </c>
      <c r="T255">
        <f>L255-'2022a_250915_0045'!L251</f>
        <v>-180</v>
      </c>
      <c r="U255" s="11">
        <f>T255/'2022a_250915_0045'!L251</f>
        <v>-8.8976767177459219E-3</v>
      </c>
      <c r="V255" s="10">
        <f>M255-'2022a_250915_0045'!M251</f>
        <v>0.63379650000000254</v>
      </c>
      <c r="W255" s="11">
        <f>V255/'2022a_250915_0045'!M251</f>
        <v>8.5892732015839229E-3</v>
      </c>
    </row>
    <row r="256" spans="1:23" x14ac:dyDescent="0.25">
      <c r="A256">
        <v>255</v>
      </c>
      <c r="B256">
        <v>202</v>
      </c>
      <c r="C256" t="s">
        <v>45</v>
      </c>
      <c r="D256" t="s">
        <v>35</v>
      </c>
      <c r="E256" t="s">
        <v>107</v>
      </c>
      <c r="F256" t="s">
        <v>19</v>
      </c>
      <c r="G256" t="s">
        <v>20</v>
      </c>
      <c r="H256" t="s">
        <v>21</v>
      </c>
      <c r="I256" t="s">
        <v>75</v>
      </c>
      <c r="J256" t="s">
        <v>148</v>
      </c>
      <c r="K256" t="s">
        <v>23</v>
      </c>
      <c r="L256">
        <v>474</v>
      </c>
      <c r="M256">
        <v>2.5096351000000001</v>
      </c>
      <c r="N256">
        <v>380.66458331191734</v>
      </c>
      <c r="O256">
        <v>0.33255620780143091</v>
      </c>
      <c r="P256" s="1" t="str">
        <f>HYPERLINK(".\sm_car_251026_0925\sm_car_251026_0925_255_Ca202TrN_MaCPL_DrSt_ode23t_1.png","figure")</f>
        <v>figure</v>
      </c>
      <c r="Q256" t="s">
        <v>15</v>
      </c>
      <c r="T256">
        <f>L256-'2022a_250915_0045'!L252</f>
        <v>19</v>
      </c>
      <c r="U256" s="11">
        <f>T256/'2022a_250915_0045'!L252</f>
        <v>4.1758241758241756E-2</v>
      </c>
      <c r="V256" s="10">
        <f>M256-'2022a_250915_0045'!M252</f>
        <v>-6.0364299999999815E-2</v>
      </c>
      <c r="W256" s="11">
        <f>V256/'2022a_250915_0045'!M252</f>
        <v>-2.3488059958301864E-2</v>
      </c>
    </row>
    <row r="257" spans="1:23" x14ac:dyDescent="0.25">
      <c r="A257">
        <v>256</v>
      </c>
      <c r="B257">
        <v>140</v>
      </c>
      <c r="C257" t="s">
        <v>45</v>
      </c>
      <c r="D257" t="s">
        <v>17</v>
      </c>
      <c r="E257" t="s">
        <v>49</v>
      </c>
      <c r="F257" t="s">
        <v>19</v>
      </c>
      <c r="G257" t="s">
        <v>26</v>
      </c>
      <c r="H257" t="s">
        <v>21</v>
      </c>
      <c r="I257" t="s">
        <v>112</v>
      </c>
      <c r="J257" t="s">
        <v>148</v>
      </c>
      <c r="K257" t="s">
        <v>23</v>
      </c>
      <c r="L257">
        <v>2630</v>
      </c>
      <c r="M257">
        <v>36.862451999999998</v>
      </c>
      <c r="N257">
        <v>189.15430692663318</v>
      </c>
      <c r="O257">
        <v>7.1084805641706528E-4</v>
      </c>
      <c r="P257" s="1" t="str">
        <f>HYPERLINK(".\sm_car_251026_0925\sm_car_251026_0925_256_Ca140TrN_MaCRR_DrSt_ode23t_1.png","figure")</f>
        <v>figure</v>
      </c>
      <c r="Q257" t="s">
        <v>15</v>
      </c>
      <c r="T257">
        <f>L257-'2022a_250915_0045'!L253</f>
        <v>-9</v>
      </c>
      <c r="U257" s="11">
        <f>T257/'2022a_250915_0045'!L253</f>
        <v>-3.4103827207275484E-3</v>
      </c>
      <c r="V257" s="10">
        <f>M257-'2022a_250915_0045'!M253</f>
        <v>0.34069209999999828</v>
      </c>
      <c r="W257" s="11">
        <f>V257/'2022a_250915_0045'!M253</f>
        <v>9.3284688616552206E-3</v>
      </c>
    </row>
    <row r="258" spans="1:23" x14ac:dyDescent="0.25">
      <c r="A258">
        <v>257</v>
      </c>
      <c r="B258">
        <v>189</v>
      </c>
      <c r="C258" t="s">
        <v>45</v>
      </c>
      <c r="D258" t="s">
        <v>17</v>
      </c>
      <c r="E258" t="s">
        <v>107</v>
      </c>
      <c r="F258" t="s">
        <v>19</v>
      </c>
      <c r="G258" t="s">
        <v>26</v>
      </c>
      <c r="H258" t="s">
        <v>21</v>
      </c>
      <c r="I258" t="s">
        <v>112</v>
      </c>
      <c r="J258" t="s">
        <v>148</v>
      </c>
      <c r="K258" t="s">
        <v>23</v>
      </c>
      <c r="L258">
        <v>3270</v>
      </c>
      <c r="M258">
        <v>32.534414499999997</v>
      </c>
      <c r="N258">
        <v>189.18372021564034</v>
      </c>
      <c r="O258">
        <v>7.1209952192259011E-4</v>
      </c>
      <c r="P258" s="1" t="str">
        <f>HYPERLINK(".\sm_car_251026_0925\sm_car_251026_0925_257_Ca189TrN_MaCRR_DrSt_ode23t_1.png","figure")</f>
        <v>figure</v>
      </c>
      <c r="Q258" t="s">
        <v>15</v>
      </c>
      <c r="T258">
        <f>L258-'2022a_250915_0045'!L254</f>
        <v>40</v>
      </c>
      <c r="U258" s="11">
        <f>T258/'2022a_250915_0045'!L254</f>
        <v>1.238390092879257E-2</v>
      </c>
      <c r="V258" s="10">
        <f>M258-'2022a_250915_0045'!M254</f>
        <v>-0.38327519999999993</v>
      </c>
      <c r="W258" s="11">
        <f>V258/'2022a_250915_0045'!M254</f>
        <v>-1.1643441672032044E-2</v>
      </c>
    </row>
    <row r="259" spans="1:23" x14ac:dyDescent="0.25">
      <c r="A259">
        <v>258</v>
      </c>
      <c r="B259">
        <v>173</v>
      </c>
      <c r="C259" t="s">
        <v>45</v>
      </c>
      <c r="D259" t="s">
        <v>35</v>
      </c>
      <c r="E259" t="s">
        <v>49</v>
      </c>
      <c r="F259" t="s">
        <v>19</v>
      </c>
      <c r="G259" t="s">
        <v>90</v>
      </c>
      <c r="H259" t="s">
        <v>21</v>
      </c>
      <c r="I259" t="s">
        <v>91</v>
      </c>
      <c r="J259" t="s">
        <v>148</v>
      </c>
      <c r="K259" t="s">
        <v>92</v>
      </c>
      <c r="L259">
        <v>1585</v>
      </c>
      <c r="M259">
        <v>57.557038499999997</v>
      </c>
      <c r="N259">
        <v>51.299534188168501</v>
      </c>
      <c r="O259">
        <v>9.1604319329928793E-3</v>
      </c>
      <c r="P259" s="1" t="str">
        <f>HYPERLINK(".\sm_car_251026_0925\sm_car_251026_0925_258_Ca173TrN_MaDCA_DrSt_daessc_1.png","figure")</f>
        <v>figure</v>
      </c>
      <c r="Q259" t="s">
        <v>15</v>
      </c>
      <c r="T259">
        <f>L259-'2022a_250915_0045'!L255</f>
        <v>-64</v>
      </c>
      <c r="U259" s="11">
        <f>T259/'2022a_250915_0045'!L255</f>
        <v>-3.8811400848999394E-2</v>
      </c>
      <c r="V259" s="10">
        <f>M259-'2022a_250915_0045'!M255</f>
        <v>-3.2458050000000043</v>
      </c>
      <c r="W259" s="11">
        <f>V259/'2022a_250915_0045'!M255</f>
        <v>-5.3382454062366413E-2</v>
      </c>
    </row>
    <row r="260" spans="1:23" x14ac:dyDescent="0.25">
      <c r="A260">
        <v>259</v>
      </c>
      <c r="B260">
        <v>173</v>
      </c>
      <c r="C260" t="s">
        <v>45</v>
      </c>
      <c r="D260" t="s">
        <v>35</v>
      </c>
      <c r="E260" t="s">
        <v>49</v>
      </c>
      <c r="F260" t="s">
        <v>19</v>
      </c>
      <c r="G260" t="s">
        <v>90</v>
      </c>
      <c r="H260" t="s">
        <v>21</v>
      </c>
      <c r="I260" t="s">
        <v>93</v>
      </c>
      <c r="J260" t="s">
        <v>148</v>
      </c>
      <c r="K260" t="s">
        <v>92</v>
      </c>
      <c r="L260">
        <v>4058</v>
      </c>
      <c r="M260">
        <v>95.913478299999994</v>
      </c>
      <c r="N260">
        <v>980.46354871327242</v>
      </c>
      <c r="O260">
        <v>0.73484804721980235</v>
      </c>
      <c r="P260" s="1" t="str">
        <f>HYPERLINK(".\sm_car_251026_0925\sm_car_251026_0925_259_Ca173TrN_MaDC1_DrSt_daessc_1.png","figure")</f>
        <v>figure</v>
      </c>
      <c r="Q260" t="s">
        <v>15</v>
      </c>
      <c r="T260">
        <f>L260-'2022a_250915_0045'!L256</f>
        <v>-73</v>
      </c>
      <c r="U260" s="11">
        <f>T260/'2022a_250915_0045'!L256</f>
        <v>-1.7671266037279108E-2</v>
      </c>
      <c r="V260" s="10">
        <f>M260-'2022a_250915_0045'!M256</f>
        <v>-2.4423021000000062</v>
      </c>
      <c r="W260" s="11">
        <f>V260/'2022a_250915_0045'!M256</f>
        <v>-2.4831302136666348E-2</v>
      </c>
    </row>
    <row r="261" spans="1:23" x14ac:dyDescent="0.25">
      <c r="A261">
        <v>260</v>
      </c>
      <c r="B261">
        <v>165</v>
      </c>
      <c r="C261" t="s">
        <v>45</v>
      </c>
      <c r="D261" t="s">
        <v>35</v>
      </c>
      <c r="E261" t="s">
        <v>49</v>
      </c>
      <c r="F261" t="s">
        <v>19</v>
      </c>
      <c r="G261" t="s">
        <v>26</v>
      </c>
      <c r="H261" t="s">
        <v>21</v>
      </c>
      <c r="I261" t="s">
        <v>91</v>
      </c>
      <c r="J261" t="s">
        <v>148</v>
      </c>
      <c r="K261" t="s">
        <v>23</v>
      </c>
      <c r="L261">
        <v>320</v>
      </c>
      <c r="M261">
        <v>4.1118442000000002</v>
      </c>
      <c r="N261">
        <v>53.50828056692022</v>
      </c>
      <c r="O261">
        <v>1.0033865208921076E-2</v>
      </c>
      <c r="P261" s="1" t="str">
        <f>HYPERLINK(".\sm_car_251026_0925\sm_car_251026_0925_260_Ca165TrN_MaDCA_DrSt_ode23t_1.png","figure")</f>
        <v>figure</v>
      </c>
      <c r="Q261" t="s">
        <v>15</v>
      </c>
      <c r="T261">
        <f>L261-'2022a_250915_0045'!L257</f>
        <v>-1</v>
      </c>
      <c r="U261" s="11">
        <f>T261/'2022a_250915_0045'!L257</f>
        <v>-3.1152647975077881E-3</v>
      </c>
      <c r="V261" s="10">
        <f>M261-'2022a_250915_0045'!M257</f>
        <v>0.53510310000000016</v>
      </c>
      <c r="W261" s="11">
        <f>V261/'2022a_250915_0045'!M257</f>
        <v>0.14960632739115509</v>
      </c>
    </row>
    <row r="262" spans="1:23" x14ac:dyDescent="0.25">
      <c r="A262">
        <v>261</v>
      </c>
      <c r="B262">
        <v>165</v>
      </c>
      <c r="C262" t="s">
        <v>45</v>
      </c>
      <c r="D262" t="s">
        <v>35</v>
      </c>
      <c r="E262" t="s">
        <v>49</v>
      </c>
      <c r="F262" t="s">
        <v>19</v>
      </c>
      <c r="G262" t="s">
        <v>26</v>
      </c>
      <c r="H262" t="s">
        <v>21</v>
      </c>
      <c r="I262" t="s">
        <v>93</v>
      </c>
      <c r="J262" t="s">
        <v>148</v>
      </c>
      <c r="K262" t="s">
        <v>23</v>
      </c>
      <c r="L262">
        <v>1186</v>
      </c>
      <c r="M262">
        <v>8.5584734999999998</v>
      </c>
      <c r="N262">
        <v>992.6536892903797</v>
      </c>
      <c r="O262">
        <v>0.79320278077776707</v>
      </c>
      <c r="P262" s="1" t="str">
        <f>HYPERLINK(".\sm_car_251026_0925\sm_car_251026_0925_261_Ca165TrN_MaDC1_DrSt_ode23t_1.png","figure")</f>
        <v>figure</v>
      </c>
      <c r="Q262" t="s">
        <v>15</v>
      </c>
      <c r="T262">
        <f>L262-'2022a_250915_0045'!L258</f>
        <v>-2</v>
      </c>
      <c r="U262" s="11">
        <f>T262/'2022a_250915_0045'!L258</f>
        <v>-1.6835016835016834E-3</v>
      </c>
      <c r="V262" s="10">
        <f>M262-'2022a_250915_0045'!M258</f>
        <v>0.91667520000000025</v>
      </c>
      <c r="W262" s="11">
        <f>V262/'2022a_250915_0045'!M258</f>
        <v>0.11995542986262805</v>
      </c>
    </row>
    <row r="263" spans="1:23" x14ac:dyDescent="0.25">
      <c r="A263">
        <v>262</v>
      </c>
      <c r="B263">
        <v>196</v>
      </c>
      <c r="C263" t="s">
        <v>45</v>
      </c>
      <c r="D263" t="s">
        <v>35</v>
      </c>
      <c r="E263" t="s">
        <v>107</v>
      </c>
      <c r="F263" t="s">
        <v>19</v>
      </c>
      <c r="G263" t="s">
        <v>90</v>
      </c>
      <c r="H263" t="s">
        <v>21</v>
      </c>
      <c r="I263" t="s">
        <v>93</v>
      </c>
      <c r="J263" t="s">
        <v>148</v>
      </c>
      <c r="K263" t="s">
        <v>92</v>
      </c>
      <c r="L263">
        <v>4137</v>
      </c>
      <c r="M263">
        <v>51.336344699999998</v>
      </c>
      <c r="N263">
        <v>980.46102738336697</v>
      </c>
      <c r="O263">
        <v>0.73496340483276612</v>
      </c>
      <c r="P263" s="1" t="str">
        <f>HYPERLINK(".\sm_car_251026_0925\sm_car_251026_0925_262_Ca196TrN_MaDC1_DrSt_daessc_1.png","figure")</f>
        <v>figure</v>
      </c>
      <c r="Q263" t="s">
        <v>15</v>
      </c>
      <c r="T263">
        <f>L263-'2022a_250915_0045'!L259</f>
        <v>204</v>
      </c>
      <c r="U263" s="11">
        <f>T263/'2022a_250915_0045'!L259</f>
        <v>5.186880244088482E-2</v>
      </c>
      <c r="V263" s="10">
        <f>M263-'2022a_250915_0045'!M259</f>
        <v>9.9718379999999982</v>
      </c>
      <c r="W263" s="11">
        <f>V263/'2022a_250915_0045'!M259</f>
        <v>0.24107232977106913</v>
      </c>
    </row>
    <row r="264" spans="1:23" x14ac:dyDescent="0.25">
      <c r="A264">
        <v>263</v>
      </c>
      <c r="B264">
        <v>179</v>
      </c>
      <c r="C264" t="s">
        <v>45</v>
      </c>
      <c r="D264" t="s">
        <v>57</v>
      </c>
      <c r="E264" t="s">
        <v>18</v>
      </c>
      <c r="F264" t="s">
        <v>19</v>
      </c>
      <c r="G264" t="s">
        <v>26</v>
      </c>
      <c r="H264" t="s">
        <v>21</v>
      </c>
      <c r="I264" t="s">
        <v>22</v>
      </c>
      <c r="J264" t="s">
        <v>148</v>
      </c>
      <c r="K264" t="s">
        <v>23</v>
      </c>
      <c r="L264">
        <v>475</v>
      </c>
      <c r="M264">
        <v>5.0358421</v>
      </c>
      <c r="N264">
        <v>147.79791096322953</v>
      </c>
      <c r="O264">
        <v>9.6090719978941308E-2</v>
      </c>
      <c r="P264" s="1" t="str">
        <f>HYPERLINK(".\sm_car_251026_0925\sm_car_251026_0925_263_Ca179TrN_MaWOT_DrSt_ode23t_1.png","figure")</f>
        <v>figure</v>
      </c>
      <c r="Q264" t="s">
        <v>15</v>
      </c>
      <c r="T264">
        <f>L264-'2022a_250915_0045'!L260</f>
        <v>-6</v>
      </c>
      <c r="U264" s="11">
        <f>T264/'2022a_250915_0045'!L260</f>
        <v>-1.2474012474012475E-2</v>
      </c>
      <c r="V264" s="10">
        <f>M264-'2022a_250915_0045'!M260</f>
        <v>0.16143529999999995</v>
      </c>
      <c r="W264" s="11">
        <f>V264/'2022a_250915_0045'!M260</f>
        <v>3.3118963316726036E-2</v>
      </c>
    </row>
    <row r="265" spans="1:23" x14ac:dyDescent="0.25">
      <c r="A265">
        <v>264</v>
      </c>
      <c r="B265">
        <v>180</v>
      </c>
      <c r="C265" t="s">
        <v>45</v>
      </c>
      <c r="D265" t="s">
        <v>57</v>
      </c>
      <c r="E265" t="s">
        <v>49</v>
      </c>
      <c r="F265" t="s">
        <v>19</v>
      </c>
      <c r="G265" t="s">
        <v>26</v>
      </c>
      <c r="H265" t="s">
        <v>21</v>
      </c>
      <c r="I265" t="s">
        <v>22</v>
      </c>
      <c r="J265" t="s">
        <v>148</v>
      </c>
      <c r="K265" t="s">
        <v>23</v>
      </c>
      <c r="L265">
        <v>501</v>
      </c>
      <c r="M265">
        <v>7.3947624000000003</v>
      </c>
      <c r="N265">
        <v>147.84848020290528</v>
      </c>
      <c r="O265">
        <v>9.6072610475325157E-2</v>
      </c>
      <c r="P265" s="1" t="str">
        <f>HYPERLINK(".\sm_car_251026_0925\sm_car_251026_0925_264_Ca180TrN_MaWOT_DrSt_ode23t_1.png","figure")</f>
        <v>figure</v>
      </c>
      <c r="Q265" t="s">
        <v>15</v>
      </c>
      <c r="T265">
        <f>L265-'2022a_250915_0045'!L261</f>
        <v>-17</v>
      </c>
      <c r="U265" s="11">
        <f>T265/'2022a_250915_0045'!L261</f>
        <v>-3.2818532818532815E-2</v>
      </c>
      <c r="V265" s="10">
        <f>M265-'2022a_250915_0045'!M261</f>
        <v>0.65197920000000043</v>
      </c>
      <c r="W265" s="11">
        <f>V265/'2022a_250915_0045'!M261</f>
        <v>9.669289085254891E-2</v>
      </c>
    </row>
    <row r="266" spans="1:23" x14ac:dyDescent="0.25">
      <c r="A266">
        <v>265</v>
      </c>
      <c r="B266">
        <v>197</v>
      </c>
      <c r="C266" t="s">
        <v>45</v>
      </c>
      <c r="D266" t="s">
        <v>57</v>
      </c>
      <c r="E266" t="s">
        <v>107</v>
      </c>
      <c r="F266" t="s">
        <v>19</v>
      </c>
      <c r="G266" t="s">
        <v>26</v>
      </c>
      <c r="H266" t="s">
        <v>21</v>
      </c>
      <c r="I266" t="s">
        <v>22</v>
      </c>
      <c r="J266" t="s">
        <v>148</v>
      </c>
      <c r="K266" t="s">
        <v>23</v>
      </c>
      <c r="L266">
        <v>450</v>
      </c>
      <c r="M266">
        <v>2.3492622999999999</v>
      </c>
      <c r="N266">
        <v>147.81194962631631</v>
      </c>
      <c r="O266">
        <v>9.5951331480630425E-2</v>
      </c>
      <c r="P266" s="1" t="str">
        <f>HYPERLINK(".\sm_car_251026_0925\sm_car_251026_0925_265_Ca197TrN_MaWOT_DrSt_ode23t_1.png","figure")</f>
        <v>figure</v>
      </c>
      <c r="Q266" t="s">
        <v>15</v>
      </c>
      <c r="T266">
        <f>L266-'2022a_250915_0045'!L262</f>
        <v>9</v>
      </c>
      <c r="U266" s="11">
        <f>T266/'2022a_250915_0045'!L262</f>
        <v>2.0408163265306121E-2</v>
      </c>
      <c r="V266" s="10">
        <f>M266-'2022a_250915_0045'!M262</f>
        <v>0.29331780000000007</v>
      </c>
      <c r="W266" s="11">
        <f>V266/'2022a_250915_0045'!M262</f>
        <v>0.14266815081827358</v>
      </c>
    </row>
    <row r="267" spans="1:23" x14ac:dyDescent="0.25">
      <c r="A267">
        <v>266</v>
      </c>
      <c r="B267">
        <v>182</v>
      </c>
      <c r="C267" t="s">
        <v>45</v>
      </c>
      <c r="D267" t="s">
        <v>17</v>
      </c>
      <c r="E267" t="s">
        <v>49</v>
      </c>
      <c r="F267" t="s">
        <v>19</v>
      </c>
      <c r="G267" t="s">
        <v>26</v>
      </c>
      <c r="H267" t="s">
        <v>21</v>
      </c>
      <c r="I267" t="s">
        <v>64</v>
      </c>
      <c r="J267" t="s">
        <v>148</v>
      </c>
      <c r="K267" t="s">
        <v>23</v>
      </c>
      <c r="L267">
        <v>425</v>
      </c>
      <c r="M267">
        <v>13.0271577</v>
      </c>
      <c r="N267">
        <v>61.843650858857856</v>
      </c>
      <c r="O267">
        <v>-24.157975329121015</v>
      </c>
      <c r="P267" s="1" t="str">
        <f>HYPERLINK(".\sm_car_251026_0925\sm_car_251026_0925_266_Ca182TrN_MaTUR_DrSt_ode23t_1.png","figure")</f>
        <v>figure</v>
      </c>
      <c r="Q267" t="s">
        <v>15</v>
      </c>
      <c r="T267">
        <f>L267-'2022a_250915_0045'!L263</f>
        <v>-14</v>
      </c>
      <c r="U267" s="11">
        <f>T267/'2022a_250915_0045'!L263</f>
        <v>-3.1890660592255128E-2</v>
      </c>
      <c r="V267" s="10">
        <f>M267-'2022a_250915_0045'!M263</f>
        <v>1.1826895999999998</v>
      </c>
      <c r="W267" s="11">
        <f>V267/'2022a_250915_0045'!M263</f>
        <v>9.9851642979223332E-2</v>
      </c>
    </row>
    <row r="268" spans="1:23" x14ac:dyDescent="0.25">
      <c r="A268">
        <v>267</v>
      </c>
      <c r="B268">
        <v>203</v>
      </c>
      <c r="C268" t="s">
        <v>45</v>
      </c>
      <c r="D268" t="s">
        <v>17</v>
      </c>
      <c r="E268" t="s">
        <v>107</v>
      </c>
      <c r="F268" t="s">
        <v>19</v>
      </c>
      <c r="G268" t="s">
        <v>26</v>
      </c>
      <c r="H268" t="s">
        <v>21</v>
      </c>
      <c r="I268" t="s">
        <v>64</v>
      </c>
      <c r="J268" t="s">
        <v>148</v>
      </c>
      <c r="K268" t="s">
        <v>23</v>
      </c>
      <c r="L268">
        <v>377</v>
      </c>
      <c r="M268">
        <v>4.4769034999999997</v>
      </c>
      <c r="N268">
        <v>61.845585844015361</v>
      </c>
      <c r="O268">
        <v>-24.168117234201031</v>
      </c>
      <c r="P268" s="1" t="str">
        <f>HYPERLINK(".\sm_car_251026_0925\sm_car_251026_0925_267_Ca203TrN_MaTUR_DrSt_ode23t_1.png","figure")</f>
        <v>figure</v>
      </c>
      <c r="Q268" t="s">
        <v>15</v>
      </c>
      <c r="T268">
        <f>L268-'2022a_250915_0045'!L264</f>
        <v>-8</v>
      </c>
      <c r="U268" s="11">
        <f>T268/'2022a_250915_0045'!L264</f>
        <v>-2.0779220779220779E-2</v>
      </c>
      <c r="V268" s="10">
        <f>M268-'2022a_250915_0045'!M264</f>
        <v>0.1721838</v>
      </c>
      <c r="W268" s="11">
        <f>V268/'2022a_250915_0045'!M264</f>
        <v>3.9998841271825437E-2</v>
      </c>
    </row>
    <row r="269" spans="1:23" x14ac:dyDescent="0.25">
      <c r="A269">
        <v>268</v>
      </c>
      <c r="B269">
        <v>185</v>
      </c>
      <c r="C269" t="s">
        <v>45</v>
      </c>
      <c r="D269" t="s">
        <v>17</v>
      </c>
      <c r="E269" t="s">
        <v>18</v>
      </c>
      <c r="F269" t="s">
        <v>19</v>
      </c>
      <c r="G269" t="s">
        <v>26</v>
      </c>
      <c r="H269" t="s">
        <v>21</v>
      </c>
      <c r="I269" t="s">
        <v>64</v>
      </c>
      <c r="J269" t="s">
        <v>148</v>
      </c>
      <c r="K269" t="s">
        <v>23</v>
      </c>
      <c r="L269">
        <v>528</v>
      </c>
      <c r="M269">
        <v>20.923625600000001</v>
      </c>
      <c r="N269">
        <v>111.93721477114244</v>
      </c>
      <c r="O269">
        <v>-78.480709647680641</v>
      </c>
      <c r="P269" s="1" t="str">
        <f>HYPERLINK(".\sm_car_251026_0925\sm_car_251026_0925_268_Ca185TrN_MaTUR_DrSt_ode23t_1.png","figure")</f>
        <v>figure</v>
      </c>
      <c r="Q269" t="s">
        <v>15</v>
      </c>
      <c r="T269">
        <f>L269-'2022a_250915_0045'!L265</f>
        <v>11</v>
      </c>
      <c r="U269" s="11">
        <f>T269/'2022a_250915_0045'!L265</f>
        <v>2.1276595744680851E-2</v>
      </c>
      <c r="V269" s="10">
        <f>M269-'2022a_250915_0045'!M265</f>
        <v>2.0787065000000027</v>
      </c>
      <c r="W269" s="11">
        <f>V269/'2022a_250915_0045'!M265</f>
        <v>0.11030593917487302</v>
      </c>
    </row>
    <row r="270" spans="1:23" x14ac:dyDescent="0.25">
      <c r="A270">
        <v>269</v>
      </c>
      <c r="B270">
        <v>188</v>
      </c>
      <c r="C270" t="s">
        <v>45</v>
      </c>
      <c r="D270" t="s">
        <v>113</v>
      </c>
      <c r="E270" t="s">
        <v>49</v>
      </c>
      <c r="F270" t="s">
        <v>19</v>
      </c>
      <c r="G270" t="s">
        <v>26</v>
      </c>
      <c r="H270" t="s">
        <v>21</v>
      </c>
      <c r="I270" t="s">
        <v>64</v>
      </c>
      <c r="J270" t="s">
        <v>148</v>
      </c>
      <c r="K270" t="s">
        <v>23</v>
      </c>
      <c r="L270">
        <v>545</v>
      </c>
      <c r="M270">
        <v>8.5329014999999995</v>
      </c>
      <c r="N270">
        <v>140.61608082205137</v>
      </c>
      <c r="O270">
        <v>-71.731282511533919</v>
      </c>
      <c r="P270" s="1" t="str">
        <f>HYPERLINK(".\sm_car_251026_0925\sm_car_251026_0925_269_Ca188TrN_MaTUR_DrSt_ode23t_1.png","figure")</f>
        <v>figure</v>
      </c>
      <c r="Q270" t="s">
        <v>15</v>
      </c>
      <c r="T270">
        <f>L270-'2022a_250915_0045'!L266</f>
        <v>-1</v>
      </c>
      <c r="U270" s="11">
        <f>T270/'2022a_250915_0045'!L266</f>
        <v>-1.8315018315018315E-3</v>
      </c>
      <c r="V270" s="10">
        <f>M270-'2022a_250915_0045'!M266</f>
        <v>1.3105927999999993</v>
      </c>
      <c r="W270" s="11">
        <f>V270/'2022a_250915_0045'!M266</f>
        <v>0.18146452255633982</v>
      </c>
    </row>
    <row r="271" spans="1:23" x14ac:dyDescent="0.25">
      <c r="A271">
        <v>270</v>
      </c>
      <c r="B271" t="s">
        <v>94</v>
      </c>
      <c r="C271" t="s">
        <v>95</v>
      </c>
      <c r="D271" t="s">
        <v>35</v>
      </c>
      <c r="E271" t="s">
        <v>18</v>
      </c>
      <c r="F271" t="s">
        <v>19</v>
      </c>
      <c r="G271" t="s">
        <v>96</v>
      </c>
      <c r="H271" t="s">
        <v>21</v>
      </c>
      <c r="I271" t="s">
        <v>22</v>
      </c>
      <c r="J271" t="s">
        <v>148</v>
      </c>
      <c r="K271" t="s">
        <v>23</v>
      </c>
      <c r="L271">
        <v>436</v>
      </c>
      <c r="M271">
        <v>11.4636066</v>
      </c>
      <c r="N271">
        <v>79.219818829831254</v>
      </c>
      <c r="O271">
        <v>-0.33364484011650863</v>
      </c>
      <c r="P271" s="1" t="str">
        <f>HYPERLINK(".\sm_car_251026_0925\sm_car_Axle3_251026_0925_270_CaAxle3_000TrN_MaWOT_DrSt_ode23t_1.png","figure")</f>
        <v>figure</v>
      </c>
      <c r="Q271" t="s">
        <v>15</v>
      </c>
      <c r="T271">
        <f>L271-'2022a_250915_0045'!L267</f>
        <v>-5</v>
      </c>
      <c r="U271" s="11">
        <f>T271/'2022a_250915_0045'!L267</f>
        <v>-1.1337868480725623E-2</v>
      </c>
      <c r="V271" s="10">
        <f>M271-'2022a_250915_0045'!M267</f>
        <v>-2.6812559</v>
      </c>
      <c r="W271" s="11">
        <f>V271/'2022a_250915_0045'!M267</f>
        <v>-0.18955687268080548</v>
      </c>
    </row>
    <row r="272" spans="1:23" x14ac:dyDescent="0.25">
      <c r="A272">
        <v>271</v>
      </c>
      <c r="B272" t="s">
        <v>99</v>
      </c>
      <c r="C272" t="s">
        <v>100</v>
      </c>
      <c r="D272" t="s">
        <v>35</v>
      </c>
      <c r="E272" t="s">
        <v>18</v>
      </c>
      <c r="F272" t="s">
        <v>19</v>
      </c>
      <c r="G272" t="s">
        <v>96</v>
      </c>
      <c r="H272" t="s">
        <v>21</v>
      </c>
      <c r="I272" t="s">
        <v>22</v>
      </c>
      <c r="J272" t="s">
        <v>148</v>
      </c>
      <c r="K272" t="s">
        <v>23</v>
      </c>
      <c r="L272">
        <v>550</v>
      </c>
      <c r="M272">
        <v>13.8762183</v>
      </c>
      <c r="N272">
        <v>61.779965246863227</v>
      </c>
      <c r="O272">
        <v>-7.8806101538501441E-2</v>
      </c>
      <c r="P272" s="1" t="str">
        <f>HYPERLINK(".\sm_car_251026_0925\sm_car_Axle3_251026_0925_271_CaAxle3_008TrN_MaWOT_DrSt_ode23t_1.png","figure")</f>
        <v>figure</v>
      </c>
      <c r="Q272" t="s">
        <v>15</v>
      </c>
      <c r="T272">
        <f>L272-'2022a_250915_0045'!L268</f>
        <v>2</v>
      </c>
      <c r="U272" s="11">
        <f>T272/'2022a_250915_0045'!L268</f>
        <v>3.6496350364963502E-3</v>
      </c>
      <c r="V272" s="10">
        <f>M272-'2022a_250915_0045'!M268</f>
        <v>-2.2404406000000012</v>
      </c>
      <c r="W272" s="11">
        <f>V272/'2022a_250915_0045'!M268</f>
        <v>-0.13901396151034759</v>
      </c>
    </row>
    <row r="273" spans="1:23" x14ac:dyDescent="0.25">
      <c r="A273">
        <v>272</v>
      </c>
      <c r="B273" t="s">
        <v>97</v>
      </c>
      <c r="C273" t="s">
        <v>95</v>
      </c>
      <c r="D273" t="s">
        <v>35</v>
      </c>
      <c r="E273" t="s">
        <v>49</v>
      </c>
      <c r="F273" t="s">
        <v>19</v>
      </c>
      <c r="G273" t="s">
        <v>98</v>
      </c>
      <c r="H273" t="s">
        <v>21</v>
      </c>
      <c r="I273" t="s">
        <v>22</v>
      </c>
      <c r="J273" t="s">
        <v>148</v>
      </c>
      <c r="K273" t="s">
        <v>23</v>
      </c>
      <c r="L273">
        <v>424</v>
      </c>
      <c r="M273">
        <v>13.925028899999999</v>
      </c>
      <c r="N273">
        <v>79.244220046451531</v>
      </c>
      <c r="O273">
        <v>-0.31301972908609804</v>
      </c>
      <c r="P273" s="1" t="str">
        <f>HYPERLINK(".\sm_car_251026_0925\sm_car_Axle3_251026_0925_272_CaAxle3_003TrN_MaWOT_DrSt_ode23t_1.png","figure")</f>
        <v>figure</v>
      </c>
      <c r="Q273" t="s">
        <v>15</v>
      </c>
      <c r="T273">
        <f>L273-'2022a_250915_0045'!L269</f>
        <v>-1</v>
      </c>
      <c r="U273" s="11">
        <f>T273/'2022a_250915_0045'!L269</f>
        <v>-2.352941176470588E-3</v>
      </c>
      <c r="V273" s="10">
        <f>M273-'2022a_250915_0045'!M269</f>
        <v>1.3694314999999992</v>
      </c>
      <c r="W273" s="11">
        <f>V273/'2022a_250915_0045'!M269</f>
        <v>0.10906940198640004</v>
      </c>
    </row>
    <row r="274" spans="1:23" x14ac:dyDescent="0.25">
      <c r="A274">
        <v>273</v>
      </c>
      <c r="B274" t="s">
        <v>114</v>
      </c>
      <c r="C274" t="s">
        <v>95</v>
      </c>
      <c r="D274" t="s">
        <v>35</v>
      </c>
      <c r="E274" t="s">
        <v>107</v>
      </c>
      <c r="F274" t="s">
        <v>19</v>
      </c>
      <c r="G274" t="s">
        <v>98</v>
      </c>
      <c r="H274" t="s">
        <v>21</v>
      </c>
      <c r="I274" t="s">
        <v>22</v>
      </c>
      <c r="J274" t="s">
        <v>148</v>
      </c>
      <c r="K274" t="s">
        <v>23</v>
      </c>
      <c r="L274">
        <v>429</v>
      </c>
      <c r="M274">
        <v>2.0721216999999998</v>
      </c>
      <c r="N274">
        <v>80.123292057732073</v>
      </c>
      <c r="O274">
        <v>-0.31923679570934638</v>
      </c>
      <c r="P274" s="1" t="str">
        <f>HYPERLINK(".\sm_car_251026_0925\sm_car_Axle3_251026_0925_273_CaAxle3_017TrN_MaWOT_DrSt_ode23t_1.png","figure")</f>
        <v>figure</v>
      </c>
      <c r="Q274" t="s">
        <v>15</v>
      </c>
      <c r="T274">
        <f>L274-'2022a_250915_0045'!L270</f>
        <v>2</v>
      </c>
      <c r="U274" s="11">
        <f>T274/'2022a_250915_0045'!L270</f>
        <v>4.6838407494145199E-3</v>
      </c>
      <c r="V274" s="10">
        <f>M274-'2022a_250915_0045'!M270</f>
        <v>8.6914999999998521E-3</v>
      </c>
      <c r="W274" s="11">
        <f>V274/'2022a_250915_0045'!M270</f>
        <v>4.2121608959682045E-3</v>
      </c>
    </row>
    <row r="275" spans="1:23" x14ac:dyDescent="0.25">
      <c r="A275">
        <v>274</v>
      </c>
      <c r="B275" t="s">
        <v>101</v>
      </c>
      <c r="C275" t="s">
        <v>100</v>
      </c>
      <c r="D275" t="s">
        <v>35</v>
      </c>
      <c r="E275" t="s">
        <v>49</v>
      </c>
      <c r="F275" t="s">
        <v>19</v>
      </c>
      <c r="G275" t="s">
        <v>96</v>
      </c>
      <c r="H275" t="s">
        <v>102</v>
      </c>
      <c r="I275" t="s">
        <v>22</v>
      </c>
      <c r="J275" t="s">
        <v>148</v>
      </c>
      <c r="K275" t="s">
        <v>23</v>
      </c>
      <c r="L275">
        <v>394</v>
      </c>
      <c r="M275">
        <v>34.806767800000003</v>
      </c>
      <c r="N275">
        <v>44.186629977333212</v>
      </c>
      <c r="O275">
        <v>2.2669532155305261E-2</v>
      </c>
      <c r="P275" s="1" t="str">
        <f>HYPERLINK(".\sm_car_251026_0925\sm_car_Axle3_251026_0925_274_CaAxle3_010TrK_MaWOT_DrSt_ode23t_1.png","figure")</f>
        <v>figure</v>
      </c>
      <c r="Q275" t="s">
        <v>15</v>
      </c>
      <c r="T275">
        <f>L275-'2022a_250915_0045'!L271</f>
        <v>1</v>
      </c>
      <c r="U275" s="11">
        <f>T275/'2022a_250915_0045'!L271</f>
        <v>2.5445292620865142E-3</v>
      </c>
      <c r="V275" s="10">
        <f>M275-'2022a_250915_0045'!M271</f>
        <v>1.7336184000000046</v>
      </c>
      <c r="W275" s="11">
        <f>V275/'2022a_250915_0045'!M271</f>
        <v>5.2417699295368728E-2</v>
      </c>
    </row>
    <row r="276" spans="1:23" x14ac:dyDescent="0.25">
      <c r="A276">
        <v>275</v>
      </c>
      <c r="B276" t="s">
        <v>101</v>
      </c>
      <c r="C276" t="s">
        <v>100</v>
      </c>
      <c r="D276" t="s">
        <v>35</v>
      </c>
      <c r="E276" t="s">
        <v>49</v>
      </c>
      <c r="F276" t="s">
        <v>19</v>
      </c>
      <c r="G276" t="s">
        <v>96</v>
      </c>
      <c r="H276" t="s">
        <v>102</v>
      </c>
      <c r="I276" t="s">
        <v>22</v>
      </c>
      <c r="J276" t="s">
        <v>148</v>
      </c>
      <c r="K276" t="s">
        <v>23</v>
      </c>
      <c r="L276">
        <v>402</v>
      </c>
      <c r="M276">
        <v>36.142996099999998</v>
      </c>
      <c r="N276">
        <v>44.313324382437685</v>
      </c>
      <c r="O276">
        <v>2.2830859581618707E-2</v>
      </c>
      <c r="P276" s="1" t="str">
        <f>HYPERLINK(".\sm_car_251026_0925\sm_car_Axle3_251026_0925_275_CaAxle3_010TrK_MaWOT_DrSt_ode23t_1.png","figure")</f>
        <v>figure</v>
      </c>
      <c r="Q276" t="s">
        <v>15</v>
      </c>
      <c r="T276">
        <f>L276-'2022a_250915_0045'!L272</f>
        <v>-4</v>
      </c>
      <c r="U276" s="11">
        <f>T276/'2022a_250915_0045'!L272</f>
        <v>-9.852216748768473E-3</v>
      </c>
      <c r="V276" s="10">
        <f>M276-'2022a_250915_0045'!M272</f>
        <v>3.1774543999999949</v>
      </c>
      <c r="W276" s="11">
        <f>V276/'2022a_250915_0045'!M272</f>
        <v>9.6387143548743642E-2</v>
      </c>
    </row>
    <row r="277" spans="1:23" x14ac:dyDescent="0.25">
      <c r="A277">
        <v>276</v>
      </c>
      <c r="B277" t="s">
        <v>115</v>
      </c>
      <c r="C277" t="s">
        <v>100</v>
      </c>
      <c r="D277" t="s">
        <v>35</v>
      </c>
      <c r="E277" t="s">
        <v>107</v>
      </c>
      <c r="F277" t="s">
        <v>19</v>
      </c>
      <c r="G277" t="s">
        <v>96</v>
      </c>
      <c r="H277" t="s">
        <v>102</v>
      </c>
      <c r="I277" t="s">
        <v>22</v>
      </c>
      <c r="J277" t="s">
        <v>148</v>
      </c>
      <c r="K277" t="s">
        <v>23</v>
      </c>
      <c r="L277">
        <v>398</v>
      </c>
      <c r="M277">
        <v>2.8903129000000001</v>
      </c>
      <c r="N277">
        <v>48.183472871961619</v>
      </c>
      <c r="O277">
        <v>2.6474429800889994E-2</v>
      </c>
      <c r="P277" s="1" t="str">
        <f>HYPERLINK(".\sm_car_251026_0925\sm_car_Axle3_251026_0925_276_CaAxle3_019TrK_MaWOT_DrSt_ode23t_1.png","figure")</f>
        <v>figure</v>
      </c>
      <c r="Q277" t="s">
        <v>15</v>
      </c>
      <c r="T277">
        <f>L277-'2022a_250915_0045'!L273</f>
        <v>0</v>
      </c>
      <c r="U277" s="11">
        <f>T277/'2022a_250915_0045'!L273</f>
        <v>0</v>
      </c>
      <c r="V277" s="10">
        <f>M277-'2022a_250915_0045'!M273</f>
        <v>-1.2384799999999974E-2</v>
      </c>
      <c r="W277" s="11">
        <f>V277/'2022a_250915_0045'!M273</f>
        <v>-4.2666516737171678E-3</v>
      </c>
    </row>
    <row r="278" spans="1:23" x14ac:dyDescent="0.25">
      <c r="A278">
        <v>277</v>
      </c>
      <c r="B278" t="s">
        <v>115</v>
      </c>
      <c r="C278" t="s">
        <v>100</v>
      </c>
      <c r="D278" t="s">
        <v>35</v>
      </c>
      <c r="E278" t="s">
        <v>107</v>
      </c>
      <c r="F278" t="s">
        <v>19</v>
      </c>
      <c r="G278" t="s">
        <v>96</v>
      </c>
      <c r="H278" t="s">
        <v>102</v>
      </c>
      <c r="I278" t="s">
        <v>22</v>
      </c>
      <c r="J278" t="s">
        <v>148</v>
      </c>
      <c r="K278" t="s">
        <v>23</v>
      </c>
      <c r="L278">
        <v>401</v>
      </c>
      <c r="M278">
        <v>2.9276917999999998</v>
      </c>
      <c r="N278">
        <v>48.113114238449199</v>
      </c>
      <c r="O278">
        <v>2.6374437133312036E-2</v>
      </c>
      <c r="P278" s="1" t="str">
        <f>HYPERLINK(".\sm_car_251026_0925\sm_car_Axle3_251026_0925_277_CaAxle3_019TrK_MaWOT_DrSt_ode23t_1.png","figure")</f>
        <v>figure</v>
      </c>
      <c r="Q278" t="s">
        <v>15</v>
      </c>
      <c r="T278">
        <f>L278-'2022a_250915_0045'!L274</f>
        <v>0</v>
      </c>
      <c r="U278" s="11">
        <f>T278/'2022a_250915_0045'!L274</f>
        <v>0</v>
      </c>
      <c r="V278" s="10">
        <f>M278-'2022a_250915_0045'!M274</f>
        <v>-8.6840100000000309E-2</v>
      </c>
      <c r="W278" s="11">
        <f>V278/'2022a_250915_0045'!M274</f>
        <v>-2.880715908164724E-2</v>
      </c>
    </row>
    <row r="279" spans="1:23" x14ac:dyDescent="0.25">
      <c r="A279">
        <v>278</v>
      </c>
      <c r="B279" t="s">
        <v>115</v>
      </c>
      <c r="C279" t="s">
        <v>100</v>
      </c>
      <c r="D279" t="s">
        <v>35</v>
      </c>
      <c r="E279" t="s">
        <v>107</v>
      </c>
      <c r="F279" t="s">
        <v>19</v>
      </c>
      <c r="G279" t="s">
        <v>96</v>
      </c>
      <c r="H279" t="s">
        <v>102</v>
      </c>
      <c r="I279" t="s">
        <v>53</v>
      </c>
      <c r="J279" t="s">
        <v>148</v>
      </c>
      <c r="K279" t="s">
        <v>23</v>
      </c>
      <c r="L279">
        <v>642</v>
      </c>
      <c r="M279">
        <v>4.6757257000000001</v>
      </c>
      <c r="N279">
        <v>254.02977791298019</v>
      </c>
      <c r="O279">
        <v>-0.11226903862541571</v>
      </c>
      <c r="P279" s="1" t="str">
        <f>HYPERLINK(".\sm_car_251026_0925\sm_car_Axle3_251026_0925_278_CaAxle3_019TrK_MaDLC_DrSt_ode23t_1.png","figure")</f>
        <v>figure</v>
      </c>
      <c r="Q279" t="s">
        <v>15</v>
      </c>
      <c r="T279">
        <f>L279-'2022a_250915_0045'!L275</f>
        <v>13</v>
      </c>
      <c r="U279" s="11">
        <f>T279/'2022a_250915_0045'!L275</f>
        <v>2.066772655007949E-2</v>
      </c>
      <c r="V279" s="10">
        <f>M279-'2022a_250915_0045'!M275</f>
        <v>-1.9746599999999503E-2</v>
      </c>
      <c r="W279" s="11">
        <f>V279/'2022a_250915_0045'!M275</f>
        <v>-4.2054555406491282E-3</v>
      </c>
    </row>
    <row r="280" spans="1:23" x14ac:dyDescent="0.25">
      <c r="A280">
        <v>279</v>
      </c>
      <c r="B280" t="s">
        <v>115</v>
      </c>
      <c r="C280" t="s">
        <v>100</v>
      </c>
      <c r="D280" t="s">
        <v>35</v>
      </c>
      <c r="E280" t="s">
        <v>107</v>
      </c>
      <c r="F280" t="s">
        <v>19</v>
      </c>
      <c r="G280" t="s">
        <v>96</v>
      </c>
      <c r="H280" t="s">
        <v>102</v>
      </c>
      <c r="I280" t="s">
        <v>53</v>
      </c>
      <c r="J280" t="s">
        <v>148</v>
      </c>
      <c r="K280" t="s">
        <v>23</v>
      </c>
      <c r="L280">
        <v>789</v>
      </c>
      <c r="M280">
        <v>4.3341821999999999</v>
      </c>
      <c r="N280">
        <v>253.85784893402069</v>
      </c>
      <c r="O280">
        <v>-0.11426928151503635</v>
      </c>
      <c r="P280" s="1" t="str">
        <f>HYPERLINK(".\sm_car_251026_0925\sm_car_Axle3_251026_0925_279_CaAxle3_019TrK_MaDLC_DrSt_ode23t_1.png","figure")</f>
        <v>figure</v>
      </c>
      <c r="Q280" t="s">
        <v>15</v>
      </c>
      <c r="T280">
        <f>L280-'2022a_250915_0045'!L276</f>
        <v>4</v>
      </c>
      <c r="U280" s="11">
        <f>T280/'2022a_250915_0045'!L276</f>
        <v>5.0955414012738851E-3</v>
      </c>
      <c r="V280" s="10">
        <f>M280-'2022a_250915_0045'!M276</f>
        <v>-0.13091719999999984</v>
      </c>
      <c r="W280" s="11">
        <f>V280/'2022a_250915_0045'!M276</f>
        <v>-2.9320108752786074E-2</v>
      </c>
    </row>
    <row r="281" spans="1:23" x14ac:dyDescent="0.25">
      <c r="A281">
        <v>280</v>
      </c>
      <c r="B281" t="s">
        <v>115</v>
      </c>
      <c r="C281" t="s">
        <v>100</v>
      </c>
      <c r="D281" t="s">
        <v>35</v>
      </c>
      <c r="E281" t="s">
        <v>107</v>
      </c>
      <c r="F281" t="s">
        <v>19</v>
      </c>
      <c r="G281" t="s">
        <v>96</v>
      </c>
      <c r="H281" t="s">
        <v>102</v>
      </c>
      <c r="I281" t="s">
        <v>53</v>
      </c>
      <c r="J281" t="s">
        <v>148</v>
      </c>
      <c r="K281" t="s">
        <v>23</v>
      </c>
      <c r="L281">
        <v>628</v>
      </c>
      <c r="M281">
        <v>4.2363901000000004</v>
      </c>
      <c r="N281">
        <v>254.04476005379507</v>
      </c>
      <c r="O281">
        <v>-0.11140811791203031</v>
      </c>
      <c r="P281" s="1" t="str">
        <f>HYPERLINK(".\sm_car_251026_0925\sm_car_Axle3_251026_0925_280_CaAxle3_019TrK_MaDLC_DrSt_ode23t_1.png","figure")</f>
        <v>figure</v>
      </c>
      <c r="Q281" t="s">
        <v>15</v>
      </c>
      <c r="T281">
        <f>L281-'2022a_250915_0045'!L277</f>
        <v>-2</v>
      </c>
      <c r="U281" s="11">
        <f>T281/'2022a_250915_0045'!L277</f>
        <v>-3.1746031746031746E-3</v>
      </c>
      <c r="V281" s="10">
        <f>M281-'2022a_250915_0045'!M277</f>
        <v>-8.8092099999999895E-2</v>
      </c>
      <c r="W281" s="11">
        <f>V281/'2022a_250915_0045'!M277</f>
        <v>-2.0370554421521237E-2</v>
      </c>
    </row>
    <row r="282" spans="1:23" x14ac:dyDescent="0.25">
      <c r="A282">
        <v>281</v>
      </c>
      <c r="B282" t="s">
        <v>115</v>
      </c>
      <c r="C282" t="s">
        <v>100</v>
      </c>
      <c r="D282" t="s">
        <v>35</v>
      </c>
      <c r="E282" t="s">
        <v>107</v>
      </c>
      <c r="F282" t="s">
        <v>19</v>
      </c>
      <c r="G282" t="s">
        <v>96</v>
      </c>
      <c r="H282" t="s">
        <v>102</v>
      </c>
      <c r="I282" t="s">
        <v>53</v>
      </c>
      <c r="J282" t="s">
        <v>148</v>
      </c>
      <c r="K282" t="s">
        <v>23</v>
      </c>
      <c r="L282">
        <v>828</v>
      </c>
      <c r="M282">
        <v>4.8131515</v>
      </c>
      <c r="N282">
        <v>253.56907878331242</v>
      </c>
      <c r="O282">
        <v>-0.1060654330944093</v>
      </c>
      <c r="P282" s="1" t="str">
        <f>HYPERLINK(".\sm_car_251026_0925\sm_car_Axle3_251026_0925_281_CaAxle3_019TrK_MaDLC_DrSt_ode23t_1.png","figure")</f>
        <v>figure</v>
      </c>
      <c r="Q282" t="s">
        <v>15</v>
      </c>
      <c r="T282">
        <f>L282-'2022a_250915_0045'!L278</f>
        <v>-9</v>
      </c>
      <c r="U282" s="11">
        <f>T282/'2022a_250915_0045'!L278</f>
        <v>-1.0752688172043012E-2</v>
      </c>
      <c r="V282" s="10">
        <f>M282-'2022a_250915_0045'!M278</f>
        <v>-1.4863100000000351E-2</v>
      </c>
      <c r="W282" s="11">
        <f>V282/'2022a_250915_0045'!M278</f>
        <v>-3.0785118172592827E-3</v>
      </c>
    </row>
    <row r="283" spans="1:23" x14ac:dyDescent="0.25">
      <c r="A283">
        <v>282</v>
      </c>
      <c r="B283" t="s">
        <v>138</v>
      </c>
      <c r="C283" t="s">
        <v>139</v>
      </c>
      <c r="D283" t="s">
        <v>35</v>
      </c>
      <c r="E283" t="s">
        <v>49</v>
      </c>
      <c r="F283" t="s">
        <v>19</v>
      </c>
      <c r="G283" t="s">
        <v>96</v>
      </c>
      <c r="H283" t="s">
        <v>102</v>
      </c>
      <c r="I283" t="s">
        <v>22</v>
      </c>
      <c r="J283" t="s">
        <v>148</v>
      </c>
      <c r="K283" t="s">
        <v>23</v>
      </c>
      <c r="L283">
        <v>379</v>
      </c>
      <c r="M283">
        <v>2.7171276999999998</v>
      </c>
      <c r="N283">
        <v>136.83020521097052</v>
      </c>
      <c r="O283">
        <v>0.19636473300660356</v>
      </c>
      <c r="P283" s="1" t="str">
        <f>HYPERLINK(".\sm_car_251026_0925\sm_car_Axle3_251026_0925_282_CaAxle3_023TrK_MaWOT_DrSt_ode23t_1.png","figure")</f>
        <v>figure</v>
      </c>
      <c r="Q283" t="s">
        <v>15</v>
      </c>
      <c r="T283">
        <f>L283-'2022a_250915_0045'!L279</f>
        <v>13</v>
      </c>
      <c r="U283" s="11">
        <f>T283/'2022a_250915_0045'!L279</f>
        <v>3.5519125683060107E-2</v>
      </c>
      <c r="V283" s="10">
        <f>M283-'2022a_250915_0045'!M279</f>
        <v>-0.17998340000000024</v>
      </c>
      <c r="W283" s="11">
        <f>V283/'2022a_250915_0045'!M279</f>
        <v>-6.2125128718743386E-2</v>
      </c>
    </row>
  </sheetData>
  <autoFilter ref="A1:Q283" xr:uid="{CD23FD3B-4F60-4C97-806D-5241397006FF}"/>
  <conditionalFormatting sqref="U1:U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{E46BFDF0-461E-46C0-A225-ACB7CD7189AF}</x14:id>
        </ext>
      </extLst>
    </cfRule>
  </conditionalFormatting>
  <conditionalFormatting sqref="W1:W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{F52E4263-5B7A-4655-A244-967DDAD13949}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6BFDF0-461E-46C0-A225-ACB7CD7189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U1:U1048576</xm:sqref>
        </x14:conditionalFormatting>
        <x14:conditionalFormatting xmlns:xm="http://schemas.microsoft.com/office/excel/2006/main">
          <x14:cfRule type="dataBar" id="{F52E4263-5B7A-4655-A244-967DDAD139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W1:W1048576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B017B-B0E2-4B86-85CF-1EBEEC961F96}">
  <dimension ref="A1:S283"/>
  <sheetViews>
    <sheetView topLeftCell="A175" workbookViewId="0">
      <selection activeCell="A189" sqref="A189:XFD189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S1" s="2" t="s">
        <v>186</v>
      </c>
    </row>
    <row r="2" spans="1:19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148</v>
      </c>
      <c r="K2" t="s">
        <v>23</v>
      </c>
      <c r="L2">
        <v>415</v>
      </c>
      <c r="M2">
        <v>7.1703032000000002</v>
      </c>
      <c r="N2">
        <v>230.06110401850631</v>
      </c>
      <c r="O2">
        <v>-7.7390488127199323E-3</v>
      </c>
      <c r="P2" s="1" t="str">
        <f>HYPERLINK(".\sm_car_251026_2256\sm_car_251026_2256_001_Ca000TrN_MaWOT_DrSt_ode23t.png","figure")</f>
        <v>figure</v>
      </c>
      <c r="Q2" t="s">
        <v>15</v>
      </c>
      <c r="S2" s="2" t="s">
        <v>116</v>
      </c>
    </row>
    <row r="3" spans="1:19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24</v>
      </c>
      <c r="J3" t="s">
        <v>148</v>
      </c>
      <c r="K3" t="s">
        <v>23</v>
      </c>
      <c r="L3">
        <v>518</v>
      </c>
      <c r="M3">
        <v>7.5832715999999998</v>
      </c>
      <c r="N3">
        <v>70.867045635634994</v>
      </c>
      <c r="O3">
        <v>-0.53370171597824634</v>
      </c>
      <c r="P3" s="1" t="str">
        <f>HYPERLINK(".\sm_car_251026_2256\sm_car_251026_2256_002_Ca000TrN_MaLSS_DrSt_ode23t.png","figure")</f>
        <v>figure</v>
      </c>
      <c r="Q3" t="s">
        <v>15</v>
      </c>
      <c r="S3" s="2" t="s">
        <v>117</v>
      </c>
    </row>
    <row r="4" spans="1:19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21</v>
      </c>
      <c r="I4" t="s">
        <v>22</v>
      </c>
      <c r="J4" t="s">
        <v>148</v>
      </c>
      <c r="K4" t="s">
        <v>23</v>
      </c>
      <c r="L4">
        <v>410</v>
      </c>
      <c r="M4">
        <v>8.1129443999999999</v>
      </c>
      <c r="N4">
        <v>228.77428506320737</v>
      </c>
      <c r="O4">
        <v>-1.9777422833945978E-2</v>
      </c>
      <c r="P4" s="1" t="str">
        <f>HYPERLINK(".\sm_car_251026_2256\sm_car_251026_2256_003_Ca001TrN_MaWOT_DrSt_ode23t.png","figure")</f>
        <v>figure</v>
      </c>
      <c r="Q4" t="s">
        <v>15</v>
      </c>
      <c r="S4" s="2" t="s">
        <v>164</v>
      </c>
    </row>
    <row r="5" spans="1:19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25</v>
      </c>
      <c r="H5" t="s">
        <v>21</v>
      </c>
      <c r="I5" t="s">
        <v>24</v>
      </c>
      <c r="J5" t="s">
        <v>148</v>
      </c>
      <c r="K5" t="s">
        <v>23</v>
      </c>
      <c r="L5">
        <v>528</v>
      </c>
      <c r="M5">
        <v>9.1886709999999994</v>
      </c>
      <c r="N5">
        <v>70.586466470151947</v>
      </c>
      <c r="O5">
        <v>-0.53087055111701098</v>
      </c>
      <c r="P5" s="1" t="str">
        <f>HYPERLINK(".\sm_car_251026_2256\sm_car_251026_2256_004_Ca001TrN_MaLSS_DrSt_ode23t.png","figure")</f>
        <v>figure</v>
      </c>
      <c r="Q5" t="s">
        <v>15</v>
      </c>
      <c r="S5" t="s">
        <v>187</v>
      </c>
    </row>
    <row r="6" spans="1:19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26</v>
      </c>
      <c r="H6" t="s">
        <v>21</v>
      </c>
      <c r="I6" t="s">
        <v>22</v>
      </c>
      <c r="J6" t="s">
        <v>148</v>
      </c>
      <c r="K6" t="s">
        <v>23</v>
      </c>
      <c r="L6">
        <v>439</v>
      </c>
      <c r="M6">
        <v>11.7291194</v>
      </c>
      <c r="N6">
        <v>228.93402025770467</v>
      </c>
      <c r="O6">
        <v>5.6920897343149569E-2</v>
      </c>
      <c r="P6" s="1" t="str">
        <f>HYPERLINK(".\sm_car_251026_2256\sm_car_251026_2256_005_Ca002TrN_MaWOT_DrSt_ode23t.png","figure")</f>
        <v>figure</v>
      </c>
      <c r="Q6" t="s">
        <v>15</v>
      </c>
    </row>
    <row r="7" spans="1:19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26</v>
      </c>
      <c r="H7" t="s">
        <v>21</v>
      </c>
      <c r="I7" t="s">
        <v>24</v>
      </c>
      <c r="J7" t="s">
        <v>148</v>
      </c>
      <c r="K7" t="s">
        <v>23</v>
      </c>
      <c r="L7">
        <v>532</v>
      </c>
      <c r="M7">
        <v>12.041696200000001</v>
      </c>
      <c r="N7">
        <v>70.588788888565816</v>
      </c>
      <c r="O7">
        <v>-0.52471149581115906</v>
      </c>
      <c r="P7" s="1" t="str">
        <f>HYPERLINK(".\sm_car_251026_2256\sm_car_251026_2256_006_Ca002TrN_MaLSS_DrSt_ode23t.png","figure")</f>
        <v>figure</v>
      </c>
      <c r="Q7" t="s">
        <v>15</v>
      </c>
    </row>
    <row r="8" spans="1:19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27</v>
      </c>
      <c r="H8" t="s">
        <v>21</v>
      </c>
      <c r="I8" t="s">
        <v>22</v>
      </c>
      <c r="J8" t="s">
        <v>148</v>
      </c>
      <c r="K8" t="s">
        <v>23</v>
      </c>
      <c r="L8">
        <v>472</v>
      </c>
      <c r="M8">
        <v>12.709591100000001</v>
      </c>
      <c r="N8">
        <v>228.54310365413795</v>
      </c>
      <c r="O8">
        <v>4.704235494030732E-2</v>
      </c>
      <c r="P8" s="1" t="str">
        <f>HYPERLINK(".\sm_car_251026_2256\sm_car_251026_2256_007_Ca003TrN_MaWOT_DrSt_ode23t.png","figure")</f>
        <v>figure</v>
      </c>
      <c r="Q8" t="s">
        <v>15</v>
      </c>
    </row>
    <row r="9" spans="1:19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27</v>
      </c>
      <c r="H9" t="s">
        <v>21</v>
      </c>
      <c r="I9" t="s">
        <v>24</v>
      </c>
      <c r="J9" t="s">
        <v>148</v>
      </c>
      <c r="K9" t="s">
        <v>23</v>
      </c>
      <c r="L9">
        <v>554</v>
      </c>
      <c r="M9">
        <v>14.961342399999999</v>
      </c>
      <c r="N9">
        <v>70.450780285840978</v>
      </c>
      <c r="O9">
        <v>-0.51956463908084738</v>
      </c>
      <c r="P9" s="1" t="str">
        <f>HYPERLINK(".\sm_car_251026_2256\sm_car_251026_2256_008_Ca003TrN_MaLSS_DrSt_ode23t.png","figure")</f>
        <v>figure</v>
      </c>
      <c r="Q9" t="s">
        <v>15</v>
      </c>
    </row>
    <row r="10" spans="1:19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20</v>
      </c>
      <c r="H10" t="s">
        <v>21</v>
      </c>
      <c r="I10" t="s">
        <v>22</v>
      </c>
      <c r="J10" t="s">
        <v>148</v>
      </c>
      <c r="K10" t="s">
        <v>23</v>
      </c>
      <c r="L10">
        <v>1109</v>
      </c>
      <c r="M10">
        <v>12.9500674</v>
      </c>
      <c r="N10">
        <v>230.10462016195655</v>
      </c>
      <c r="O10">
        <v>-8.093147685615254E-3</v>
      </c>
      <c r="P10" s="1" t="str">
        <f>HYPERLINK(".\sm_car_251026_2256\sm_car_251026_2256_009_Ca004TrN_MaWOT_DrSt_ode23t.png","figure")</f>
        <v>figure</v>
      </c>
      <c r="Q10" t="s">
        <v>15</v>
      </c>
    </row>
    <row r="11" spans="1:19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20</v>
      </c>
      <c r="H11" t="s">
        <v>21</v>
      </c>
      <c r="I11" t="s">
        <v>24</v>
      </c>
      <c r="J11" t="s">
        <v>148</v>
      </c>
      <c r="K11" t="s">
        <v>23</v>
      </c>
      <c r="L11">
        <v>1235</v>
      </c>
      <c r="M11">
        <v>13.9731617</v>
      </c>
      <c r="N11">
        <v>70.878885401069837</v>
      </c>
      <c r="O11">
        <v>-0.53647311138677611</v>
      </c>
      <c r="P11" s="1" t="str">
        <f>HYPERLINK(".\sm_car_251026_2256\sm_car_251026_2256_010_Ca004TrN_MaLSS_DrSt_ode23t.png","figure")</f>
        <v>figure</v>
      </c>
      <c r="Q11" t="s">
        <v>15</v>
      </c>
    </row>
    <row r="12" spans="1:19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25</v>
      </c>
      <c r="H12" t="s">
        <v>21</v>
      </c>
      <c r="I12" t="s">
        <v>22</v>
      </c>
      <c r="J12" t="s">
        <v>148</v>
      </c>
      <c r="K12" t="s">
        <v>23</v>
      </c>
      <c r="L12">
        <v>1087</v>
      </c>
      <c r="M12">
        <v>13.251021700000001</v>
      </c>
      <c r="N12">
        <v>229.06609425795125</v>
      </c>
      <c r="O12">
        <v>-1.7284026526695306E-2</v>
      </c>
      <c r="P12" s="1" t="str">
        <f>HYPERLINK(".\sm_car_251026_2256\sm_car_251026_2256_011_Ca005TrN_MaWOT_DrSt_ode23t.png","figure")</f>
        <v>figure</v>
      </c>
      <c r="Q12" t="s">
        <v>15</v>
      </c>
    </row>
    <row r="13" spans="1:19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25</v>
      </c>
      <c r="H13" t="s">
        <v>21</v>
      </c>
      <c r="I13" t="s">
        <v>24</v>
      </c>
      <c r="J13" t="s">
        <v>148</v>
      </c>
      <c r="K13" t="s">
        <v>23</v>
      </c>
      <c r="L13">
        <v>1227</v>
      </c>
      <c r="M13">
        <v>14.150760099999999</v>
      </c>
      <c r="N13">
        <v>70.595644045533476</v>
      </c>
      <c r="O13">
        <v>-0.53019226207293912</v>
      </c>
      <c r="P13" s="1" t="str">
        <f>HYPERLINK(".\sm_car_251026_2256\sm_car_251026_2256_012_Ca005TrN_MaLSS_DrSt_ode23t.png","figure")</f>
        <v>figure</v>
      </c>
      <c r="Q13" t="s">
        <v>15</v>
      </c>
    </row>
    <row r="14" spans="1:19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26</v>
      </c>
      <c r="H14" t="s">
        <v>21</v>
      </c>
      <c r="I14" t="s">
        <v>22</v>
      </c>
      <c r="J14" t="s">
        <v>148</v>
      </c>
      <c r="K14" t="s">
        <v>23</v>
      </c>
      <c r="L14">
        <v>1224</v>
      </c>
      <c r="M14">
        <v>18.274510200000002</v>
      </c>
      <c r="N14">
        <v>229.11758298274381</v>
      </c>
      <c r="O14">
        <v>4.9145361772143667E-2</v>
      </c>
      <c r="P14" s="1" t="str">
        <f>HYPERLINK(".\sm_car_251026_2256\sm_car_251026_2256_013_Ca006TrN_MaWOT_DrSt_ode23t.png","figure")</f>
        <v>figure</v>
      </c>
      <c r="Q14" t="s">
        <v>15</v>
      </c>
    </row>
    <row r="15" spans="1:19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26</v>
      </c>
      <c r="H15" t="s">
        <v>21</v>
      </c>
      <c r="I15" t="s">
        <v>24</v>
      </c>
      <c r="J15" t="s">
        <v>148</v>
      </c>
      <c r="K15" t="s">
        <v>23</v>
      </c>
      <c r="L15">
        <v>1287</v>
      </c>
      <c r="M15">
        <v>17.548301200000001</v>
      </c>
      <c r="N15">
        <v>70.596391206591534</v>
      </c>
      <c r="O15">
        <v>-0.52558803119192132</v>
      </c>
      <c r="P15" s="1" t="str">
        <f>HYPERLINK(".\sm_car_251026_2256\sm_car_251026_2256_014_Ca006TrN_MaLSS_DrSt_ode23t.png","figure")</f>
        <v>figure</v>
      </c>
      <c r="Q15" t="s">
        <v>15</v>
      </c>
    </row>
    <row r="16" spans="1:19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27</v>
      </c>
      <c r="H16" t="s">
        <v>21</v>
      </c>
      <c r="I16" t="s">
        <v>22</v>
      </c>
      <c r="J16" t="s">
        <v>148</v>
      </c>
      <c r="K16" t="s">
        <v>23</v>
      </c>
      <c r="L16">
        <v>1221</v>
      </c>
      <c r="M16">
        <v>19.9398941</v>
      </c>
      <c r="N16">
        <v>228.62754676822274</v>
      </c>
      <c r="O16">
        <v>5.147924498758661E-2</v>
      </c>
      <c r="P16" s="1" t="str">
        <f>HYPERLINK(".\sm_car_251026_2256\sm_car_251026_2256_015_Ca007TrN_MaWOT_DrSt_ode23t.png","figure")</f>
        <v>figure</v>
      </c>
      <c r="Q16" t="s">
        <v>15</v>
      </c>
    </row>
    <row r="17" spans="1:17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27</v>
      </c>
      <c r="H17" t="s">
        <v>21</v>
      </c>
      <c r="I17" t="s">
        <v>24</v>
      </c>
      <c r="J17" t="s">
        <v>148</v>
      </c>
      <c r="K17" t="s">
        <v>23</v>
      </c>
      <c r="L17">
        <v>1277</v>
      </c>
      <c r="M17">
        <v>16.485581700000001</v>
      </c>
      <c r="N17">
        <v>70.463131375285599</v>
      </c>
      <c r="O17">
        <v>-0.52348046337971199</v>
      </c>
      <c r="P17" s="1" t="str">
        <f>HYPERLINK(".\sm_car_251026_2256\sm_car_251026_2256_016_Ca007TrN_MaLSS_DrSt_ode23t.png","figure")</f>
        <v>figure</v>
      </c>
      <c r="Q17" t="s">
        <v>15</v>
      </c>
    </row>
    <row r="18" spans="1:17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148</v>
      </c>
      <c r="K18" t="s">
        <v>23</v>
      </c>
      <c r="L18">
        <v>426</v>
      </c>
      <c r="M18">
        <v>6.2803614000000003</v>
      </c>
      <c r="N18">
        <v>230.68439542009924</v>
      </c>
      <c r="O18">
        <v>-7.6640821119501587E-2</v>
      </c>
      <c r="P18" s="1" t="str">
        <f>HYPERLINK(".\sm_car_251026_2256\sm_car_251026_2256_017_Ca016TrN_MaWOT_DrSt_ode23t.png","figure")</f>
        <v>figure</v>
      </c>
      <c r="Q18" t="s">
        <v>15</v>
      </c>
    </row>
    <row r="19" spans="1:17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20</v>
      </c>
      <c r="H19" t="s">
        <v>21</v>
      </c>
      <c r="I19" t="s">
        <v>24</v>
      </c>
      <c r="J19" t="s">
        <v>148</v>
      </c>
      <c r="K19" t="s">
        <v>23</v>
      </c>
      <c r="L19">
        <v>497</v>
      </c>
      <c r="M19">
        <v>6.5465651999999999</v>
      </c>
      <c r="N19">
        <v>71.140415761923705</v>
      </c>
      <c r="O19">
        <v>-2.1722636958163385E-2</v>
      </c>
      <c r="P19" s="1" t="str">
        <f>HYPERLINK(".\sm_car_251026_2256\sm_car_251026_2256_018_Ca016TrN_MaLSS_DrSt_ode23t.png","figure")</f>
        <v>figure</v>
      </c>
      <c r="Q19" t="s">
        <v>15</v>
      </c>
    </row>
    <row r="20" spans="1:17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148</v>
      </c>
      <c r="K20" t="s">
        <v>23</v>
      </c>
      <c r="L20">
        <v>417</v>
      </c>
      <c r="M20">
        <v>8.4440989999999996</v>
      </c>
      <c r="N20">
        <v>229.99843320463484</v>
      </c>
      <c r="O20">
        <v>3.2226905071039896E-2</v>
      </c>
      <c r="P20" s="1" t="str">
        <f>HYPERLINK(".\sm_car_251026_2256\sm_car_251026_2256_019_Ca032TrN_MaWOT_DrSt_ode23t.png","figure")</f>
        <v>figure</v>
      </c>
      <c r="Q20" t="s">
        <v>15</v>
      </c>
    </row>
    <row r="21" spans="1:17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20</v>
      </c>
      <c r="H21" t="s">
        <v>21</v>
      </c>
      <c r="I21" t="s">
        <v>24</v>
      </c>
      <c r="J21" t="s">
        <v>148</v>
      </c>
      <c r="K21" t="s">
        <v>23</v>
      </c>
      <c r="L21">
        <v>520</v>
      </c>
      <c r="M21">
        <v>9.1499942999999995</v>
      </c>
      <c r="N21">
        <v>70.887713259785215</v>
      </c>
      <c r="O21">
        <v>-0.51627078539884252</v>
      </c>
      <c r="P21" s="1" t="str">
        <f>HYPERLINK(".\sm_car_251026_2256\sm_car_251026_2256_020_Ca032TrN_MaLSS_DrSt_ode23t.png","figure")</f>
        <v>figure</v>
      </c>
      <c r="Q21" t="s">
        <v>15</v>
      </c>
    </row>
    <row r="22" spans="1:17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148</v>
      </c>
      <c r="K22" t="s">
        <v>23</v>
      </c>
      <c r="L22">
        <v>415</v>
      </c>
      <c r="M22">
        <v>8.3694877999999999</v>
      </c>
      <c r="N22">
        <v>230.02652145202666</v>
      </c>
      <c r="O22">
        <v>-2.0186740564017418E-2</v>
      </c>
      <c r="P22" s="1" t="str">
        <f>HYPERLINK(".\sm_car_251026_2256\sm_car_251026_2256_021_Ca048TrN_MaWOT_DrSt_ode23t.png","figure")</f>
        <v>figure</v>
      </c>
      <c r="Q22" t="s">
        <v>15</v>
      </c>
    </row>
    <row r="23" spans="1:17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20</v>
      </c>
      <c r="H23" t="s">
        <v>21</v>
      </c>
      <c r="I23" t="s">
        <v>24</v>
      </c>
      <c r="J23" t="s">
        <v>148</v>
      </c>
      <c r="K23" t="s">
        <v>23</v>
      </c>
      <c r="L23">
        <v>542</v>
      </c>
      <c r="M23">
        <v>9.3217827</v>
      </c>
      <c r="N23">
        <v>70.879905994443504</v>
      </c>
      <c r="O23">
        <v>-0.52555182070837725</v>
      </c>
      <c r="P23" s="1" t="str">
        <f>HYPERLINK(".\sm_car_251026_2256\sm_car_251026_2256_022_Ca048TrN_MaLSS_DrSt_ode23t.png","figure")</f>
        <v>figure</v>
      </c>
      <c r="Q23" t="s">
        <v>15</v>
      </c>
    </row>
    <row r="24" spans="1:17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 t="s">
        <v>148</v>
      </c>
      <c r="K24" t="s">
        <v>23</v>
      </c>
      <c r="L24">
        <v>406</v>
      </c>
      <c r="M24">
        <v>8.7876636999999995</v>
      </c>
      <c r="N24">
        <v>230.20418825486104</v>
      </c>
      <c r="O24">
        <v>7.1719658950238144E-3</v>
      </c>
      <c r="P24" s="1" t="str">
        <f>HYPERLINK(".\sm_car_251026_2256\sm_car_251026_2256_023_Ca064TrN_MaWOT_DrSt_ode23t.png","figure")</f>
        <v>figure</v>
      </c>
      <c r="Q24" t="s">
        <v>15</v>
      </c>
    </row>
    <row r="25" spans="1:17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20</v>
      </c>
      <c r="H25" t="s">
        <v>21</v>
      </c>
      <c r="I25" t="s">
        <v>24</v>
      </c>
      <c r="J25" t="s">
        <v>148</v>
      </c>
      <c r="K25" t="s">
        <v>23</v>
      </c>
      <c r="L25">
        <v>511</v>
      </c>
      <c r="M25">
        <v>8.3045542000000001</v>
      </c>
      <c r="N25">
        <v>70.899515165016282</v>
      </c>
      <c r="O25">
        <v>-0.51134468671030042</v>
      </c>
      <c r="P25" s="1" t="str">
        <f>HYPERLINK(".\sm_car_251026_2256\sm_car_251026_2256_024_Ca064TrN_MaLSS_DrSt_ode23t.png","figure")</f>
        <v>figure</v>
      </c>
      <c r="Q25" t="s">
        <v>15</v>
      </c>
    </row>
    <row r="26" spans="1:17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148</v>
      </c>
      <c r="K26" t="s">
        <v>23</v>
      </c>
      <c r="L26">
        <v>420</v>
      </c>
      <c r="M26">
        <v>8.7363236000000004</v>
      </c>
      <c r="N26">
        <v>230.12134023461186</v>
      </c>
      <c r="O26">
        <v>-2.4421235909832032E-2</v>
      </c>
      <c r="P26" s="1" t="str">
        <f>HYPERLINK(".\sm_car_251026_2256\sm_car_251026_2256_025_Ca080TrN_MaWOT_DrSt_ode23t.png","figure")</f>
        <v>figure</v>
      </c>
      <c r="Q26" t="s">
        <v>15</v>
      </c>
    </row>
    <row r="27" spans="1:17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20</v>
      </c>
      <c r="H27" t="s">
        <v>21</v>
      </c>
      <c r="I27" t="s">
        <v>24</v>
      </c>
      <c r="J27" t="s">
        <v>148</v>
      </c>
      <c r="K27" t="s">
        <v>23</v>
      </c>
      <c r="L27">
        <v>518</v>
      </c>
      <c r="M27">
        <v>8.5152704999999997</v>
      </c>
      <c r="N27">
        <v>70.870706382377591</v>
      </c>
      <c r="O27">
        <v>-0.51777564224164296</v>
      </c>
      <c r="P27" s="1" t="str">
        <f>HYPERLINK(".\sm_car_251026_2256\sm_car_251026_2256_026_Ca080TrN_MaLSS_DrSt_ode23t.png","figure")</f>
        <v>figure</v>
      </c>
      <c r="Q27" t="s">
        <v>15</v>
      </c>
    </row>
    <row r="28" spans="1:17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148</v>
      </c>
      <c r="K28" t="s">
        <v>23</v>
      </c>
      <c r="L28">
        <v>417</v>
      </c>
      <c r="M28">
        <v>6.7956614000000002</v>
      </c>
      <c r="N28">
        <v>231.7985002108002</v>
      </c>
      <c r="O28">
        <v>1.6875847262352944E-2</v>
      </c>
      <c r="P28" s="1" t="str">
        <f>HYPERLINK(".\sm_car_251026_2256\sm_car_251026_2256_027_Ca096TrN_MaWOT_DrSt_ode23t.png","figure")</f>
        <v>figure</v>
      </c>
      <c r="Q28" t="s">
        <v>15</v>
      </c>
    </row>
    <row r="29" spans="1:17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20</v>
      </c>
      <c r="H29" t="s">
        <v>21</v>
      </c>
      <c r="I29" t="s">
        <v>24</v>
      </c>
      <c r="J29" t="s">
        <v>148</v>
      </c>
      <c r="K29" t="s">
        <v>23</v>
      </c>
      <c r="L29">
        <v>514</v>
      </c>
      <c r="M29">
        <v>6.7665176000000002</v>
      </c>
      <c r="N29">
        <v>71.375005676338304</v>
      </c>
      <c r="O29">
        <v>-0.52112412540679565</v>
      </c>
      <c r="P29" s="1" t="str">
        <f>HYPERLINK(".\sm_car_251026_2256\sm_car_251026_2256_028_Ca096TrN_MaLSS_DrSt_ode23t.png","figure")</f>
        <v>figure</v>
      </c>
      <c r="Q29" t="s">
        <v>15</v>
      </c>
    </row>
    <row r="30" spans="1:17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 t="s">
        <v>148</v>
      </c>
      <c r="K30" t="s">
        <v>23</v>
      </c>
      <c r="L30">
        <v>378</v>
      </c>
      <c r="M30">
        <v>2.9002197999999999</v>
      </c>
      <c r="N30">
        <v>242.70668965493786</v>
      </c>
      <c r="O30">
        <v>0.23571762531575524</v>
      </c>
      <c r="P30" s="1" t="str">
        <f>HYPERLINK(".\sm_car_251026_2256\sm_car_251026_2256_029_Ca112TrN_MaWOT_DrSt_ode23t.png","figure")</f>
        <v>figure</v>
      </c>
      <c r="Q30" t="s">
        <v>15</v>
      </c>
    </row>
    <row r="31" spans="1:17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20</v>
      </c>
      <c r="H31" t="s">
        <v>21</v>
      </c>
      <c r="I31" t="s">
        <v>24</v>
      </c>
      <c r="J31" t="s">
        <v>148</v>
      </c>
      <c r="K31" t="s">
        <v>23</v>
      </c>
      <c r="L31">
        <v>484</v>
      </c>
      <c r="M31">
        <v>3.0088181999999999</v>
      </c>
      <c r="N31">
        <v>74.671083334168515</v>
      </c>
      <c r="O31">
        <v>-0.3369934257717313</v>
      </c>
      <c r="P31" s="1" t="str">
        <f>HYPERLINK(".\sm_car_251026_2256\sm_car_251026_2256_030_Ca112TrN_MaLSS_DrSt_ode23t.png","figure")</f>
        <v>figure</v>
      </c>
      <c r="Q31" t="s">
        <v>15</v>
      </c>
    </row>
    <row r="32" spans="1:17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25</v>
      </c>
      <c r="H32" t="s">
        <v>21</v>
      </c>
      <c r="I32" t="s">
        <v>22</v>
      </c>
      <c r="J32" t="s">
        <v>148</v>
      </c>
      <c r="K32" t="s">
        <v>23</v>
      </c>
      <c r="L32">
        <v>376</v>
      </c>
      <c r="M32">
        <v>3.2155895000000001</v>
      </c>
      <c r="N32">
        <v>241.62953780953444</v>
      </c>
      <c r="O32">
        <v>0.23230223293694249</v>
      </c>
      <c r="P32" s="1" t="str">
        <f>HYPERLINK(".\sm_car_251026_2256\sm_car_251026_2256_031_Ca113TrN_MaWOT_DrSt_ode23t.png","figure")</f>
        <v>figure</v>
      </c>
      <c r="Q32" t="s">
        <v>15</v>
      </c>
    </row>
    <row r="33" spans="1:17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25</v>
      </c>
      <c r="H33" t="s">
        <v>21</v>
      </c>
      <c r="I33" t="s">
        <v>24</v>
      </c>
      <c r="J33" t="s">
        <v>148</v>
      </c>
      <c r="K33" t="s">
        <v>23</v>
      </c>
      <c r="L33">
        <v>484</v>
      </c>
      <c r="M33">
        <v>3.2202988000000001</v>
      </c>
      <c r="N33">
        <v>74.340098687509567</v>
      </c>
      <c r="O33">
        <v>-0.33372692734011278</v>
      </c>
      <c r="P33" s="1" t="str">
        <f>HYPERLINK(".\sm_car_251026_2256\sm_car_251026_2256_032_Ca113TrN_MaLSS_DrSt_ode23t.png","figure")</f>
        <v>figure</v>
      </c>
      <c r="Q33" t="s">
        <v>15</v>
      </c>
    </row>
    <row r="34" spans="1:17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26</v>
      </c>
      <c r="H34" t="s">
        <v>21</v>
      </c>
      <c r="I34" t="s">
        <v>22</v>
      </c>
      <c r="J34" t="s">
        <v>148</v>
      </c>
      <c r="K34" t="s">
        <v>23</v>
      </c>
      <c r="L34">
        <v>367</v>
      </c>
      <c r="M34">
        <v>3.4617694000000001</v>
      </c>
      <c r="N34">
        <v>241.21906205293018</v>
      </c>
      <c r="O34">
        <v>0.23060173688141952</v>
      </c>
      <c r="P34" s="1" t="str">
        <f>HYPERLINK(".\sm_car_251026_2256\sm_car_251026_2256_033_Ca114TrN_MaWOT_DrSt_ode23t.png","figure")</f>
        <v>figure</v>
      </c>
      <c r="Q34" t="s">
        <v>15</v>
      </c>
    </row>
    <row r="35" spans="1:17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26</v>
      </c>
      <c r="H35" t="s">
        <v>21</v>
      </c>
      <c r="I35" t="s">
        <v>24</v>
      </c>
      <c r="J35" t="s">
        <v>148</v>
      </c>
      <c r="K35" t="s">
        <v>23</v>
      </c>
      <c r="L35">
        <v>489</v>
      </c>
      <c r="M35">
        <v>3.6105494</v>
      </c>
      <c r="N35">
        <v>74.359982532961837</v>
      </c>
      <c r="O35">
        <v>-0.33349477973980463</v>
      </c>
      <c r="P35" s="1" t="str">
        <f>HYPERLINK(".\sm_car_251026_2256\sm_car_251026_2256_034_Ca114TrN_MaLSS_DrSt_ode23t.png","figure")</f>
        <v>figure</v>
      </c>
      <c r="Q35" t="s">
        <v>15</v>
      </c>
    </row>
    <row r="36" spans="1:17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27</v>
      </c>
      <c r="H36" t="s">
        <v>21</v>
      </c>
      <c r="I36" t="s">
        <v>22</v>
      </c>
      <c r="J36" t="s">
        <v>148</v>
      </c>
      <c r="K36" t="s">
        <v>23</v>
      </c>
      <c r="L36">
        <v>409</v>
      </c>
      <c r="M36">
        <v>3.6581142999999998</v>
      </c>
      <c r="N36">
        <v>241.01435356619845</v>
      </c>
      <c r="O36">
        <v>0.22923165297309384</v>
      </c>
      <c r="P36" s="1" t="str">
        <f>HYPERLINK(".\sm_car_251026_2256\sm_car_251026_2256_035_Ca115TrN_MaWOT_DrSt_ode23t.png","figure")</f>
        <v>figure</v>
      </c>
      <c r="Q36" t="s">
        <v>15</v>
      </c>
    </row>
    <row r="37" spans="1:17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27</v>
      </c>
      <c r="H37" t="s">
        <v>21</v>
      </c>
      <c r="I37" t="s">
        <v>24</v>
      </c>
      <c r="J37" t="s">
        <v>148</v>
      </c>
      <c r="K37" t="s">
        <v>23</v>
      </c>
      <c r="L37">
        <v>502</v>
      </c>
      <c r="M37">
        <v>3.7201259000000002</v>
      </c>
      <c r="N37">
        <v>74.217571871120839</v>
      </c>
      <c r="O37">
        <v>-0.33283752277925088</v>
      </c>
      <c r="P37" s="1" t="str">
        <f>HYPERLINK(".\sm_car_251026_2256\sm_car_251026_2256_036_Ca115TrN_MaLSS_DrSt_ode23t.png","figure")</f>
        <v>figure</v>
      </c>
      <c r="Q37" t="s">
        <v>15</v>
      </c>
    </row>
    <row r="38" spans="1:17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20</v>
      </c>
      <c r="H38" t="s">
        <v>21</v>
      </c>
      <c r="I38" t="s">
        <v>22</v>
      </c>
      <c r="J38" t="s">
        <v>148</v>
      </c>
      <c r="K38" t="s">
        <v>23</v>
      </c>
      <c r="L38">
        <v>917</v>
      </c>
      <c r="M38">
        <v>4.8398345999999997</v>
      </c>
      <c r="N38">
        <v>242.55284377109695</v>
      </c>
      <c r="O38">
        <v>0.23659137482604095</v>
      </c>
      <c r="P38" s="1" t="str">
        <f>HYPERLINK(".\sm_car_251026_2256\sm_car_251026_2256_037_Ca116TrN_MaWOT_DrSt_ode23t.png","figure")</f>
        <v>figure</v>
      </c>
      <c r="Q38" t="s">
        <v>15</v>
      </c>
    </row>
    <row r="39" spans="1:17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20</v>
      </c>
      <c r="H39" t="s">
        <v>21</v>
      </c>
      <c r="I39" t="s">
        <v>24</v>
      </c>
      <c r="J39" t="s">
        <v>148</v>
      </c>
      <c r="K39" t="s">
        <v>23</v>
      </c>
      <c r="L39">
        <v>1057</v>
      </c>
      <c r="M39">
        <v>5.5427800999999999</v>
      </c>
      <c r="N39">
        <v>74.662659723869751</v>
      </c>
      <c r="O39">
        <v>-0.3401055901651473</v>
      </c>
      <c r="P39" s="1" t="str">
        <f>HYPERLINK(".\sm_car_251026_2256\sm_car_251026_2256_038_Ca116TrN_MaLSS_DrSt_ode23t.png","figure")</f>
        <v>figure</v>
      </c>
      <c r="Q39" t="s">
        <v>15</v>
      </c>
    </row>
    <row r="40" spans="1:17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25</v>
      </c>
      <c r="H40" t="s">
        <v>21</v>
      </c>
      <c r="I40" t="s">
        <v>22</v>
      </c>
      <c r="J40" t="s">
        <v>148</v>
      </c>
      <c r="K40" t="s">
        <v>23</v>
      </c>
      <c r="L40">
        <v>963</v>
      </c>
      <c r="M40">
        <v>5.4879128000000001</v>
      </c>
      <c r="N40">
        <v>241.50229099389202</v>
      </c>
      <c r="O40">
        <v>0.23261616238238711</v>
      </c>
      <c r="P40" s="1" t="str">
        <f>HYPERLINK(".\sm_car_251026_2256\sm_car_251026_2256_039_Ca117TrN_MaWOT_DrSt_ode23t.png","figure")</f>
        <v>figure</v>
      </c>
      <c r="Q40" t="s">
        <v>15</v>
      </c>
    </row>
    <row r="41" spans="1:17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25</v>
      </c>
      <c r="H41" t="s">
        <v>21</v>
      </c>
      <c r="I41" t="s">
        <v>24</v>
      </c>
      <c r="J41" t="s">
        <v>148</v>
      </c>
      <c r="K41" t="s">
        <v>23</v>
      </c>
      <c r="L41">
        <v>1063</v>
      </c>
      <c r="M41">
        <v>5.7914937999999996</v>
      </c>
      <c r="N41">
        <v>74.339005108528042</v>
      </c>
      <c r="O41">
        <v>-0.33658754453363837</v>
      </c>
      <c r="P41" s="1" t="str">
        <f>HYPERLINK(".\sm_car_251026_2256\sm_car_251026_2256_040_Ca117TrN_MaLSS_DrSt_ode23t.png","figure")</f>
        <v>figure</v>
      </c>
      <c r="Q41" t="s">
        <v>15</v>
      </c>
    </row>
    <row r="42" spans="1:17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26</v>
      </c>
      <c r="H42" t="s">
        <v>21</v>
      </c>
      <c r="I42" t="s">
        <v>22</v>
      </c>
      <c r="J42" t="s">
        <v>148</v>
      </c>
      <c r="K42" t="s">
        <v>23</v>
      </c>
      <c r="L42">
        <v>958</v>
      </c>
      <c r="M42">
        <v>6.3682043999999998</v>
      </c>
      <c r="N42">
        <v>241.51342646612281</v>
      </c>
      <c r="O42">
        <v>0.23310323744065128</v>
      </c>
      <c r="P42" s="1" t="str">
        <f>HYPERLINK(".\sm_car_251026_2256\sm_car_251026_2256_041_Ca118TrN_MaWOT_DrSt_ode23t.png","figure")</f>
        <v>figure</v>
      </c>
      <c r="Q42" t="s">
        <v>15</v>
      </c>
    </row>
    <row r="43" spans="1:17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26</v>
      </c>
      <c r="H43" t="s">
        <v>21</v>
      </c>
      <c r="I43" t="s">
        <v>24</v>
      </c>
      <c r="J43" t="s">
        <v>148</v>
      </c>
      <c r="K43" t="s">
        <v>23</v>
      </c>
      <c r="L43">
        <v>1083</v>
      </c>
      <c r="M43">
        <v>6.3438293000000003</v>
      </c>
      <c r="N43">
        <v>74.336374802821695</v>
      </c>
      <c r="O43">
        <v>-0.33746299436020472</v>
      </c>
      <c r="P43" s="1" t="str">
        <f>HYPERLINK(".\sm_car_251026_2256\sm_car_251026_2256_042_Ca118TrN_MaLSS_DrSt_ode23t.png","figure")</f>
        <v>figure</v>
      </c>
      <c r="Q43" t="s">
        <v>15</v>
      </c>
    </row>
    <row r="44" spans="1:17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27</v>
      </c>
      <c r="H44" t="s">
        <v>21</v>
      </c>
      <c r="I44" t="s">
        <v>22</v>
      </c>
      <c r="J44" t="s">
        <v>148</v>
      </c>
      <c r="K44" t="s">
        <v>23</v>
      </c>
      <c r="L44">
        <v>1003</v>
      </c>
      <c r="M44">
        <v>5.9657701000000003</v>
      </c>
      <c r="N44">
        <v>240.96538958834398</v>
      </c>
      <c r="O44">
        <v>0.2326053494703996</v>
      </c>
      <c r="P44" s="1" t="str">
        <f>HYPERLINK(".\sm_car_251026_2256\sm_car_251026_2256_043_Ca119TrN_MaWOT_DrSt_ode23t.png","figure")</f>
        <v>figure</v>
      </c>
      <c r="Q44" t="s">
        <v>15</v>
      </c>
    </row>
    <row r="45" spans="1:17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27</v>
      </c>
      <c r="H45" t="s">
        <v>21</v>
      </c>
      <c r="I45" t="s">
        <v>24</v>
      </c>
      <c r="J45" t="s">
        <v>148</v>
      </c>
      <c r="K45" t="s">
        <v>23</v>
      </c>
      <c r="L45">
        <v>1107</v>
      </c>
      <c r="M45">
        <v>6.6373498</v>
      </c>
      <c r="N45">
        <v>74.192358410945459</v>
      </c>
      <c r="O45">
        <v>-0.33292146249429577</v>
      </c>
      <c r="P45" s="1" t="str">
        <f>HYPERLINK(".\sm_car_251026_2256\sm_car_251026_2256_044_Ca119TrN_MaLSS_DrSt_ode23t.png","figure")</f>
        <v>figure</v>
      </c>
      <c r="Q45" t="s">
        <v>15</v>
      </c>
    </row>
    <row r="46" spans="1:17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148</v>
      </c>
      <c r="K46" t="s">
        <v>23</v>
      </c>
      <c r="L46">
        <v>321</v>
      </c>
      <c r="M46">
        <v>6.0952441000000004</v>
      </c>
      <c r="N46">
        <v>98.918539975820963</v>
      </c>
      <c r="O46">
        <v>-1.6701988756554535E-2</v>
      </c>
      <c r="P46" s="1" t="str">
        <f>HYPERLINK(".\sm_car_251026_2256\sm_car_251026_2256_045_Ca128TrN_MaWOT_DrSt_ode23t.png","figure")</f>
        <v>figure</v>
      </c>
      <c r="Q46" t="s">
        <v>15</v>
      </c>
    </row>
    <row r="47" spans="1:17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148</v>
      </c>
      <c r="K47" t="s">
        <v>23</v>
      </c>
      <c r="L47">
        <v>455</v>
      </c>
      <c r="M47">
        <v>6.8050705999999996</v>
      </c>
      <c r="N47">
        <v>36.705114013660321</v>
      </c>
      <c r="O47">
        <v>-0.12754974092840965</v>
      </c>
      <c r="P47" s="1" t="str">
        <f>HYPERLINK(".\sm_car_251026_2256\sm_car_251026_2256_046_Ca128TrN_MaLSS_DrSt_ode23t.png","figure")</f>
        <v>figure</v>
      </c>
      <c r="Q47" t="s">
        <v>15</v>
      </c>
    </row>
    <row r="48" spans="1:17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148</v>
      </c>
      <c r="K48" t="s">
        <v>23</v>
      </c>
      <c r="L48">
        <v>338</v>
      </c>
      <c r="M48">
        <v>6.2623166000000001</v>
      </c>
      <c r="N48">
        <v>228.56771427997671</v>
      </c>
      <c r="O48">
        <v>5.4150244713953306E-2</v>
      </c>
      <c r="P48" s="1" t="str">
        <f>HYPERLINK(".\sm_car_251026_2256\sm_car_251026_2256_047_Ca129TrN_MaWOT_DrSt_ode23t.png","figure")</f>
        <v>figure</v>
      </c>
      <c r="Q48" t="s">
        <v>15</v>
      </c>
    </row>
    <row r="49" spans="1:17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148</v>
      </c>
      <c r="K49" t="s">
        <v>23</v>
      </c>
      <c r="L49">
        <v>466</v>
      </c>
      <c r="M49">
        <v>7.9639876999999997</v>
      </c>
      <c r="N49">
        <v>70.410589144743994</v>
      </c>
      <c r="O49">
        <v>-0.52101482995643045</v>
      </c>
      <c r="P49" s="1" t="str">
        <f>HYPERLINK(".\sm_car_251026_2256\sm_car_251026_2256_048_Ca129TrN_MaLSS_DrSt_ode23t.png","figure")</f>
        <v>figure</v>
      </c>
      <c r="Q49" t="s">
        <v>15</v>
      </c>
    </row>
    <row r="50" spans="1:17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148</v>
      </c>
      <c r="K50" t="s">
        <v>23</v>
      </c>
      <c r="L50">
        <v>793</v>
      </c>
      <c r="M50">
        <v>20.882143299999999</v>
      </c>
      <c r="N50">
        <v>215.46708702121191</v>
      </c>
      <c r="O50">
        <v>-1.5893520343721217</v>
      </c>
      <c r="P50" s="1" t="str">
        <f>HYPERLINK(".\sm_car_251026_2256\sm_car_251026_2256_049_Ca130TrN_MaWOT_DrSt_ode23t.png","figure")</f>
        <v>figure</v>
      </c>
      <c r="Q50" t="s">
        <v>15</v>
      </c>
    </row>
    <row r="51" spans="1:17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148</v>
      </c>
      <c r="K51" t="s">
        <v>23</v>
      </c>
      <c r="L51">
        <v>759</v>
      </c>
      <c r="M51">
        <v>18.379421199999999</v>
      </c>
      <c r="N51">
        <v>68.402844217850088</v>
      </c>
      <c r="O51">
        <v>-0.54009809441192047</v>
      </c>
      <c r="P51" s="1" t="str">
        <f>HYPERLINK(".\sm_car_251026_2256\sm_car_251026_2256_050_Ca130TrN_MaLSS_DrSt_ode23t.png","figure")</f>
        <v>figure</v>
      </c>
      <c r="Q51" t="s">
        <v>15</v>
      </c>
    </row>
    <row r="52" spans="1:17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148</v>
      </c>
      <c r="K52" t="s">
        <v>23</v>
      </c>
      <c r="L52">
        <v>358</v>
      </c>
      <c r="M52">
        <v>4.6871029000000002</v>
      </c>
      <c r="N52">
        <v>229.07784202027287</v>
      </c>
      <c r="O52">
        <v>-4.4376244580902113E-2</v>
      </c>
      <c r="P52" s="1" t="str">
        <f>HYPERLINK(".\sm_car_251026_2256\sm_car_251026_2256_051_Ca131TrN_MaWOT_DrSt_ode23t.png","figure")</f>
        <v>figure</v>
      </c>
      <c r="Q52" t="s">
        <v>15</v>
      </c>
    </row>
    <row r="53" spans="1:17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148</v>
      </c>
      <c r="K53" t="s">
        <v>23</v>
      </c>
      <c r="L53">
        <v>497</v>
      </c>
      <c r="M53">
        <v>5.3622136999999999</v>
      </c>
      <c r="N53">
        <v>70.602295727083487</v>
      </c>
      <c r="O53">
        <v>-0.53477551511658483</v>
      </c>
      <c r="P53" s="1" t="str">
        <f>HYPERLINK(".\sm_car_251026_2256\sm_car_251026_2256_052_Ca131TrN_MaLSS_DrSt_ode23t.png","figure")</f>
        <v>figure</v>
      </c>
      <c r="Q53" t="s">
        <v>15</v>
      </c>
    </row>
    <row r="54" spans="1:17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148</v>
      </c>
      <c r="K54" t="s">
        <v>23</v>
      </c>
      <c r="L54">
        <v>343</v>
      </c>
      <c r="M54">
        <v>4.2160821000000004</v>
      </c>
      <c r="N54">
        <v>229.21902443255587</v>
      </c>
      <c r="O54">
        <v>-9.8219191459657709E-3</v>
      </c>
      <c r="P54" s="1" t="str">
        <f>HYPERLINK(".\sm_car_251026_2256\sm_car_251026_2256_053_Ca132TrN_MaWOT_DrSt_ode23t.png","figure")</f>
        <v>figure</v>
      </c>
      <c r="Q54" t="s">
        <v>15</v>
      </c>
    </row>
    <row r="55" spans="1:17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148</v>
      </c>
      <c r="K55" t="s">
        <v>23</v>
      </c>
      <c r="L55">
        <v>483</v>
      </c>
      <c r="M55">
        <v>4.8629498</v>
      </c>
      <c r="N55">
        <v>70.619870388250135</v>
      </c>
      <c r="O55">
        <v>-0.52604971626147068</v>
      </c>
      <c r="P55" s="1" t="str">
        <f>HYPERLINK(".\sm_car_251026_2256\sm_car_251026_2256_054_Ca132TrN_MaLSS_DrSt_ode23t.png","figure")</f>
        <v>figure</v>
      </c>
      <c r="Q55" t="s">
        <v>15</v>
      </c>
    </row>
    <row r="56" spans="1:17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148</v>
      </c>
      <c r="K56" t="s">
        <v>23</v>
      </c>
      <c r="L56">
        <v>355</v>
      </c>
      <c r="M56">
        <v>4.4230431000000001</v>
      </c>
      <c r="N56">
        <v>228.68587160005899</v>
      </c>
      <c r="O56">
        <v>-1.6564431560954274E-2</v>
      </c>
      <c r="P56" s="1" t="str">
        <f>HYPERLINK(".\sm_car_251026_2256\sm_car_251026_2256_055_Ca133TrN_MaWOT_DrSt_ode23t.png","figure")</f>
        <v>figure</v>
      </c>
      <c r="Q56" t="s">
        <v>15</v>
      </c>
    </row>
    <row r="57" spans="1:17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148</v>
      </c>
      <c r="K57" t="s">
        <v>23</v>
      </c>
      <c r="L57">
        <v>495</v>
      </c>
      <c r="M57">
        <v>5.0547724000000001</v>
      </c>
      <c r="N57">
        <v>70.608675387165434</v>
      </c>
      <c r="O57">
        <v>-0.52095909077436531</v>
      </c>
      <c r="P57" s="1" t="str">
        <f>HYPERLINK(".\sm_car_251026_2256\sm_car_251026_2256_056_Ca133TrN_MaLSS_DrSt_ode23t.png","figure")</f>
        <v>figure</v>
      </c>
      <c r="Q57" t="s">
        <v>15</v>
      </c>
    </row>
    <row r="58" spans="1:17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148</v>
      </c>
      <c r="K58" t="s">
        <v>23</v>
      </c>
      <c r="L58">
        <v>347</v>
      </c>
      <c r="M58">
        <v>4.7396991000000002</v>
      </c>
      <c r="N58">
        <v>229.04170344533264</v>
      </c>
      <c r="O58">
        <v>-1.6172818853142909E-2</v>
      </c>
      <c r="P58" s="1" t="str">
        <f>HYPERLINK(".\sm_car_251026_2256\sm_car_251026_2256_057_Ca134TrN_MaWOT_DrSt_ode23t.png","figure")</f>
        <v>figure</v>
      </c>
      <c r="Q58" t="s">
        <v>15</v>
      </c>
    </row>
    <row r="59" spans="1:17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148</v>
      </c>
      <c r="K59" t="s">
        <v>23</v>
      </c>
      <c r="L59">
        <v>488</v>
      </c>
      <c r="M59">
        <v>5.8978979000000002</v>
      </c>
      <c r="N59">
        <v>70.608894878210947</v>
      </c>
      <c r="O59">
        <v>-0.52438117126796746</v>
      </c>
      <c r="P59" s="1" t="str">
        <f>HYPERLINK(".\sm_car_251026_2256\sm_car_251026_2256_058_Ca134TrN_MaLSS_DrSt_ode23t.png","figure")</f>
        <v>figure</v>
      </c>
      <c r="Q59" t="s">
        <v>15</v>
      </c>
    </row>
    <row r="60" spans="1:17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148</v>
      </c>
      <c r="K60" t="s">
        <v>23</v>
      </c>
      <c r="L60">
        <v>345</v>
      </c>
      <c r="M60">
        <v>5.0265167999999996</v>
      </c>
      <c r="N60">
        <v>229.07087679299556</v>
      </c>
      <c r="O60">
        <v>-1.5344561112923913E-2</v>
      </c>
      <c r="P60" s="1" t="str">
        <f>HYPERLINK(".\sm_car_251026_2256\sm_car_251026_2256_059_Ca135TrN_MaWOT_DrSt_ode23t.png","figure")</f>
        <v>figure</v>
      </c>
      <c r="Q60" t="s">
        <v>15</v>
      </c>
    </row>
    <row r="61" spans="1:17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148</v>
      </c>
      <c r="K61" t="s">
        <v>23</v>
      </c>
      <c r="L61">
        <v>476</v>
      </c>
      <c r="M61">
        <v>6.0058004</v>
      </c>
      <c r="N61">
        <v>70.60040048370648</v>
      </c>
      <c r="O61">
        <v>-0.53027101870204263</v>
      </c>
      <c r="P61" s="1" t="str">
        <f>HYPERLINK(".\sm_car_251026_2256\sm_car_251026_2256_060_Ca135TrN_MaLSS_DrSt_ode23t.png","figure")</f>
        <v>figure</v>
      </c>
      <c r="Q61" t="s">
        <v>15</v>
      </c>
    </row>
    <row r="62" spans="1:17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148</v>
      </c>
      <c r="K62" t="s">
        <v>23</v>
      </c>
      <c r="L62">
        <v>392</v>
      </c>
      <c r="M62">
        <v>6.2740643</v>
      </c>
      <c r="N62">
        <v>229.18127303553271</v>
      </c>
      <c r="O62">
        <v>5.0203433599056595E-2</v>
      </c>
      <c r="P62" s="1" t="str">
        <f>HYPERLINK(".\sm_car_251026_2256\sm_car_251026_2256_061_Ca136TrN_MaWOT_DrSt_ode23t.png","figure")</f>
        <v>figure</v>
      </c>
      <c r="Q62" t="s">
        <v>15</v>
      </c>
    </row>
    <row r="63" spans="1:17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148</v>
      </c>
      <c r="K63" t="s">
        <v>23</v>
      </c>
      <c r="L63">
        <v>522</v>
      </c>
      <c r="M63">
        <v>7.8960271000000004</v>
      </c>
      <c r="N63">
        <v>70.609619678820778</v>
      </c>
      <c r="O63">
        <v>-0.52239920949967211</v>
      </c>
      <c r="P63" s="1" t="str">
        <f>HYPERLINK(".\sm_car_251026_2256\sm_car_251026_2256_062_Ca136TrN_MaLSS_DrSt_ode23t.png","figure")</f>
        <v>figure</v>
      </c>
      <c r="Q63" t="s">
        <v>15</v>
      </c>
    </row>
    <row r="64" spans="1:17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148</v>
      </c>
      <c r="K64" t="s">
        <v>23</v>
      </c>
      <c r="L64">
        <v>328</v>
      </c>
      <c r="M64">
        <v>4.2317397999999997</v>
      </c>
      <c r="N64">
        <v>229.95650595380968</v>
      </c>
      <c r="O64">
        <v>0.13771493433258289</v>
      </c>
      <c r="P64" s="1" t="str">
        <f>HYPERLINK(".\sm_car_251026_2256\sm_car_251026_2256_063_Ca137TrN_MaWOT_DrSt_ode23t.png","figure")</f>
        <v>figure</v>
      </c>
      <c r="Q64" t="s">
        <v>15</v>
      </c>
    </row>
    <row r="65" spans="1:17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148</v>
      </c>
      <c r="K65" t="s">
        <v>23</v>
      </c>
      <c r="L65">
        <v>490</v>
      </c>
      <c r="M65">
        <v>5.1966207000000004</v>
      </c>
      <c r="N65">
        <v>70.869123996066364</v>
      </c>
      <c r="O65">
        <v>-0.50520070010073559</v>
      </c>
      <c r="P65" s="1" t="str">
        <f>HYPERLINK(".\sm_car_251026_2256\sm_car_251026_2256_064_Ca137TrN_MaLSS_DrSt_ode23t.png","figure")</f>
        <v>figure</v>
      </c>
      <c r="Q65" t="s">
        <v>15</v>
      </c>
    </row>
    <row r="66" spans="1:17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148</v>
      </c>
      <c r="K66" t="s">
        <v>23</v>
      </c>
      <c r="L66">
        <v>334</v>
      </c>
      <c r="M66">
        <v>5.9295147999999998</v>
      </c>
      <c r="N66">
        <v>230.06157010523327</v>
      </c>
      <c r="O66">
        <v>0.14728370369953839</v>
      </c>
      <c r="P66" s="1" t="str">
        <f>HYPERLINK(".\sm_car_251026_2256\sm_car_251026_2256_065_Ca138TrN_MaWOT_DrSt_ode23t.png","figure")</f>
        <v>figure</v>
      </c>
      <c r="Q66" t="s">
        <v>15</v>
      </c>
    </row>
    <row r="67" spans="1:17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148</v>
      </c>
      <c r="K67" t="s">
        <v>23</v>
      </c>
      <c r="L67">
        <v>488</v>
      </c>
      <c r="M67">
        <v>7.3625787999999996</v>
      </c>
      <c r="N67">
        <v>70.766369241475488</v>
      </c>
      <c r="O67">
        <v>-0.81689728060981193</v>
      </c>
      <c r="P67" s="1" t="str">
        <f>HYPERLINK(".\sm_car_251026_2256\sm_car_251026_2256_066_Ca138TrN_MaLSS_DrSt_ode23t.png","figure")</f>
        <v>figure</v>
      </c>
      <c r="Q67" t="s">
        <v>15</v>
      </c>
    </row>
    <row r="68" spans="1:17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148</v>
      </c>
      <c r="K68" t="s">
        <v>23</v>
      </c>
      <c r="L68">
        <v>685</v>
      </c>
      <c r="M68">
        <v>25.072619199999998</v>
      </c>
      <c r="N68">
        <v>402.12993141309806</v>
      </c>
      <c r="O68">
        <v>1.5949226577022686</v>
      </c>
      <c r="P68" s="1" t="str">
        <f>HYPERLINK(".\sm_car_251026_2256\sm_car_251026_2256_067_Ca139TrN_MaWOT_DrSt_ode23t.png","figure")</f>
        <v>figure</v>
      </c>
      <c r="Q68" t="s">
        <v>15</v>
      </c>
    </row>
    <row r="69" spans="1:17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148</v>
      </c>
      <c r="K69" t="s">
        <v>23</v>
      </c>
      <c r="L69">
        <v>631</v>
      </c>
      <c r="M69">
        <v>15.549273700000001</v>
      </c>
      <c r="N69">
        <v>153.01603907425562</v>
      </c>
      <c r="O69">
        <v>-0.57453266708719131</v>
      </c>
      <c r="P69" s="1" t="str">
        <f>HYPERLINK(".\sm_car_251026_2256\sm_car_251026_2256_068_Ca139TrN_MaLSS_DrSt_ode23t.png","figure")</f>
        <v>figure</v>
      </c>
      <c r="Q69" t="s">
        <v>15</v>
      </c>
    </row>
    <row r="70" spans="1:17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148</v>
      </c>
      <c r="K70" t="s">
        <v>23</v>
      </c>
      <c r="L70">
        <v>2008</v>
      </c>
      <c r="M70">
        <v>37.0800798</v>
      </c>
      <c r="N70">
        <v>402.33574061600365</v>
      </c>
      <c r="O70">
        <v>1.6353972441956002</v>
      </c>
      <c r="P70" s="1" t="str">
        <f>HYPERLINK(".\sm_car_251026_2256\sm_car_251026_2256_069_Ca141TrN_MaWOT_DrSt_ode23t.png","figure")</f>
        <v>figure</v>
      </c>
      <c r="Q70" t="s">
        <v>15</v>
      </c>
    </row>
    <row r="71" spans="1:17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148</v>
      </c>
      <c r="K71" t="s">
        <v>23</v>
      </c>
      <c r="L71">
        <v>1881</v>
      </c>
      <c r="M71">
        <v>23.4891416</v>
      </c>
      <c r="N71">
        <v>153.11247522255815</v>
      </c>
      <c r="O71">
        <v>-0.57070470402489804</v>
      </c>
      <c r="P71" s="1" t="str">
        <f>HYPERLINK(".\sm_car_251026_2256\sm_car_251026_2256_070_Ca141TrN_MaLSS_DrSt_ode23t.png","figure")</f>
        <v>figure</v>
      </c>
      <c r="Q71" t="s">
        <v>15</v>
      </c>
    </row>
    <row r="72" spans="1:17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148</v>
      </c>
      <c r="K72" t="s">
        <v>23</v>
      </c>
      <c r="L72">
        <v>347</v>
      </c>
      <c r="M72">
        <v>11.2311149</v>
      </c>
      <c r="N72">
        <v>62.427200926843909</v>
      </c>
      <c r="O72">
        <v>1.9557665878516185E-2</v>
      </c>
      <c r="P72" s="1" t="str">
        <f>HYPERLINK(".\sm_car_251026_2256\sm_car_251026_2256_071_Ca143TrN_MaWOT_DrSt_ode23t.png","figure")</f>
        <v>figure</v>
      </c>
      <c r="Q72" t="s">
        <v>15</v>
      </c>
    </row>
    <row r="73" spans="1:17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148</v>
      </c>
      <c r="K73" t="s">
        <v>23</v>
      </c>
      <c r="L73">
        <v>453</v>
      </c>
      <c r="M73">
        <v>14.3664396</v>
      </c>
      <c r="N73">
        <v>24.932035837279081</v>
      </c>
      <c r="O73">
        <v>-5.2454260308705716E-2</v>
      </c>
      <c r="P73" s="1" t="str">
        <f>HYPERLINK(".\sm_car_251026_2256\sm_car_251026_2256_072_Ca143TrN_MaLSS_DrSt_ode23t.png","figure")</f>
        <v>figure</v>
      </c>
      <c r="Q73" t="s">
        <v>15</v>
      </c>
    </row>
    <row r="74" spans="1:17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148</v>
      </c>
      <c r="K74" t="s">
        <v>23</v>
      </c>
      <c r="L74">
        <v>316</v>
      </c>
      <c r="M74">
        <v>8.3418741000000001</v>
      </c>
      <c r="N74">
        <v>76.986476302941625</v>
      </c>
      <c r="O74">
        <v>0.24361135886630739</v>
      </c>
      <c r="P74" s="1" t="str">
        <f>HYPERLINK(".\sm_car_251026_2256\sm_car_251026_2256_073_Ca144TrN_MaWOT_DrSt_ode23t.png","figure")</f>
        <v>figure</v>
      </c>
      <c r="Q74" t="s">
        <v>15</v>
      </c>
    </row>
    <row r="75" spans="1:17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148</v>
      </c>
      <c r="K75" t="s">
        <v>23</v>
      </c>
      <c r="L75">
        <v>464</v>
      </c>
      <c r="M75">
        <v>10.4969564</v>
      </c>
      <c r="N75">
        <v>35.47145411538488</v>
      </c>
      <c r="O75">
        <v>-3.1820174507193974E-2</v>
      </c>
      <c r="P75" s="1" t="str">
        <f>HYPERLINK(".\sm_car_251026_2256\sm_car_251026_2256_074_Ca144TrN_MaLSS_DrSt_ode23t.png","figure")</f>
        <v>figure</v>
      </c>
      <c r="Q75" t="s">
        <v>15</v>
      </c>
    </row>
    <row r="76" spans="1:17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148</v>
      </c>
      <c r="K76" t="s">
        <v>23</v>
      </c>
      <c r="L76">
        <v>2387</v>
      </c>
      <c r="M76">
        <v>26.883724000000001</v>
      </c>
      <c r="N76">
        <v>396.59425150891917</v>
      </c>
      <c r="O76">
        <v>-14.431667343977379</v>
      </c>
      <c r="P76" s="1" t="str">
        <f>HYPERLINK(".\sm_car_251026_2256\sm_car_251026_2256_075_Ca147TrN_MaWOT_DrSt_ode23t.png","figure")</f>
        <v>figure</v>
      </c>
      <c r="Q76" t="s">
        <v>15</v>
      </c>
    </row>
    <row r="77" spans="1:17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148</v>
      </c>
      <c r="K77" t="s">
        <v>23</v>
      </c>
      <c r="L77">
        <v>1272</v>
      </c>
      <c r="M77">
        <v>17.395999</v>
      </c>
      <c r="N77">
        <v>150.41750991267654</v>
      </c>
      <c r="O77">
        <v>-2.165069734267755</v>
      </c>
      <c r="P77" s="1" t="str">
        <f>HYPERLINK(".\sm_car_251026_2256\sm_car_251026_2256_076_Ca147TrN_MaLSS_DrSt_ode23t.png","figure")</f>
        <v>figure</v>
      </c>
      <c r="Q77" t="s">
        <v>15</v>
      </c>
    </row>
    <row r="78" spans="1:17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148</v>
      </c>
      <c r="K78" t="s">
        <v>23</v>
      </c>
      <c r="L78">
        <v>299</v>
      </c>
      <c r="M78">
        <v>7.9359185999999999</v>
      </c>
      <c r="N78">
        <v>229.65460441359193</v>
      </c>
      <c r="O78">
        <v>5.6350163503348727E-3</v>
      </c>
      <c r="P78" s="1" t="str">
        <f>HYPERLINK(".\sm_car_251026_2256\sm_car_251026_2256_077_Ca215TrN_MaWOT_DrSt_ode23t.png","figure")</f>
        <v>figure</v>
      </c>
      <c r="Q78" t="s">
        <v>15</v>
      </c>
    </row>
    <row r="79" spans="1:17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148</v>
      </c>
      <c r="K79" t="s">
        <v>23</v>
      </c>
      <c r="L79">
        <v>478</v>
      </c>
      <c r="M79">
        <v>7.8222145999999997</v>
      </c>
      <c r="N79">
        <v>81.267143573991405</v>
      </c>
      <c r="O79">
        <v>-0.22372258646724202</v>
      </c>
      <c r="P79" s="1" t="str">
        <f>HYPERLINK(".\sm_car_251026_2256\sm_car_251026_2256_078_Ca215TrN_MaLSS_DrSt_ode23t.png","figure")</f>
        <v>figure</v>
      </c>
      <c r="Q79" t="s">
        <v>15</v>
      </c>
    </row>
    <row r="80" spans="1:17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26</v>
      </c>
      <c r="H80" t="s">
        <v>21</v>
      </c>
      <c r="I80" t="s">
        <v>22</v>
      </c>
      <c r="J80" t="s">
        <v>148</v>
      </c>
      <c r="K80" t="s">
        <v>23</v>
      </c>
      <c r="L80">
        <v>350</v>
      </c>
      <c r="M80">
        <v>4.3381511000000001</v>
      </c>
      <c r="N80">
        <v>229.84485262113222</v>
      </c>
      <c r="O80">
        <v>0.17294964971829085</v>
      </c>
      <c r="P80" s="1" t="str">
        <f>HYPERLINK(".\sm_car_251026_2256\sm_car_251026_2256_079_Ca218TrN_MaWOT_DrSt_ode23t.png","figure")</f>
        <v>figure</v>
      </c>
      <c r="Q80" t="s">
        <v>15</v>
      </c>
    </row>
    <row r="81" spans="1:17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26</v>
      </c>
      <c r="H81" t="s">
        <v>21</v>
      </c>
      <c r="I81" t="s">
        <v>24</v>
      </c>
      <c r="J81" t="s">
        <v>148</v>
      </c>
      <c r="K81" t="s">
        <v>23</v>
      </c>
      <c r="L81">
        <v>489</v>
      </c>
      <c r="M81">
        <v>5.7796894999999999</v>
      </c>
      <c r="N81">
        <v>70.781454168033505</v>
      </c>
      <c r="O81">
        <v>-0.53290319728474822</v>
      </c>
      <c r="P81" s="1" t="str">
        <f>HYPERLINK(".\sm_car_251026_2256\sm_car_251026_2256_080_Ca218TrN_MaLSS_DrSt_ode23t.png","figure")</f>
        <v>figure</v>
      </c>
      <c r="Q81" t="s">
        <v>15</v>
      </c>
    </row>
    <row r="82" spans="1:17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26</v>
      </c>
      <c r="H82" t="s">
        <v>21</v>
      </c>
      <c r="I82" t="s">
        <v>22</v>
      </c>
      <c r="J82" t="s">
        <v>148</v>
      </c>
      <c r="K82" t="s">
        <v>23</v>
      </c>
      <c r="L82">
        <v>405</v>
      </c>
      <c r="M82">
        <v>6.8850069999999999</v>
      </c>
      <c r="N82">
        <v>229.01201024927923</v>
      </c>
      <c r="O82">
        <v>0.16973430285928648</v>
      </c>
      <c r="P82" s="1" t="str">
        <f>HYPERLINK(".\sm_car_251026_2256\sm_car_251026_2256_081_Ca219TrN_MaWOT_DrSt_ode23t.png","figure")</f>
        <v>figure</v>
      </c>
      <c r="Q82" t="s">
        <v>15</v>
      </c>
    </row>
    <row r="83" spans="1:17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26</v>
      </c>
      <c r="H83" t="s">
        <v>21</v>
      </c>
      <c r="I83" t="s">
        <v>24</v>
      </c>
      <c r="J83" t="s">
        <v>148</v>
      </c>
      <c r="K83" t="s">
        <v>23</v>
      </c>
      <c r="L83">
        <v>506</v>
      </c>
      <c r="M83">
        <v>8.1234970000000004</v>
      </c>
      <c r="N83">
        <v>70.603246726613236</v>
      </c>
      <c r="O83">
        <v>-0.55724750305352533</v>
      </c>
      <c r="P83" s="1" t="str">
        <f>HYPERLINK(".\sm_car_251026_2256\sm_car_251026_2256_082_Ca219TrN_MaLSS_DrSt_ode23t.png","figure")</f>
        <v>figure</v>
      </c>
      <c r="Q83" t="s">
        <v>15</v>
      </c>
    </row>
    <row r="84" spans="1:17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26</v>
      </c>
      <c r="H84" t="s">
        <v>21</v>
      </c>
      <c r="I84" t="s">
        <v>22</v>
      </c>
      <c r="J84" t="s">
        <v>148</v>
      </c>
      <c r="K84" t="s">
        <v>23</v>
      </c>
      <c r="L84">
        <v>938</v>
      </c>
      <c r="M84">
        <v>32.762284700000002</v>
      </c>
      <c r="N84">
        <v>223.13209113993798</v>
      </c>
      <c r="O84">
        <v>-1.2277025376720379</v>
      </c>
      <c r="P84" s="1" t="str">
        <f>HYPERLINK(".\sm_car_251026_2256\sm_car_251026_2256_083_Ca220TrN_MaWOT_DrSt_ode23t.png","figure")</f>
        <v>figure</v>
      </c>
      <c r="Q84" t="s">
        <v>15</v>
      </c>
    </row>
    <row r="85" spans="1:17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26</v>
      </c>
      <c r="H85" t="s">
        <v>21</v>
      </c>
      <c r="I85" t="s">
        <v>24</v>
      </c>
      <c r="J85" t="s">
        <v>148</v>
      </c>
      <c r="K85" t="s">
        <v>23</v>
      </c>
      <c r="L85">
        <v>1103</v>
      </c>
      <c r="M85">
        <v>36.952339299999998</v>
      </c>
      <c r="N85">
        <v>69.287802095710219</v>
      </c>
      <c r="O85">
        <v>-1.4996097274343529</v>
      </c>
      <c r="P85" s="1" t="str">
        <f>HYPERLINK(".\sm_car_251026_2256\sm_car_251026_2256_084_Ca220TrN_MaLSS_DrSt_ode23t.png","figure")</f>
        <v>figure</v>
      </c>
      <c r="Q85" t="s">
        <v>15</v>
      </c>
    </row>
    <row r="86" spans="1:17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148</v>
      </c>
      <c r="K86" t="s">
        <v>23</v>
      </c>
      <c r="L86">
        <v>462</v>
      </c>
      <c r="M86">
        <v>7.7890651000000002</v>
      </c>
      <c r="N86">
        <v>293.77955369786952</v>
      </c>
      <c r="O86">
        <v>-3.1314827975771235E-4</v>
      </c>
      <c r="P86" s="1" t="str">
        <f>HYPERLINK(".\sm_car_251026_2256\sm_car_251026_2256_085_Ca223TrN_MaWOT_DrSt_ode23t.png","figure")</f>
        <v>figure</v>
      </c>
      <c r="Q86" t="s">
        <v>15</v>
      </c>
    </row>
    <row r="87" spans="1:17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148</v>
      </c>
      <c r="K87" t="s">
        <v>23</v>
      </c>
      <c r="L87">
        <v>639</v>
      </c>
      <c r="M87">
        <v>7.0645138000000003</v>
      </c>
      <c r="N87">
        <v>103.82427138938752</v>
      </c>
      <c r="O87">
        <v>-0.16061104775016852</v>
      </c>
      <c r="P87" s="1" t="str">
        <f>HYPERLINK(".\sm_car_251026_2256\sm_car_251026_2256_086_Ca223TrN_MaLSS_DrSt_ode23t.png","figure")</f>
        <v>figure</v>
      </c>
      <c r="Q87" t="s">
        <v>15</v>
      </c>
    </row>
    <row r="88" spans="1:17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148</v>
      </c>
      <c r="K88" t="s">
        <v>23</v>
      </c>
      <c r="L88">
        <v>748</v>
      </c>
      <c r="M88">
        <v>22.979346700000001</v>
      </c>
      <c r="N88">
        <v>405.71836610539737</v>
      </c>
      <c r="O88">
        <v>-12.4285532737191</v>
      </c>
      <c r="P88" s="1" t="str">
        <f>HYPERLINK(".\sm_car_251026_2256\sm_car_251026_2256_087_Ca227TrN_MaWOT_DrSt_ode23t.png","figure")</f>
        <v>figure</v>
      </c>
      <c r="Q88" t="s">
        <v>15</v>
      </c>
    </row>
    <row r="89" spans="1:17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148</v>
      </c>
      <c r="K89" t="s">
        <v>23</v>
      </c>
      <c r="L89">
        <v>740</v>
      </c>
      <c r="M89">
        <v>14.4864195</v>
      </c>
      <c r="N89">
        <v>154.53987802689124</v>
      </c>
      <c r="O89">
        <v>-2.8514374166230643</v>
      </c>
      <c r="P89" s="1" t="str">
        <f>HYPERLINK(".\sm_car_251026_2256\sm_car_251026_2256_088_Ca227TrN_MaLSS_DrSt_ode23t.png","figure")</f>
        <v>figure</v>
      </c>
      <c r="Q89" t="s">
        <v>15</v>
      </c>
    </row>
    <row r="90" spans="1:17" x14ac:dyDescent="0.25">
      <c r="A90">
        <v>89</v>
      </c>
      <c r="B90">
        <v>8</v>
      </c>
      <c r="C90" t="s">
        <v>16</v>
      </c>
      <c r="D90" t="s">
        <v>17</v>
      </c>
      <c r="E90" t="s">
        <v>49</v>
      </c>
      <c r="F90" t="s">
        <v>19</v>
      </c>
      <c r="G90" t="s">
        <v>20</v>
      </c>
      <c r="H90" t="s">
        <v>21</v>
      </c>
      <c r="I90" t="s">
        <v>22</v>
      </c>
      <c r="J90" t="s">
        <v>148</v>
      </c>
      <c r="K90" t="s">
        <v>23</v>
      </c>
      <c r="L90">
        <v>381</v>
      </c>
      <c r="M90">
        <v>10.0285756</v>
      </c>
      <c r="N90">
        <v>229.8953243687495</v>
      </c>
      <c r="O90">
        <v>-8.3732968694704736E-3</v>
      </c>
      <c r="P90" s="1" t="str">
        <f>HYPERLINK(".\sm_car_251026_2256\sm_car_251026_2256_089_Ca008TrN_MaWOT_DrSt_ode23t_1.png","figure")</f>
        <v>figure</v>
      </c>
      <c r="Q90" t="s">
        <v>15</v>
      </c>
    </row>
    <row r="91" spans="1:17" x14ac:dyDescent="0.25">
      <c r="A91">
        <v>90</v>
      </c>
      <c r="B91">
        <v>8</v>
      </c>
      <c r="C91" t="s">
        <v>16</v>
      </c>
      <c r="D91" t="s">
        <v>17</v>
      </c>
      <c r="E91" t="s">
        <v>49</v>
      </c>
      <c r="F91" t="s">
        <v>19</v>
      </c>
      <c r="G91" t="s">
        <v>20</v>
      </c>
      <c r="H91" t="s">
        <v>21</v>
      </c>
      <c r="I91" t="s">
        <v>24</v>
      </c>
      <c r="J91" t="s">
        <v>148</v>
      </c>
      <c r="K91" t="s">
        <v>23</v>
      </c>
      <c r="L91">
        <v>541</v>
      </c>
      <c r="M91">
        <v>11.9864879</v>
      </c>
      <c r="N91">
        <v>70.880635927346717</v>
      </c>
      <c r="O91">
        <v>-0.52520952740531734</v>
      </c>
      <c r="P91" s="1" t="str">
        <f>HYPERLINK(".\sm_car_251026_2256\sm_car_251026_2256_090_Ca008TrN_MaLSS_DrSt_ode23t_1.png","figure")</f>
        <v>figure</v>
      </c>
      <c r="Q91" t="s">
        <v>15</v>
      </c>
    </row>
    <row r="92" spans="1:17" x14ac:dyDescent="0.25">
      <c r="A92">
        <v>91</v>
      </c>
      <c r="B92">
        <v>13</v>
      </c>
      <c r="C92" t="s">
        <v>16</v>
      </c>
      <c r="D92" t="s">
        <v>17</v>
      </c>
      <c r="E92" t="s">
        <v>49</v>
      </c>
      <c r="F92" t="s">
        <v>28</v>
      </c>
      <c r="G92" t="s">
        <v>25</v>
      </c>
      <c r="H92" t="s">
        <v>21</v>
      </c>
      <c r="I92" t="s">
        <v>22</v>
      </c>
      <c r="J92" t="s">
        <v>148</v>
      </c>
      <c r="K92" t="s">
        <v>23</v>
      </c>
      <c r="L92">
        <v>838</v>
      </c>
      <c r="M92">
        <v>12.322837399999999</v>
      </c>
      <c r="N92">
        <v>229.10530496052823</v>
      </c>
      <c r="O92">
        <v>-1.647684126529134E-2</v>
      </c>
      <c r="P92" s="1" t="str">
        <f>HYPERLINK(".\sm_car_251026_2256\sm_car_251026_2256_091_Ca013TrN_MaWOT_DrSt_ode23t_1.png","figure")</f>
        <v>figure</v>
      </c>
      <c r="Q92" t="s">
        <v>15</v>
      </c>
    </row>
    <row r="93" spans="1:17" x14ac:dyDescent="0.25">
      <c r="A93">
        <v>92</v>
      </c>
      <c r="B93">
        <v>13</v>
      </c>
      <c r="C93" t="s">
        <v>16</v>
      </c>
      <c r="D93" t="s">
        <v>17</v>
      </c>
      <c r="E93" t="s">
        <v>49</v>
      </c>
      <c r="F93" t="s">
        <v>28</v>
      </c>
      <c r="G93" t="s">
        <v>25</v>
      </c>
      <c r="H93" t="s">
        <v>21</v>
      </c>
      <c r="I93" t="s">
        <v>24</v>
      </c>
      <c r="J93" t="s">
        <v>148</v>
      </c>
      <c r="K93" t="s">
        <v>23</v>
      </c>
      <c r="L93">
        <v>1004</v>
      </c>
      <c r="M93">
        <v>14.901240100000001</v>
      </c>
      <c r="N93">
        <v>70.590014398137583</v>
      </c>
      <c r="O93">
        <v>-0.53323183133484175</v>
      </c>
      <c r="P93" s="1" t="str">
        <f>HYPERLINK(".\sm_car_251026_2256\sm_car_251026_2256_092_Ca013TrN_MaLSS_DrSt_ode23t_1.png","figure")</f>
        <v>figure</v>
      </c>
      <c r="Q93" t="s">
        <v>15</v>
      </c>
    </row>
    <row r="94" spans="1:17" x14ac:dyDescent="0.25">
      <c r="A94">
        <v>93</v>
      </c>
      <c r="B94">
        <v>120</v>
      </c>
      <c r="C94" t="s">
        <v>16</v>
      </c>
      <c r="D94" t="s">
        <v>35</v>
      </c>
      <c r="E94" t="s">
        <v>49</v>
      </c>
      <c r="F94" t="s">
        <v>19</v>
      </c>
      <c r="G94" t="s">
        <v>20</v>
      </c>
      <c r="H94" t="s">
        <v>21</v>
      </c>
      <c r="I94" t="s">
        <v>22</v>
      </c>
      <c r="J94" t="s">
        <v>148</v>
      </c>
      <c r="K94" t="s">
        <v>23</v>
      </c>
      <c r="L94">
        <v>416</v>
      </c>
      <c r="M94">
        <v>3.5961305000000001</v>
      </c>
      <c r="N94">
        <v>242.69169978057366</v>
      </c>
      <c r="O94">
        <v>0.23529584198330764</v>
      </c>
      <c r="P94" s="1" t="str">
        <f>HYPERLINK(".\sm_car_251026_2256\sm_car_251026_2256_093_Ca120TrN_MaWOT_DrSt_ode23t_1.png","figure")</f>
        <v>figure</v>
      </c>
      <c r="Q94" t="s">
        <v>15</v>
      </c>
    </row>
    <row r="95" spans="1:17" x14ac:dyDescent="0.25">
      <c r="A95">
        <v>94</v>
      </c>
      <c r="B95">
        <v>120</v>
      </c>
      <c r="C95" t="s">
        <v>16</v>
      </c>
      <c r="D95" t="s">
        <v>35</v>
      </c>
      <c r="E95" t="s">
        <v>49</v>
      </c>
      <c r="F95" t="s">
        <v>19</v>
      </c>
      <c r="G95" t="s">
        <v>20</v>
      </c>
      <c r="H95" t="s">
        <v>21</v>
      </c>
      <c r="I95" t="s">
        <v>24</v>
      </c>
      <c r="J95" t="s">
        <v>148</v>
      </c>
      <c r="K95" t="s">
        <v>23</v>
      </c>
      <c r="L95">
        <v>534</v>
      </c>
      <c r="M95">
        <v>4.1813082000000001</v>
      </c>
      <c r="N95">
        <v>74.671860856427401</v>
      </c>
      <c r="O95">
        <v>-0.33802521123174667</v>
      </c>
      <c r="P95" s="1" t="str">
        <f>HYPERLINK(".\sm_car_251026_2256\sm_car_251026_2256_094_Ca120TrN_MaLSS_DrSt_ode23t_1.png","figure")</f>
        <v>figure</v>
      </c>
      <c r="Q95" t="s">
        <v>15</v>
      </c>
    </row>
    <row r="96" spans="1:17" x14ac:dyDescent="0.25">
      <c r="A96">
        <v>95</v>
      </c>
      <c r="B96">
        <v>126</v>
      </c>
      <c r="C96" t="s">
        <v>16</v>
      </c>
      <c r="D96" t="s">
        <v>35</v>
      </c>
      <c r="E96" t="s">
        <v>49</v>
      </c>
      <c r="F96" t="s">
        <v>28</v>
      </c>
      <c r="G96" t="s">
        <v>26</v>
      </c>
      <c r="H96" t="s">
        <v>21</v>
      </c>
      <c r="I96" t="s">
        <v>22</v>
      </c>
      <c r="J96" t="s">
        <v>148</v>
      </c>
      <c r="K96" t="s">
        <v>23</v>
      </c>
      <c r="L96">
        <v>1022</v>
      </c>
      <c r="M96">
        <v>5.8124491999999996</v>
      </c>
      <c r="N96">
        <v>241.41546566668683</v>
      </c>
      <c r="O96">
        <v>0.2323391212404968</v>
      </c>
      <c r="P96" s="1" t="str">
        <f>HYPERLINK(".\sm_car_251026_2256\sm_car_251026_2256_095_Ca126TrN_MaWOT_DrSt_ode23t_1.png","figure")</f>
        <v>figure</v>
      </c>
      <c r="Q96" t="s">
        <v>15</v>
      </c>
    </row>
    <row r="97" spans="1:17" x14ac:dyDescent="0.25">
      <c r="A97">
        <v>96</v>
      </c>
      <c r="B97">
        <v>126</v>
      </c>
      <c r="C97" t="s">
        <v>16</v>
      </c>
      <c r="D97" t="s">
        <v>35</v>
      </c>
      <c r="E97" t="s">
        <v>49</v>
      </c>
      <c r="F97" t="s">
        <v>28</v>
      </c>
      <c r="G97" t="s">
        <v>26</v>
      </c>
      <c r="H97" t="s">
        <v>21</v>
      </c>
      <c r="I97" t="s">
        <v>24</v>
      </c>
      <c r="J97" t="s">
        <v>148</v>
      </c>
      <c r="K97" t="s">
        <v>23</v>
      </c>
      <c r="L97">
        <v>1168</v>
      </c>
      <c r="M97">
        <v>6.6910021999999998</v>
      </c>
      <c r="N97">
        <v>74.34089197248224</v>
      </c>
      <c r="O97">
        <v>-0.33545293879275834</v>
      </c>
      <c r="P97" s="1" t="str">
        <f>HYPERLINK(".\sm_car_251026_2256\sm_car_251026_2256_096_Ca126TrN_MaLSS_DrSt_ode23t_1.png","figure")</f>
        <v>figure</v>
      </c>
      <c r="Q97" t="s">
        <v>15</v>
      </c>
    </row>
    <row r="98" spans="1:17" x14ac:dyDescent="0.25">
      <c r="A98">
        <v>97</v>
      </c>
      <c r="B98">
        <v>127</v>
      </c>
      <c r="C98" t="s">
        <v>16</v>
      </c>
      <c r="D98" t="s">
        <v>35</v>
      </c>
      <c r="E98" t="s">
        <v>49</v>
      </c>
      <c r="F98" t="s">
        <v>28</v>
      </c>
      <c r="G98" t="s">
        <v>27</v>
      </c>
      <c r="H98" t="s">
        <v>21</v>
      </c>
      <c r="I98" t="s">
        <v>22</v>
      </c>
      <c r="J98" t="s">
        <v>148</v>
      </c>
      <c r="K98" t="s">
        <v>23</v>
      </c>
      <c r="L98">
        <v>1030</v>
      </c>
      <c r="M98">
        <v>5.7433774</v>
      </c>
      <c r="N98">
        <v>241.0636317718475</v>
      </c>
      <c r="O98">
        <v>0.23100938793984671</v>
      </c>
      <c r="P98" s="1" t="str">
        <f>HYPERLINK(".\sm_car_251026_2256\sm_car_251026_2256_097_Ca127TrN_MaWOT_DrSt_ode23t_1.png","figure")</f>
        <v>figure</v>
      </c>
      <c r="Q98" t="s">
        <v>15</v>
      </c>
    </row>
    <row r="99" spans="1:17" x14ac:dyDescent="0.25">
      <c r="A99">
        <v>98</v>
      </c>
      <c r="B99">
        <v>127</v>
      </c>
      <c r="C99" t="s">
        <v>16</v>
      </c>
      <c r="D99" t="s">
        <v>35</v>
      </c>
      <c r="E99" t="s">
        <v>49</v>
      </c>
      <c r="F99" t="s">
        <v>28</v>
      </c>
      <c r="G99" t="s">
        <v>27</v>
      </c>
      <c r="H99" t="s">
        <v>21</v>
      </c>
      <c r="I99" t="s">
        <v>24</v>
      </c>
      <c r="J99" t="s">
        <v>148</v>
      </c>
      <c r="K99" t="s">
        <v>23</v>
      </c>
      <c r="L99">
        <v>1187</v>
      </c>
      <c r="M99">
        <v>6.9486837000000001</v>
      </c>
      <c r="N99">
        <v>74.195688925444827</v>
      </c>
      <c r="O99">
        <v>-0.33259507711745362</v>
      </c>
      <c r="P99" s="1" t="str">
        <f>HYPERLINK(".\sm_car_251026_2256\sm_car_251026_2256_098_Ca127TrN_MaLSS_DrSt_ode23t_1.png","figure")</f>
        <v>figure</v>
      </c>
      <c r="Q99" t="s">
        <v>15</v>
      </c>
    </row>
    <row r="100" spans="1:17" x14ac:dyDescent="0.25">
      <c r="A100">
        <v>99</v>
      </c>
      <c r="B100">
        <v>145</v>
      </c>
      <c r="C100" t="s">
        <v>46</v>
      </c>
      <c r="D100" t="s">
        <v>17</v>
      </c>
      <c r="E100" t="s">
        <v>50</v>
      </c>
      <c r="F100" t="s">
        <v>19</v>
      </c>
      <c r="G100" t="s">
        <v>26</v>
      </c>
      <c r="H100" t="s">
        <v>21</v>
      </c>
      <c r="I100" t="s">
        <v>22</v>
      </c>
      <c r="J100" t="s">
        <v>148</v>
      </c>
      <c r="K100" t="s">
        <v>23</v>
      </c>
      <c r="L100">
        <v>348</v>
      </c>
      <c r="M100">
        <v>13.877739399999999</v>
      </c>
      <c r="N100">
        <v>62.39893455644993</v>
      </c>
      <c r="O100">
        <v>1.9100960803674426E-2</v>
      </c>
      <c r="P100" s="1" t="str">
        <f>HYPERLINK(".\sm_car_251026_2256\sm_car_251026_2256_099_Ca145TrN_MaWOT_DrSt_ode23t_1.png","figure")</f>
        <v>figure</v>
      </c>
      <c r="Q100" t="s">
        <v>15</v>
      </c>
    </row>
    <row r="101" spans="1:17" x14ac:dyDescent="0.25">
      <c r="A101">
        <v>100</v>
      </c>
      <c r="B101">
        <v>145</v>
      </c>
      <c r="C101" t="s">
        <v>46</v>
      </c>
      <c r="D101" t="s">
        <v>17</v>
      </c>
      <c r="E101" t="s">
        <v>50</v>
      </c>
      <c r="F101" t="s">
        <v>19</v>
      </c>
      <c r="G101" t="s">
        <v>26</v>
      </c>
      <c r="H101" t="s">
        <v>21</v>
      </c>
      <c r="I101" t="s">
        <v>24</v>
      </c>
      <c r="J101" t="s">
        <v>148</v>
      </c>
      <c r="K101" t="s">
        <v>23</v>
      </c>
      <c r="L101">
        <v>472</v>
      </c>
      <c r="M101">
        <v>17.454270900000001</v>
      </c>
      <c r="N101">
        <v>24.926444342083546</v>
      </c>
      <c r="O101">
        <v>-4.9182368950001838E-2</v>
      </c>
      <c r="P101" s="1" t="str">
        <f>HYPERLINK(".\sm_car_251026_2256\sm_car_251026_2256_100_Ca145TrN_MaLSS_DrSt_ode23t_1.png","figure")</f>
        <v>figure</v>
      </c>
      <c r="Q101" t="s">
        <v>15</v>
      </c>
    </row>
    <row r="102" spans="1:17" x14ac:dyDescent="0.25">
      <c r="A102">
        <v>101</v>
      </c>
      <c r="B102">
        <v>184</v>
      </c>
      <c r="C102" t="s">
        <v>105</v>
      </c>
      <c r="D102" t="s">
        <v>120</v>
      </c>
      <c r="E102" t="s">
        <v>49</v>
      </c>
      <c r="F102" t="s">
        <v>19</v>
      </c>
      <c r="G102" t="s">
        <v>20</v>
      </c>
      <c r="H102" t="s">
        <v>21</v>
      </c>
      <c r="I102" t="s">
        <v>22</v>
      </c>
      <c r="J102" t="s">
        <v>148</v>
      </c>
      <c r="K102" t="s">
        <v>23</v>
      </c>
      <c r="L102">
        <v>294</v>
      </c>
      <c r="M102">
        <v>15.0496889</v>
      </c>
      <c r="N102">
        <v>294.7425572134149</v>
      </c>
      <c r="O102">
        <v>-1.9068658722340426E-3</v>
      </c>
      <c r="P102" s="1" t="str">
        <f>HYPERLINK(".\sm_car_251026_2256\sm_car_251026_2256_101_Ca184TrN_MaWOT_DrSt_ode23t_1.png","figure")</f>
        <v>figure</v>
      </c>
      <c r="Q102" t="s">
        <v>15</v>
      </c>
    </row>
    <row r="103" spans="1:17" x14ac:dyDescent="0.25">
      <c r="A103">
        <v>102</v>
      </c>
      <c r="B103">
        <v>184</v>
      </c>
      <c r="C103" t="s">
        <v>105</v>
      </c>
      <c r="D103" t="s">
        <v>120</v>
      </c>
      <c r="E103" t="s">
        <v>49</v>
      </c>
      <c r="F103" t="s">
        <v>19</v>
      </c>
      <c r="G103" t="s">
        <v>20</v>
      </c>
      <c r="H103" t="s">
        <v>21</v>
      </c>
      <c r="I103" t="s">
        <v>24</v>
      </c>
      <c r="J103" t="s">
        <v>148</v>
      </c>
      <c r="K103" t="s">
        <v>23</v>
      </c>
      <c r="L103">
        <v>462</v>
      </c>
      <c r="M103">
        <v>11.932536300000001</v>
      </c>
      <c r="N103">
        <v>103.58583909058389</v>
      </c>
      <c r="O103">
        <v>-0.20818102623877244</v>
      </c>
      <c r="P103" s="1" t="str">
        <f>HYPERLINK(".\sm_car_251026_2256\sm_car_251026_2256_102_Ca184TrN_MaLSS_DrSt_ode23t_1.png","figure")</f>
        <v>figure</v>
      </c>
      <c r="Q103" t="s">
        <v>15</v>
      </c>
    </row>
    <row r="104" spans="1:17" x14ac:dyDescent="0.25">
      <c r="A104">
        <v>103</v>
      </c>
      <c r="B104">
        <v>217</v>
      </c>
      <c r="C104" t="s">
        <v>45</v>
      </c>
      <c r="D104" t="s">
        <v>17</v>
      </c>
      <c r="E104" t="s">
        <v>107</v>
      </c>
      <c r="F104" t="s">
        <v>119</v>
      </c>
      <c r="G104" t="s">
        <v>26</v>
      </c>
      <c r="H104" t="s">
        <v>21</v>
      </c>
      <c r="I104" t="s">
        <v>22</v>
      </c>
      <c r="J104" t="s">
        <v>148</v>
      </c>
      <c r="K104" t="s">
        <v>23</v>
      </c>
      <c r="L104">
        <v>745</v>
      </c>
      <c r="M104">
        <v>32.8250636</v>
      </c>
      <c r="N104">
        <v>276.45051411519063</v>
      </c>
      <c r="O104">
        <v>0.7480196680218717</v>
      </c>
      <c r="P104" s="1" t="str">
        <f>HYPERLINK(".\sm_car_251026_2256\sm_car_251026_2256_103_Ca217TrN_MaWOT_DrSt_ode23t_1.png","figure")</f>
        <v>figure</v>
      </c>
      <c r="Q104" t="s">
        <v>15</v>
      </c>
    </row>
    <row r="105" spans="1:17" x14ac:dyDescent="0.25">
      <c r="A105">
        <v>104</v>
      </c>
      <c r="B105">
        <v>217</v>
      </c>
      <c r="C105" t="s">
        <v>45</v>
      </c>
      <c r="D105" t="s">
        <v>17</v>
      </c>
      <c r="E105" t="s">
        <v>107</v>
      </c>
      <c r="F105" t="s">
        <v>119</v>
      </c>
      <c r="G105" t="s">
        <v>26</v>
      </c>
      <c r="H105" t="s">
        <v>21</v>
      </c>
      <c r="I105" t="s">
        <v>24</v>
      </c>
      <c r="J105" t="s">
        <v>148</v>
      </c>
      <c r="K105" t="s">
        <v>23</v>
      </c>
      <c r="L105">
        <v>851</v>
      </c>
      <c r="M105">
        <v>35.898382699999999</v>
      </c>
      <c r="N105">
        <v>109.20514550000151</v>
      </c>
      <c r="O105">
        <v>-0.33862069182968962</v>
      </c>
      <c r="P105" s="1" t="str">
        <f>HYPERLINK(".\sm_car_251026_2256\sm_car_251026_2256_104_Ca217TrN_MaLSS_DrSt_ode23t_1.png","figure")</f>
        <v>figure</v>
      </c>
      <c r="Q105" t="s">
        <v>15</v>
      </c>
    </row>
    <row r="106" spans="1:17" x14ac:dyDescent="0.25">
      <c r="A106">
        <v>105</v>
      </c>
      <c r="B106">
        <v>12</v>
      </c>
      <c r="C106" t="s">
        <v>16</v>
      </c>
      <c r="D106" t="s">
        <v>17</v>
      </c>
      <c r="E106" t="s">
        <v>49</v>
      </c>
      <c r="F106" t="s">
        <v>28</v>
      </c>
      <c r="G106" t="s">
        <v>20</v>
      </c>
      <c r="H106" t="s">
        <v>21</v>
      </c>
      <c r="I106" t="s">
        <v>53</v>
      </c>
      <c r="J106" t="s">
        <v>148</v>
      </c>
      <c r="K106" t="s">
        <v>23</v>
      </c>
      <c r="L106">
        <v>866</v>
      </c>
      <c r="M106">
        <v>10.907059</v>
      </c>
      <c r="N106">
        <v>254.35662280363181</v>
      </c>
      <c r="O106">
        <v>4.3838780396370236E-2</v>
      </c>
      <c r="P106" s="1" t="str">
        <f>HYPERLINK(".\sm_car_251026_2256\sm_car_251026_2256_105_Ca012TrN_MaDLC_DrSt_ode23t_1.png","figure")</f>
        <v>figure</v>
      </c>
      <c r="Q106" t="s">
        <v>15</v>
      </c>
    </row>
    <row r="107" spans="1:17" x14ac:dyDescent="0.25">
      <c r="A107">
        <v>106</v>
      </c>
      <c r="B107">
        <v>12</v>
      </c>
      <c r="C107" t="s">
        <v>16</v>
      </c>
      <c r="D107" t="s">
        <v>17</v>
      </c>
      <c r="E107" t="s">
        <v>49</v>
      </c>
      <c r="F107" t="s">
        <v>28</v>
      </c>
      <c r="G107" t="s">
        <v>20</v>
      </c>
      <c r="H107" t="s">
        <v>21</v>
      </c>
      <c r="I107" t="s">
        <v>54</v>
      </c>
      <c r="J107" t="s">
        <v>148</v>
      </c>
      <c r="K107" t="s">
        <v>23</v>
      </c>
      <c r="L107">
        <v>899</v>
      </c>
      <c r="M107">
        <v>14.0996246</v>
      </c>
      <c r="N107">
        <v>74.404896805960632</v>
      </c>
      <c r="O107">
        <v>0.70190099805204831</v>
      </c>
      <c r="P107" s="1" t="str">
        <f>HYPERLINK(".\sm_car_251026_2256\sm_car_251026_2256_106_Ca012TrN_MaIPA_DrSt_ode23t_1.png","figure")</f>
        <v>figure</v>
      </c>
      <c r="Q107" t="s">
        <v>15</v>
      </c>
    </row>
    <row r="108" spans="1:17" x14ac:dyDescent="0.25">
      <c r="A108">
        <v>107</v>
      </c>
      <c r="B108">
        <v>142</v>
      </c>
      <c r="C108" t="s">
        <v>45</v>
      </c>
      <c r="D108" t="s">
        <v>17</v>
      </c>
      <c r="E108" t="s">
        <v>49</v>
      </c>
      <c r="F108" t="s">
        <v>28</v>
      </c>
      <c r="G108" t="s">
        <v>26</v>
      </c>
      <c r="H108" t="s">
        <v>21</v>
      </c>
      <c r="I108" t="s">
        <v>53</v>
      </c>
      <c r="J108" t="s">
        <v>148</v>
      </c>
      <c r="K108" t="s">
        <v>23</v>
      </c>
      <c r="L108">
        <v>986</v>
      </c>
      <c r="M108">
        <v>16.6818092</v>
      </c>
      <c r="N108">
        <v>257.37178628667829</v>
      </c>
      <c r="O108">
        <v>-5.7188111937720443E-3</v>
      </c>
      <c r="P108" s="1" t="str">
        <f>HYPERLINK(".\sm_car_251026_2256\sm_car_251026_2256_107_Ca142TrN_MaDLC_DrSt_ode23t_1.png","figure")</f>
        <v>figure</v>
      </c>
      <c r="Q108" t="s">
        <v>15</v>
      </c>
    </row>
    <row r="109" spans="1:17" x14ac:dyDescent="0.25">
      <c r="A109">
        <v>108</v>
      </c>
      <c r="B109">
        <v>142</v>
      </c>
      <c r="C109" t="s">
        <v>45</v>
      </c>
      <c r="D109" t="s">
        <v>17</v>
      </c>
      <c r="E109" t="s">
        <v>49</v>
      </c>
      <c r="F109" t="s">
        <v>28</v>
      </c>
      <c r="G109" t="s">
        <v>26</v>
      </c>
      <c r="H109" t="s">
        <v>21</v>
      </c>
      <c r="I109" t="s">
        <v>54</v>
      </c>
      <c r="J109" t="s">
        <v>148</v>
      </c>
      <c r="K109" t="s">
        <v>23</v>
      </c>
      <c r="L109">
        <v>2626</v>
      </c>
      <c r="M109">
        <v>117.30693410000001</v>
      </c>
      <c r="N109">
        <v>82.599364953240922</v>
      </c>
      <c r="O109">
        <v>0.64727979655148138</v>
      </c>
      <c r="P109" s="1" t="str">
        <f>HYPERLINK(".\sm_car_251026_2256\sm_car_251026_2256_108_Ca142TrN_MaIPA_DrSt_ode23t_1.png","figure")</f>
        <v>figure</v>
      </c>
      <c r="Q109" t="s">
        <v>15</v>
      </c>
    </row>
    <row r="110" spans="1:17" x14ac:dyDescent="0.25">
      <c r="A110">
        <v>109</v>
      </c>
      <c r="B110">
        <v>145</v>
      </c>
      <c r="C110" t="s">
        <v>46</v>
      </c>
      <c r="D110" t="s">
        <v>17</v>
      </c>
      <c r="E110" t="s">
        <v>50</v>
      </c>
      <c r="F110" t="s">
        <v>19</v>
      </c>
      <c r="G110" t="s">
        <v>26</v>
      </c>
      <c r="H110" t="s">
        <v>21</v>
      </c>
      <c r="I110" t="s">
        <v>53</v>
      </c>
      <c r="J110" t="s">
        <v>148</v>
      </c>
      <c r="K110" t="s">
        <v>23</v>
      </c>
      <c r="L110">
        <v>456</v>
      </c>
      <c r="M110">
        <v>14.9215473</v>
      </c>
      <c r="N110">
        <v>253.91319581641682</v>
      </c>
      <c r="O110">
        <v>7.4963089743133704E-2</v>
      </c>
      <c r="P110" s="1" t="str">
        <f>HYPERLINK(".\sm_car_251026_2256\sm_car_251026_2256_109_Ca145TrN_MaDLC_DrSt_ode23t_1.png","figure")</f>
        <v>figure</v>
      </c>
      <c r="Q110" t="s">
        <v>15</v>
      </c>
    </row>
    <row r="111" spans="1:17" x14ac:dyDescent="0.25">
      <c r="A111">
        <v>110</v>
      </c>
      <c r="B111">
        <v>145</v>
      </c>
      <c r="C111" t="s">
        <v>46</v>
      </c>
      <c r="D111" t="s">
        <v>17</v>
      </c>
      <c r="E111" t="s">
        <v>50</v>
      </c>
      <c r="F111" t="s">
        <v>19</v>
      </c>
      <c r="G111" t="s">
        <v>26</v>
      </c>
      <c r="H111" t="s">
        <v>21</v>
      </c>
      <c r="I111" t="s">
        <v>54</v>
      </c>
      <c r="J111" t="s">
        <v>148</v>
      </c>
      <c r="K111" t="s">
        <v>23</v>
      </c>
      <c r="L111">
        <v>325</v>
      </c>
      <c r="M111">
        <v>12.5549433</v>
      </c>
      <c r="N111">
        <v>27.998461636590214</v>
      </c>
      <c r="O111">
        <v>1.5705800278626725E-2</v>
      </c>
      <c r="P111" s="1" t="str">
        <f>HYPERLINK(".\sm_car_251026_2256\sm_car_251026_2256_110_Ca145TrN_MaIPA_DrSt_ode23t_1.png","figure")</f>
        <v>figure</v>
      </c>
      <c r="Q111" t="s">
        <v>15</v>
      </c>
    </row>
    <row r="112" spans="1:17" x14ac:dyDescent="0.25">
      <c r="A112">
        <v>111</v>
      </c>
      <c r="B112">
        <v>184</v>
      </c>
      <c r="C112" t="s">
        <v>105</v>
      </c>
      <c r="D112" t="s">
        <v>120</v>
      </c>
      <c r="E112" t="s">
        <v>49</v>
      </c>
      <c r="F112" t="s">
        <v>19</v>
      </c>
      <c r="G112" t="s">
        <v>20</v>
      </c>
      <c r="H112" t="s">
        <v>21</v>
      </c>
      <c r="I112" t="s">
        <v>53</v>
      </c>
      <c r="J112" t="s">
        <v>148</v>
      </c>
      <c r="K112" t="s">
        <v>23</v>
      </c>
      <c r="L112">
        <v>378</v>
      </c>
      <c r="M112">
        <v>10.0160129</v>
      </c>
      <c r="N112">
        <v>253.81512681897908</v>
      </c>
      <c r="O112">
        <v>1.0987491951262474E-2</v>
      </c>
      <c r="P112" s="1" t="str">
        <f>HYPERLINK(".\sm_car_251026_2256\sm_car_251026_2256_111_Ca184TrN_MaDLC_DrSt_ode23t_1.png","figure")</f>
        <v>figure</v>
      </c>
      <c r="Q112" t="s">
        <v>15</v>
      </c>
    </row>
    <row r="113" spans="1:17" x14ac:dyDescent="0.25">
      <c r="A113">
        <v>112</v>
      </c>
      <c r="B113">
        <v>184</v>
      </c>
      <c r="C113" t="s">
        <v>105</v>
      </c>
      <c r="D113" t="s">
        <v>120</v>
      </c>
      <c r="E113" t="s">
        <v>49</v>
      </c>
      <c r="F113" t="s">
        <v>19</v>
      </c>
      <c r="G113" t="s">
        <v>20</v>
      </c>
      <c r="H113" t="s">
        <v>21</v>
      </c>
      <c r="I113" t="s">
        <v>54</v>
      </c>
      <c r="J113" t="s">
        <v>148</v>
      </c>
      <c r="K113" t="s">
        <v>23</v>
      </c>
      <c r="L113">
        <v>304</v>
      </c>
      <c r="M113">
        <v>11.6673437</v>
      </c>
      <c r="N113">
        <v>55.268394407370316</v>
      </c>
      <c r="O113">
        <v>5.7474368071896874E-3</v>
      </c>
      <c r="P113" s="1" t="str">
        <f>HYPERLINK(".\sm_car_251026_2256\sm_car_251026_2256_112_Ca184TrN_MaIPA_DrSt_ode23t_1.png","figure")</f>
        <v>figure</v>
      </c>
      <c r="Q113" t="s">
        <v>15</v>
      </c>
    </row>
    <row r="114" spans="1:17" x14ac:dyDescent="0.25">
      <c r="A114">
        <v>113</v>
      </c>
      <c r="B114">
        <v>204</v>
      </c>
      <c r="C114" t="s">
        <v>105</v>
      </c>
      <c r="D114" t="s">
        <v>106</v>
      </c>
      <c r="E114" t="s">
        <v>18</v>
      </c>
      <c r="F114" t="s">
        <v>19</v>
      </c>
      <c r="G114" t="s">
        <v>20</v>
      </c>
      <c r="H114" t="s">
        <v>21</v>
      </c>
      <c r="I114" t="s">
        <v>53</v>
      </c>
      <c r="J114" t="s">
        <v>148</v>
      </c>
      <c r="K114" t="s">
        <v>23</v>
      </c>
      <c r="L114">
        <v>1846</v>
      </c>
      <c r="M114">
        <v>24.1934699</v>
      </c>
      <c r="N114">
        <v>254.66277026108662</v>
      </c>
      <c r="O114">
        <v>1.8069888375600307E-2</v>
      </c>
      <c r="P114" s="1" t="str">
        <f>HYPERLINK(".\sm_car_251026_2256\sm_car_251026_2256_113_Ca204TrN_MaDLC_DrSt_ode23t_1.png","figure")</f>
        <v>figure</v>
      </c>
      <c r="Q114" t="s">
        <v>15</v>
      </c>
    </row>
    <row r="115" spans="1:17" x14ac:dyDescent="0.25">
      <c r="A115">
        <v>114</v>
      </c>
      <c r="B115">
        <v>204</v>
      </c>
      <c r="C115" t="s">
        <v>105</v>
      </c>
      <c r="D115" t="s">
        <v>106</v>
      </c>
      <c r="E115" t="s">
        <v>18</v>
      </c>
      <c r="F115" t="s">
        <v>19</v>
      </c>
      <c r="G115" t="s">
        <v>20</v>
      </c>
      <c r="H115" t="s">
        <v>21</v>
      </c>
      <c r="I115" t="s">
        <v>54</v>
      </c>
      <c r="J115" t="s">
        <v>148</v>
      </c>
      <c r="K115" t="s">
        <v>23</v>
      </c>
      <c r="L115">
        <v>663</v>
      </c>
      <c r="M115">
        <v>10.237470099999999</v>
      </c>
      <c r="N115">
        <v>26.034582908336471</v>
      </c>
      <c r="O115">
        <v>9.6641497332310318E-3</v>
      </c>
      <c r="P115" s="1" t="str">
        <f>HYPERLINK(".\sm_car_251026_2256\sm_car_251026_2256_114_Ca204TrN_MaIPA_DrSt_ode23t_1.png","figure")</f>
        <v>figure</v>
      </c>
      <c r="Q115" t="s">
        <v>15</v>
      </c>
    </row>
    <row r="116" spans="1:17" x14ac:dyDescent="0.25">
      <c r="A116">
        <v>115</v>
      </c>
      <c r="B116">
        <v>12</v>
      </c>
      <c r="C116" t="s">
        <v>16</v>
      </c>
      <c r="D116" t="s">
        <v>17</v>
      </c>
      <c r="E116" t="s">
        <v>49</v>
      </c>
      <c r="F116" t="s">
        <v>28</v>
      </c>
      <c r="G116" t="s">
        <v>20</v>
      </c>
      <c r="H116" t="s">
        <v>21</v>
      </c>
      <c r="I116" t="s">
        <v>55</v>
      </c>
      <c r="J116" t="s">
        <v>148</v>
      </c>
      <c r="K116" t="s">
        <v>23</v>
      </c>
      <c r="L116">
        <v>2568</v>
      </c>
      <c r="M116">
        <v>27.0678856</v>
      </c>
      <c r="N116">
        <v>1.4112706717649137E-3</v>
      </c>
      <c r="O116">
        <v>-0.64638269016647132</v>
      </c>
      <c r="P116" s="1" t="str">
        <f>HYPERLINK(".\sm_car_251026_2256\sm_car_251026_2256_115_Ca012TrN_MaMPK_DrSt_ode23t_1.png","figure")</f>
        <v>figure</v>
      </c>
      <c r="Q116" t="s">
        <v>15</v>
      </c>
    </row>
    <row r="117" spans="1:17" x14ac:dyDescent="0.25">
      <c r="A117">
        <v>116</v>
      </c>
      <c r="B117">
        <v>12</v>
      </c>
      <c r="C117" t="s">
        <v>16</v>
      </c>
      <c r="D117" t="s">
        <v>17</v>
      </c>
      <c r="E117" t="s">
        <v>49</v>
      </c>
      <c r="F117" t="s">
        <v>28</v>
      </c>
      <c r="G117" t="s">
        <v>20</v>
      </c>
      <c r="H117" t="s">
        <v>21</v>
      </c>
      <c r="I117" t="s">
        <v>55</v>
      </c>
      <c r="J117" t="s">
        <v>149</v>
      </c>
      <c r="K117" t="s">
        <v>23</v>
      </c>
      <c r="L117">
        <v>2396</v>
      </c>
      <c r="M117">
        <v>24.652536900000001</v>
      </c>
      <c r="N117">
        <v>-1.0075122451985816E-2</v>
      </c>
      <c r="O117">
        <v>-3.8070463547379682E-2</v>
      </c>
      <c r="P117" s="1" t="str">
        <f>HYPERLINK(".\sm_car_251026_2256\sm_car_251026_2256_116_Ca012TrN_MaMPK_DrSt_ode23t_1.png","figure")</f>
        <v>figure</v>
      </c>
      <c r="Q117" t="s">
        <v>15</v>
      </c>
    </row>
    <row r="118" spans="1:17" x14ac:dyDescent="0.25">
      <c r="A118">
        <v>117</v>
      </c>
      <c r="B118">
        <v>12</v>
      </c>
      <c r="C118" t="s">
        <v>16</v>
      </c>
      <c r="D118" t="s">
        <v>17</v>
      </c>
      <c r="E118" t="s">
        <v>49</v>
      </c>
      <c r="F118" t="s">
        <v>28</v>
      </c>
      <c r="G118" t="s">
        <v>20</v>
      </c>
      <c r="H118" t="s">
        <v>21</v>
      </c>
      <c r="I118" t="s">
        <v>56</v>
      </c>
      <c r="J118" t="s">
        <v>148</v>
      </c>
      <c r="K118" t="s">
        <v>23</v>
      </c>
      <c r="L118">
        <v>2418</v>
      </c>
      <c r="M118">
        <v>23.499112199999999</v>
      </c>
      <c r="N118">
        <v>0.7815394173634207</v>
      </c>
      <c r="O118">
        <v>-0.33085038090582436</v>
      </c>
      <c r="P118" s="1" t="str">
        <f>HYPERLINK(".\sm_car_251026_2256\sm_car_251026_2256_117_Ca012TrN_MaMPC_DrSt_ode23t_1.png","figure")</f>
        <v>figure</v>
      </c>
      <c r="Q118" t="s">
        <v>15</v>
      </c>
    </row>
    <row r="119" spans="1:17" x14ac:dyDescent="0.25">
      <c r="A119">
        <v>118</v>
      </c>
      <c r="B119">
        <v>12</v>
      </c>
      <c r="C119" t="s">
        <v>16</v>
      </c>
      <c r="D119" t="s">
        <v>17</v>
      </c>
      <c r="E119" t="s">
        <v>49</v>
      </c>
      <c r="F119" t="s">
        <v>28</v>
      </c>
      <c r="G119" t="s">
        <v>20</v>
      </c>
      <c r="H119" t="s">
        <v>21</v>
      </c>
      <c r="I119" t="s">
        <v>56</v>
      </c>
      <c r="J119" t="s">
        <v>149</v>
      </c>
      <c r="K119" t="s">
        <v>23</v>
      </c>
      <c r="L119">
        <v>2238</v>
      </c>
      <c r="M119">
        <v>23.011605299999999</v>
      </c>
      <c r="N119">
        <v>0.76769082448496917</v>
      </c>
      <c r="O119">
        <v>0.10506005799265003</v>
      </c>
      <c r="P119" s="1" t="str">
        <f>HYPERLINK(".\sm_car_251026_2256\sm_car_251026_2256_118_Ca012TrN_MaMPC_DrSt_ode23t_1.png","figure")</f>
        <v>figure</v>
      </c>
      <c r="Q119" t="s">
        <v>15</v>
      </c>
    </row>
    <row r="120" spans="1:17" x14ac:dyDescent="0.25">
      <c r="A120">
        <v>119</v>
      </c>
      <c r="B120">
        <v>142</v>
      </c>
      <c r="C120" t="s">
        <v>45</v>
      </c>
      <c r="D120" t="s">
        <v>17</v>
      </c>
      <c r="E120" t="s">
        <v>49</v>
      </c>
      <c r="F120" t="s">
        <v>28</v>
      </c>
      <c r="G120" t="s">
        <v>26</v>
      </c>
      <c r="H120" t="s">
        <v>21</v>
      </c>
      <c r="I120" t="s">
        <v>55</v>
      </c>
      <c r="J120" t="s">
        <v>148</v>
      </c>
      <c r="K120" t="s">
        <v>23</v>
      </c>
      <c r="L120">
        <v>2546</v>
      </c>
      <c r="M120">
        <v>36.024422199999997</v>
      </c>
      <c r="N120">
        <v>-1.9317177091869503E-2</v>
      </c>
      <c r="O120">
        <v>-0.55926004098910176</v>
      </c>
      <c r="P120" s="1" t="str">
        <f>HYPERLINK(".\sm_car_251026_2256\sm_car_251026_2256_119_Ca142TrN_MaMPK_DrSt_ode23t_1.png","figure")</f>
        <v>figure</v>
      </c>
      <c r="Q120" t="s">
        <v>15</v>
      </c>
    </row>
    <row r="121" spans="1:17" x14ac:dyDescent="0.25">
      <c r="A121">
        <v>120</v>
      </c>
      <c r="B121">
        <v>142</v>
      </c>
      <c r="C121" t="s">
        <v>45</v>
      </c>
      <c r="D121" t="s">
        <v>17</v>
      </c>
      <c r="E121" t="s">
        <v>49</v>
      </c>
      <c r="F121" t="s">
        <v>28</v>
      </c>
      <c r="G121" t="s">
        <v>26</v>
      </c>
      <c r="H121" t="s">
        <v>21</v>
      </c>
      <c r="I121" t="s">
        <v>55</v>
      </c>
      <c r="J121" t="s">
        <v>149</v>
      </c>
      <c r="K121" t="s">
        <v>23</v>
      </c>
      <c r="L121">
        <v>2893</v>
      </c>
      <c r="M121">
        <v>32.596854399999998</v>
      </c>
      <c r="N121">
        <v>-9.9208819743329818E-3</v>
      </c>
      <c r="O121">
        <v>-8.0033300263244109E-2</v>
      </c>
      <c r="P121" s="1" t="str">
        <f>HYPERLINK(".\sm_car_251026_2256\sm_car_251026_2256_120_Ca142TrN_MaMPK_DrSt_ode23t_1.png","figure")</f>
        <v>figure</v>
      </c>
      <c r="Q121" t="s">
        <v>15</v>
      </c>
    </row>
    <row r="122" spans="1:17" x14ac:dyDescent="0.25">
      <c r="A122">
        <v>121</v>
      </c>
      <c r="B122">
        <v>142</v>
      </c>
      <c r="C122" t="s">
        <v>45</v>
      </c>
      <c r="D122" t="s">
        <v>17</v>
      </c>
      <c r="E122" t="s">
        <v>49</v>
      </c>
      <c r="F122" t="s">
        <v>28</v>
      </c>
      <c r="G122" t="s">
        <v>26</v>
      </c>
      <c r="H122" t="s">
        <v>21</v>
      </c>
      <c r="I122" t="s">
        <v>56</v>
      </c>
      <c r="J122" t="s">
        <v>148</v>
      </c>
      <c r="K122" t="s">
        <v>23</v>
      </c>
      <c r="L122">
        <v>2395</v>
      </c>
      <c r="M122">
        <v>34.168571200000002</v>
      </c>
      <c r="N122">
        <v>0.78944790682722399</v>
      </c>
      <c r="O122">
        <v>-0.37171690696123677</v>
      </c>
      <c r="P122" s="1" t="str">
        <f>HYPERLINK(".\sm_car_251026_2256\sm_car_251026_2256_121_Ca142TrN_MaMPC_DrSt_ode23t_1.png","figure")</f>
        <v>figure</v>
      </c>
      <c r="Q122" t="s">
        <v>15</v>
      </c>
    </row>
    <row r="123" spans="1:17" x14ac:dyDescent="0.25">
      <c r="A123">
        <v>122</v>
      </c>
      <c r="B123">
        <v>142</v>
      </c>
      <c r="C123" t="s">
        <v>45</v>
      </c>
      <c r="D123" t="s">
        <v>17</v>
      </c>
      <c r="E123" t="s">
        <v>49</v>
      </c>
      <c r="F123" t="s">
        <v>28</v>
      </c>
      <c r="G123" t="s">
        <v>26</v>
      </c>
      <c r="H123" t="s">
        <v>21</v>
      </c>
      <c r="I123" t="s">
        <v>56</v>
      </c>
      <c r="J123" t="s">
        <v>149</v>
      </c>
      <c r="K123" t="s">
        <v>23</v>
      </c>
      <c r="L123">
        <v>2758</v>
      </c>
      <c r="M123">
        <v>39.560200500000001</v>
      </c>
      <c r="N123">
        <v>0.77752534485677316</v>
      </c>
      <c r="O123">
        <v>1.6989858832850556E-2</v>
      </c>
      <c r="P123" s="1" t="str">
        <f>HYPERLINK(".\sm_car_251026_2256\sm_car_251026_2256_122_Ca142TrN_MaMPC_DrSt_ode23t_1.png","figure")</f>
        <v>figure</v>
      </c>
      <c r="Q123" t="s">
        <v>15</v>
      </c>
    </row>
    <row r="124" spans="1:17" x14ac:dyDescent="0.25">
      <c r="A124">
        <v>123</v>
      </c>
      <c r="B124">
        <v>116</v>
      </c>
      <c r="C124" t="s">
        <v>16</v>
      </c>
      <c r="D124" t="s">
        <v>35</v>
      </c>
      <c r="E124" t="s">
        <v>18</v>
      </c>
      <c r="F124" t="s">
        <v>28</v>
      </c>
      <c r="G124" t="s">
        <v>20</v>
      </c>
      <c r="H124" t="s">
        <v>21</v>
      </c>
      <c r="I124" t="s">
        <v>55</v>
      </c>
      <c r="J124" t="s">
        <v>148</v>
      </c>
      <c r="K124" t="s">
        <v>23</v>
      </c>
      <c r="L124">
        <v>2865</v>
      </c>
      <c r="M124">
        <v>14.6916165</v>
      </c>
      <c r="N124">
        <v>-1.6169286702505836E-2</v>
      </c>
      <c r="O124">
        <v>-0.54248772235454312</v>
      </c>
      <c r="P124" s="1" t="str">
        <f>HYPERLINK(".\sm_car_251026_2256\sm_car_251026_2256_123_Ca116TrN_MaMPK_DrSt_ode23t_1.png","figure")</f>
        <v>figure</v>
      </c>
      <c r="Q124" t="s">
        <v>15</v>
      </c>
    </row>
    <row r="125" spans="1:17" x14ac:dyDescent="0.25">
      <c r="A125">
        <v>124</v>
      </c>
      <c r="B125">
        <v>116</v>
      </c>
      <c r="C125" t="s">
        <v>16</v>
      </c>
      <c r="D125" t="s">
        <v>35</v>
      </c>
      <c r="E125" t="s">
        <v>18</v>
      </c>
      <c r="F125" t="s">
        <v>28</v>
      </c>
      <c r="G125" t="s">
        <v>20</v>
      </c>
      <c r="H125" t="s">
        <v>21</v>
      </c>
      <c r="I125" t="s">
        <v>55</v>
      </c>
      <c r="J125" t="s">
        <v>149</v>
      </c>
      <c r="K125" t="s">
        <v>23</v>
      </c>
      <c r="L125">
        <v>2783</v>
      </c>
      <c r="M125">
        <v>13.5116333</v>
      </c>
      <c r="N125">
        <v>-1.8917611355511205E-2</v>
      </c>
      <c r="O125">
        <v>-0.53539972944495484</v>
      </c>
      <c r="P125" s="1" t="str">
        <f>HYPERLINK(".\sm_car_251026_2256\sm_car_251026_2256_124_Ca116TrN_MaMPK_DrSt_ode23t_1.png","figure")</f>
        <v>figure</v>
      </c>
      <c r="Q125" t="s">
        <v>15</v>
      </c>
    </row>
    <row r="126" spans="1:17" x14ac:dyDescent="0.25">
      <c r="A126">
        <v>125</v>
      </c>
      <c r="B126">
        <v>116</v>
      </c>
      <c r="C126" t="s">
        <v>16</v>
      </c>
      <c r="D126" t="s">
        <v>35</v>
      </c>
      <c r="E126" t="s">
        <v>18</v>
      </c>
      <c r="F126" t="s">
        <v>28</v>
      </c>
      <c r="G126" t="s">
        <v>20</v>
      </c>
      <c r="H126" t="s">
        <v>21</v>
      </c>
      <c r="I126" t="s">
        <v>56</v>
      </c>
      <c r="J126" t="s">
        <v>148</v>
      </c>
      <c r="K126" t="s">
        <v>23</v>
      </c>
      <c r="L126">
        <v>2758</v>
      </c>
      <c r="M126">
        <v>13.659762600000001</v>
      </c>
      <c r="N126">
        <v>0.78834584458821411</v>
      </c>
      <c r="O126">
        <v>-0.36279364828843169</v>
      </c>
      <c r="P126" s="1" t="str">
        <f>HYPERLINK(".\sm_car_251026_2256\sm_car_251026_2256_125_Ca116TrN_MaMPC_DrSt_ode23t_1.png","figure")</f>
        <v>figure</v>
      </c>
      <c r="Q126" t="s">
        <v>15</v>
      </c>
    </row>
    <row r="127" spans="1:17" x14ac:dyDescent="0.25">
      <c r="A127">
        <v>126</v>
      </c>
      <c r="B127">
        <v>116</v>
      </c>
      <c r="C127" t="s">
        <v>16</v>
      </c>
      <c r="D127" t="s">
        <v>35</v>
      </c>
      <c r="E127" t="s">
        <v>18</v>
      </c>
      <c r="F127" t="s">
        <v>28</v>
      </c>
      <c r="G127" t="s">
        <v>20</v>
      </c>
      <c r="H127" t="s">
        <v>21</v>
      </c>
      <c r="I127" t="s">
        <v>56</v>
      </c>
      <c r="J127" t="s">
        <v>149</v>
      </c>
      <c r="K127" t="s">
        <v>23</v>
      </c>
      <c r="L127">
        <v>2617</v>
      </c>
      <c r="M127">
        <v>13.634817999999999</v>
      </c>
      <c r="N127">
        <v>0.78698557577253325</v>
      </c>
      <c r="O127">
        <v>0.44065061780673592</v>
      </c>
      <c r="P127" s="1" t="str">
        <f>HYPERLINK(".\sm_car_251026_2256\sm_car_251026_2256_126_Ca116TrN_MaMPC_DrSt_ode23t_1.png","figure")</f>
        <v>figure</v>
      </c>
      <c r="Q127" t="s">
        <v>15</v>
      </c>
    </row>
    <row r="128" spans="1:17" x14ac:dyDescent="0.25">
      <c r="A128">
        <v>127</v>
      </c>
      <c r="B128">
        <v>143</v>
      </c>
      <c r="C128" t="s">
        <v>46</v>
      </c>
      <c r="D128" t="s">
        <v>17</v>
      </c>
      <c r="E128" t="s">
        <v>47</v>
      </c>
      <c r="F128" t="s">
        <v>19</v>
      </c>
      <c r="G128" t="s">
        <v>26</v>
      </c>
      <c r="H128" t="s">
        <v>21</v>
      </c>
      <c r="I128" t="s">
        <v>55</v>
      </c>
      <c r="J128" t="s">
        <v>148</v>
      </c>
      <c r="K128" t="s">
        <v>23</v>
      </c>
      <c r="L128">
        <v>2472</v>
      </c>
      <c r="M128">
        <v>41.555479900000002</v>
      </c>
      <c r="N128">
        <v>-1.7112393564500492E-2</v>
      </c>
      <c r="O128">
        <v>-0.40414862234756033</v>
      </c>
      <c r="P128" s="1" t="str">
        <f>HYPERLINK(".\sm_car_251026_2256\sm_car_251026_2256_127_Ca143TrN_MaMPK_DrSt_ode23t_1.png","figure")</f>
        <v>figure</v>
      </c>
      <c r="Q128" t="s">
        <v>15</v>
      </c>
    </row>
    <row r="129" spans="1:17" x14ac:dyDescent="0.25">
      <c r="A129">
        <v>128</v>
      </c>
      <c r="B129">
        <v>143</v>
      </c>
      <c r="C129" t="s">
        <v>46</v>
      </c>
      <c r="D129" t="s">
        <v>17</v>
      </c>
      <c r="E129" t="s">
        <v>47</v>
      </c>
      <c r="F129" t="s">
        <v>19</v>
      </c>
      <c r="G129" t="s">
        <v>26</v>
      </c>
      <c r="H129" t="s">
        <v>21</v>
      </c>
      <c r="I129" t="s">
        <v>55</v>
      </c>
      <c r="J129" t="s">
        <v>149</v>
      </c>
      <c r="K129" t="s">
        <v>23</v>
      </c>
      <c r="L129">
        <v>2183</v>
      </c>
      <c r="M129">
        <v>40.932012299999997</v>
      </c>
      <c r="N129">
        <v>-1.0651021200262942E-2</v>
      </c>
      <c r="O129">
        <v>-9.2479161058485554E-2</v>
      </c>
      <c r="P129" s="1" t="str">
        <f>HYPERLINK(".\sm_car_251026_2256\sm_car_251026_2256_128_Ca143TrN_MaMPK_DrSt_ode23t_1.png","figure")</f>
        <v>figure</v>
      </c>
      <c r="Q129" t="s">
        <v>15</v>
      </c>
    </row>
    <row r="130" spans="1:17" x14ac:dyDescent="0.25">
      <c r="A130">
        <v>129</v>
      </c>
      <c r="B130">
        <v>143</v>
      </c>
      <c r="C130" t="s">
        <v>46</v>
      </c>
      <c r="D130" t="s">
        <v>17</v>
      </c>
      <c r="E130" t="s">
        <v>47</v>
      </c>
      <c r="F130" t="s">
        <v>19</v>
      </c>
      <c r="G130" t="s">
        <v>26</v>
      </c>
      <c r="H130" t="s">
        <v>21</v>
      </c>
      <c r="I130" t="s">
        <v>56</v>
      </c>
      <c r="J130" t="s">
        <v>148</v>
      </c>
      <c r="K130" t="s">
        <v>23</v>
      </c>
      <c r="L130">
        <v>2347</v>
      </c>
      <c r="M130">
        <v>45.553761000000002</v>
      </c>
      <c r="N130">
        <v>0.78456697794497643</v>
      </c>
      <c r="O130">
        <v>-0.27167405438577957</v>
      </c>
      <c r="P130" s="1" t="str">
        <f>HYPERLINK(".\sm_car_251026_2256\sm_car_251026_2256_129_Ca143TrN_MaMPC_DrSt_ode23t_1.png","figure")</f>
        <v>figure</v>
      </c>
      <c r="Q130" t="s">
        <v>15</v>
      </c>
    </row>
    <row r="131" spans="1:17" x14ac:dyDescent="0.25">
      <c r="A131">
        <v>130</v>
      </c>
      <c r="B131">
        <v>143</v>
      </c>
      <c r="C131" t="s">
        <v>46</v>
      </c>
      <c r="D131" t="s">
        <v>17</v>
      </c>
      <c r="E131" t="s">
        <v>47</v>
      </c>
      <c r="F131" t="s">
        <v>19</v>
      </c>
      <c r="G131" t="s">
        <v>26</v>
      </c>
      <c r="H131" t="s">
        <v>21</v>
      </c>
      <c r="I131" t="s">
        <v>56</v>
      </c>
      <c r="J131" t="s">
        <v>149</v>
      </c>
      <c r="K131" t="s">
        <v>23</v>
      </c>
      <c r="L131">
        <v>2116</v>
      </c>
      <c r="M131">
        <v>42.451226200000001</v>
      </c>
      <c r="N131">
        <v>0.78616096795093604</v>
      </c>
      <c r="O131">
        <v>-0.15463125213339543</v>
      </c>
      <c r="P131" s="1" t="str">
        <f>HYPERLINK(".\sm_car_251026_2256\sm_car_251026_2256_130_Ca143TrN_MaMPC_DrSt_ode23t_1.png","figure")</f>
        <v>figure</v>
      </c>
      <c r="Q131" t="s">
        <v>15</v>
      </c>
    </row>
    <row r="132" spans="1:17" x14ac:dyDescent="0.25">
      <c r="A132">
        <v>131</v>
      </c>
      <c r="B132">
        <v>166</v>
      </c>
      <c r="C132" t="s">
        <v>45</v>
      </c>
      <c r="D132" t="s">
        <v>57</v>
      </c>
      <c r="E132" t="s">
        <v>18</v>
      </c>
      <c r="F132" t="s">
        <v>19</v>
      </c>
      <c r="G132" t="s">
        <v>26</v>
      </c>
      <c r="H132" t="s">
        <v>21</v>
      </c>
      <c r="I132" t="s">
        <v>55</v>
      </c>
      <c r="J132" t="s">
        <v>148</v>
      </c>
      <c r="K132" t="s">
        <v>23</v>
      </c>
      <c r="L132">
        <v>3193</v>
      </c>
      <c r="M132">
        <v>56.925152300000001</v>
      </c>
      <c r="N132">
        <v>-1.9753042738420143E-2</v>
      </c>
      <c r="O132">
        <v>-0.57262648663662397</v>
      </c>
      <c r="P132" s="1" t="str">
        <f>HYPERLINK(".\sm_car_251026_2256\sm_car_251026_2256_131_Ca166TrN_MaMPK_DrSt_ode23t_1.png","figure")</f>
        <v>figure</v>
      </c>
      <c r="Q132" t="s">
        <v>15</v>
      </c>
    </row>
    <row r="133" spans="1:17" x14ac:dyDescent="0.25">
      <c r="A133">
        <v>132</v>
      </c>
      <c r="B133">
        <v>166</v>
      </c>
      <c r="C133" t="s">
        <v>45</v>
      </c>
      <c r="D133" t="s">
        <v>57</v>
      </c>
      <c r="E133" t="s">
        <v>18</v>
      </c>
      <c r="F133" t="s">
        <v>19</v>
      </c>
      <c r="G133" t="s">
        <v>26</v>
      </c>
      <c r="H133" t="s">
        <v>21</v>
      </c>
      <c r="I133" t="s">
        <v>55</v>
      </c>
      <c r="J133" t="s">
        <v>149</v>
      </c>
      <c r="K133" t="s">
        <v>23</v>
      </c>
      <c r="L133">
        <v>3777</v>
      </c>
      <c r="M133">
        <v>57.571245599999997</v>
      </c>
      <c r="N133">
        <v>-1.0114796776747551E-2</v>
      </c>
      <c r="O133">
        <v>-8.4601854492274239E-2</v>
      </c>
      <c r="P133" s="1" t="str">
        <f>HYPERLINK(".\sm_car_251026_2256\sm_car_251026_2256_132_Ca166TrN_MaMPK_DrSt_ode23t_1.png","figure")</f>
        <v>figure</v>
      </c>
      <c r="Q133" t="s">
        <v>15</v>
      </c>
    </row>
    <row r="134" spans="1:17" x14ac:dyDescent="0.25">
      <c r="A134">
        <v>133</v>
      </c>
      <c r="B134">
        <v>166</v>
      </c>
      <c r="C134" t="s">
        <v>45</v>
      </c>
      <c r="D134" t="s">
        <v>57</v>
      </c>
      <c r="E134" t="s">
        <v>18</v>
      </c>
      <c r="F134" t="s">
        <v>19</v>
      </c>
      <c r="G134" t="s">
        <v>26</v>
      </c>
      <c r="H134" t="s">
        <v>21</v>
      </c>
      <c r="I134" t="s">
        <v>56</v>
      </c>
      <c r="J134" t="s">
        <v>148</v>
      </c>
      <c r="K134" t="s">
        <v>23</v>
      </c>
      <c r="L134">
        <v>3036</v>
      </c>
      <c r="M134">
        <v>53.205455600000001</v>
      </c>
      <c r="N134">
        <v>0.78910976079136574</v>
      </c>
      <c r="O134">
        <v>-0.361837710321116</v>
      </c>
      <c r="P134" s="1" t="str">
        <f>HYPERLINK(".\sm_car_251026_2256\sm_car_251026_2256_133_Ca166TrN_MaMPC_DrSt_ode23t_1.png","figure")</f>
        <v>figure</v>
      </c>
      <c r="Q134" t="s">
        <v>15</v>
      </c>
    </row>
    <row r="135" spans="1:17" x14ac:dyDescent="0.25">
      <c r="A135">
        <v>134</v>
      </c>
      <c r="B135">
        <v>166</v>
      </c>
      <c r="C135" t="s">
        <v>45</v>
      </c>
      <c r="D135" t="s">
        <v>57</v>
      </c>
      <c r="E135" t="s">
        <v>18</v>
      </c>
      <c r="F135" t="s">
        <v>19</v>
      </c>
      <c r="G135" t="s">
        <v>26</v>
      </c>
      <c r="H135" t="s">
        <v>21</v>
      </c>
      <c r="I135" t="s">
        <v>56</v>
      </c>
      <c r="J135" t="s">
        <v>149</v>
      </c>
      <c r="K135" t="s">
        <v>23</v>
      </c>
      <c r="L135">
        <v>3502</v>
      </c>
      <c r="M135">
        <v>55.225621199999999</v>
      </c>
      <c r="N135">
        <v>0.78667558452128539</v>
      </c>
      <c r="O135">
        <v>2.5884832085231065E-2</v>
      </c>
      <c r="P135" s="1" t="str">
        <f>HYPERLINK(".\sm_car_251026_2256\sm_car_251026_2256_134_Ca166TrN_MaMPC_DrSt_ode23t_1.png","figure")</f>
        <v>figure</v>
      </c>
      <c r="Q135" t="s">
        <v>15</v>
      </c>
    </row>
    <row r="136" spans="1:17" x14ac:dyDescent="0.25">
      <c r="A136">
        <v>135</v>
      </c>
      <c r="B136">
        <v>169</v>
      </c>
      <c r="C136" t="s">
        <v>45</v>
      </c>
      <c r="D136" t="s">
        <v>58</v>
      </c>
      <c r="E136" t="s">
        <v>49</v>
      </c>
      <c r="F136" t="s">
        <v>19</v>
      </c>
      <c r="G136" t="s">
        <v>26</v>
      </c>
      <c r="H136" t="s">
        <v>21</v>
      </c>
      <c r="I136" t="s">
        <v>55</v>
      </c>
      <c r="J136" t="s">
        <v>148</v>
      </c>
      <c r="K136" t="s">
        <v>23</v>
      </c>
      <c r="L136">
        <v>3303</v>
      </c>
      <c r="M136">
        <v>46.773163400000001</v>
      </c>
      <c r="N136">
        <v>-1.022615994070554E-2</v>
      </c>
      <c r="O136">
        <v>-0.57379438761584889</v>
      </c>
      <c r="P136" s="1" t="str">
        <f>HYPERLINK(".\sm_car_251026_2256\sm_car_251026_2256_135_Ca169TrN_MaMPK_DrSt_ode23t_1.png","figure")</f>
        <v>figure</v>
      </c>
      <c r="Q136" t="s">
        <v>15</v>
      </c>
    </row>
    <row r="137" spans="1:17" x14ac:dyDescent="0.25">
      <c r="A137">
        <v>136</v>
      </c>
      <c r="B137">
        <v>169</v>
      </c>
      <c r="C137" t="s">
        <v>45</v>
      </c>
      <c r="D137" t="s">
        <v>58</v>
      </c>
      <c r="E137" t="s">
        <v>49</v>
      </c>
      <c r="F137" t="s">
        <v>19</v>
      </c>
      <c r="G137" t="s">
        <v>26</v>
      </c>
      <c r="H137" t="s">
        <v>21</v>
      </c>
      <c r="I137" t="s">
        <v>55</v>
      </c>
      <c r="J137" t="s">
        <v>149</v>
      </c>
      <c r="K137" t="s">
        <v>23</v>
      </c>
      <c r="L137">
        <v>3908</v>
      </c>
      <c r="M137">
        <v>54.135148899999997</v>
      </c>
      <c r="N137">
        <v>2.8651158658230008E-2</v>
      </c>
      <c r="O137">
        <v>-8.3904137369387594E-2</v>
      </c>
      <c r="P137" s="1" t="str">
        <f>HYPERLINK(".\sm_car_251026_2256\sm_car_251026_2256_136_Ca169TrN_MaMPK_DrSt_ode23t_1.png","figure")</f>
        <v>figure</v>
      </c>
      <c r="Q137" t="s">
        <v>15</v>
      </c>
    </row>
    <row r="138" spans="1:17" x14ac:dyDescent="0.25">
      <c r="A138">
        <v>137</v>
      </c>
      <c r="B138">
        <v>169</v>
      </c>
      <c r="C138" t="s">
        <v>45</v>
      </c>
      <c r="D138" t="s">
        <v>58</v>
      </c>
      <c r="E138" t="s">
        <v>49</v>
      </c>
      <c r="F138" t="s">
        <v>19</v>
      </c>
      <c r="G138" t="s">
        <v>26</v>
      </c>
      <c r="H138" t="s">
        <v>21</v>
      </c>
      <c r="I138" t="s">
        <v>56</v>
      </c>
      <c r="J138" t="s">
        <v>148</v>
      </c>
      <c r="K138" t="s">
        <v>23</v>
      </c>
      <c r="L138">
        <v>3031</v>
      </c>
      <c r="M138">
        <v>45.883774799999998</v>
      </c>
      <c r="N138">
        <v>0.7894379273747596</v>
      </c>
      <c r="O138">
        <v>-0.35991669946100718</v>
      </c>
      <c r="P138" s="1" t="str">
        <f>HYPERLINK(".\sm_car_251026_2256\sm_car_251026_2256_137_Ca169TrN_MaMPC_DrSt_ode23t_1.png","figure")</f>
        <v>figure</v>
      </c>
      <c r="Q138" t="s">
        <v>15</v>
      </c>
    </row>
    <row r="139" spans="1:17" x14ac:dyDescent="0.25">
      <c r="A139">
        <v>138</v>
      </c>
      <c r="B139">
        <v>169</v>
      </c>
      <c r="C139" t="s">
        <v>45</v>
      </c>
      <c r="D139" t="s">
        <v>58</v>
      </c>
      <c r="E139" t="s">
        <v>49</v>
      </c>
      <c r="F139" t="s">
        <v>19</v>
      </c>
      <c r="G139" t="s">
        <v>26</v>
      </c>
      <c r="H139" t="s">
        <v>21</v>
      </c>
      <c r="I139" t="s">
        <v>56</v>
      </c>
      <c r="J139" t="s">
        <v>149</v>
      </c>
      <c r="K139" t="s">
        <v>23</v>
      </c>
      <c r="L139">
        <v>3480</v>
      </c>
      <c r="M139">
        <v>47.530446900000001</v>
      </c>
      <c r="N139">
        <v>0.7881544203909403</v>
      </c>
      <c r="O139">
        <v>2.8194302680461115E-2</v>
      </c>
      <c r="P139" s="1" t="str">
        <f>HYPERLINK(".\sm_car_251026_2256\sm_car_251026_2256_138_Ca169TrN_MaMPC_DrSt_ode23t_1.png","figure")</f>
        <v>figure</v>
      </c>
      <c r="Q139" t="s">
        <v>15</v>
      </c>
    </row>
    <row r="140" spans="1:17" x14ac:dyDescent="0.25">
      <c r="A140">
        <v>139</v>
      </c>
      <c r="B140">
        <v>184</v>
      </c>
      <c r="C140" t="s">
        <v>105</v>
      </c>
      <c r="D140" t="s">
        <v>120</v>
      </c>
      <c r="E140" t="s">
        <v>49</v>
      </c>
      <c r="F140" t="s">
        <v>19</v>
      </c>
      <c r="G140" t="s">
        <v>20</v>
      </c>
      <c r="H140" t="s">
        <v>21</v>
      </c>
      <c r="I140" t="s">
        <v>55</v>
      </c>
      <c r="J140" t="s">
        <v>148</v>
      </c>
      <c r="K140" t="s">
        <v>23</v>
      </c>
      <c r="L140">
        <v>2206</v>
      </c>
      <c r="M140">
        <v>49.697057200000003</v>
      </c>
      <c r="N140">
        <v>-2.2281064354404953E-2</v>
      </c>
      <c r="O140">
        <v>-0.74273538671948169</v>
      </c>
      <c r="P140" s="1" t="str">
        <f>HYPERLINK(".\sm_car_251026_2256\sm_car_251026_2256_139_Ca184TrN_MaMPK_DrSt_ode23t_1.png","figure")</f>
        <v>figure</v>
      </c>
      <c r="Q140" t="s">
        <v>15</v>
      </c>
    </row>
    <row r="141" spans="1:17" x14ac:dyDescent="0.25">
      <c r="A141">
        <v>140</v>
      </c>
      <c r="B141">
        <v>184</v>
      </c>
      <c r="C141" t="s">
        <v>105</v>
      </c>
      <c r="D141" t="s">
        <v>120</v>
      </c>
      <c r="E141" t="s">
        <v>49</v>
      </c>
      <c r="F141" t="s">
        <v>19</v>
      </c>
      <c r="G141" t="s">
        <v>20</v>
      </c>
      <c r="H141" t="s">
        <v>21</v>
      </c>
      <c r="I141" t="s">
        <v>55</v>
      </c>
      <c r="J141" t="s">
        <v>149</v>
      </c>
      <c r="K141" t="s">
        <v>23</v>
      </c>
      <c r="L141">
        <v>2316</v>
      </c>
      <c r="M141">
        <v>50.020469900000002</v>
      </c>
      <c r="N141">
        <v>-2.1323478264335116E-3</v>
      </c>
      <c r="O141">
        <v>-3.0195708174273975E-2</v>
      </c>
      <c r="P141" s="1" t="str">
        <f>HYPERLINK(".\sm_car_251026_2256\sm_car_251026_2256_140_Ca184TrN_MaMPK_DrSt_ode23t_1.png","figure")</f>
        <v>figure</v>
      </c>
      <c r="Q141" t="s">
        <v>15</v>
      </c>
    </row>
    <row r="142" spans="1:17" x14ac:dyDescent="0.25">
      <c r="A142">
        <v>141</v>
      </c>
      <c r="B142">
        <v>184</v>
      </c>
      <c r="C142" t="s">
        <v>105</v>
      </c>
      <c r="D142" t="s">
        <v>120</v>
      </c>
      <c r="E142" t="s">
        <v>49</v>
      </c>
      <c r="F142" t="s">
        <v>19</v>
      </c>
      <c r="G142" t="s">
        <v>20</v>
      </c>
      <c r="H142" t="s">
        <v>21</v>
      </c>
      <c r="I142" t="s">
        <v>56</v>
      </c>
      <c r="J142" t="s">
        <v>148</v>
      </c>
      <c r="K142" t="s">
        <v>23</v>
      </c>
      <c r="L142">
        <v>2055</v>
      </c>
      <c r="M142">
        <v>47.990085700000002</v>
      </c>
      <c r="N142">
        <v>0.70445407889100053</v>
      </c>
      <c r="O142">
        <v>-0.33745918034063827</v>
      </c>
      <c r="P142" s="1" t="str">
        <f>HYPERLINK(".\sm_car_251026_2256\sm_car_251026_2256_141_Ca184TrN_MaMPC_DrSt_ode23t_1.png","figure")</f>
        <v>figure</v>
      </c>
      <c r="Q142" t="s">
        <v>15</v>
      </c>
    </row>
    <row r="143" spans="1:17" x14ac:dyDescent="0.25">
      <c r="A143">
        <v>142</v>
      </c>
      <c r="B143">
        <v>184</v>
      </c>
      <c r="C143" t="s">
        <v>105</v>
      </c>
      <c r="D143" t="s">
        <v>120</v>
      </c>
      <c r="E143" t="s">
        <v>49</v>
      </c>
      <c r="F143" t="s">
        <v>19</v>
      </c>
      <c r="G143" t="s">
        <v>20</v>
      </c>
      <c r="H143" t="s">
        <v>21</v>
      </c>
      <c r="I143" t="s">
        <v>56</v>
      </c>
      <c r="J143" t="s">
        <v>149</v>
      </c>
      <c r="K143" t="s">
        <v>23</v>
      </c>
      <c r="L143">
        <v>2045</v>
      </c>
      <c r="M143">
        <v>47.050290400000002</v>
      </c>
      <c r="N143">
        <v>0.78440339057606501</v>
      </c>
      <c r="O143">
        <v>-8.2507510874054765E-2</v>
      </c>
      <c r="P143" s="1" t="str">
        <f>HYPERLINK(".\sm_car_251026_2256\sm_car_251026_2256_142_Ca184TrN_MaMPC_DrSt_ode23t_1.png","figure")</f>
        <v>figure</v>
      </c>
      <c r="Q143" t="s">
        <v>15</v>
      </c>
    </row>
    <row r="144" spans="1:17" x14ac:dyDescent="0.25">
      <c r="A144">
        <v>143</v>
      </c>
      <c r="B144">
        <v>195</v>
      </c>
      <c r="C144" t="s">
        <v>45</v>
      </c>
      <c r="D144" t="s">
        <v>58</v>
      </c>
      <c r="E144" t="s">
        <v>107</v>
      </c>
      <c r="F144" t="s">
        <v>19</v>
      </c>
      <c r="G144" t="s">
        <v>26</v>
      </c>
      <c r="H144" t="s">
        <v>21</v>
      </c>
      <c r="I144" t="s">
        <v>55</v>
      </c>
      <c r="J144" t="s">
        <v>148</v>
      </c>
      <c r="K144" t="s">
        <v>23</v>
      </c>
      <c r="L144">
        <v>3288</v>
      </c>
      <c r="M144">
        <v>49.290816800000002</v>
      </c>
      <c r="N144">
        <v>-9.6534870033511966E-3</v>
      </c>
      <c r="O144">
        <v>-0.57379367327698305</v>
      </c>
      <c r="P144" s="1" t="str">
        <f>HYPERLINK(".\sm_car_251026_2256\sm_car_251026_2256_143_Ca195TrN_MaMPK_DrSt_ode23t_1.png","figure")</f>
        <v>figure</v>
      </c>
      <c r="Q144" t="s">
        <v>15</v>
      </c>
    </row>
    <row r="145" spans="1:17" x14ac:dyDescent="0.25">
      <c r="A145">
        <v>144</v>
      </c>
      <c r="B145">
        <v>195</v>
      </c>
      <c r="C145" t="s">
        <v>45</v>
      </c>
      <c r="D145" t="s">
        <v>58</v>
      </c>
      <c r="E145" t="s">
        <v>107</v>
      </c>
      <c r="F145" t="s">
        <v>19</v>
      </c>
      <c r="G145" t="s">
        <v>26</v>
      </c>
      <c r="H145" t="s">
        <v>21</v>
      </c>
      <c r="I145" t="s">
        <v>55</v>
      </c>
      <c r="J145" t="s">
        <v>149</v>
      </c>
      <c r="K145" t="s">
        <v>23</v>
      </c>
      <c r="L145">
        <v>3907</v>
      </c>
      <c r="M145">
        <v>52.836748299999996</v>
      </c>
      <c r="N145">
        <v>-7.993823635620706E-4</v>
      </c>
      <c r="O145">
        <v>-8.3877534806784004E-2</v>
      </c>
      <c r="P145" s="1" t="str">
        <f>HYPERLINK(".\sm_car_251026_2256\sm_car_251026_2256_144_Ca195TrN_MaMPK_DrSt_ode23t_1.png","figure")</f>
        <v>figure</v>
      </c>
      <c r="Q145" t="s">
        <v>15</v>
      </c>
    </row>
    <row r="146" spans="1:17" x14ac:dyDescent="0.25">
      <c r="A146">
        <v>145</v>
      </c>
      <c r="B146">
        <v>195</v>
      </c>
      <c r="C146" t="s">
        <v>45</v>
      </c>
      <c r="D146" t="s">
        <v>58</v>
      </c>
      <c r="E146" t="s">
        <v>107</v>
      </c>
      <c r="F146" t="s">
        <v>19</v>
      </c>
      <c r="G146" t="s">
        <v>26</v>
      </c>
      <c r="H146" t="s">
        <v>21</v>
      </c>
      <c r="I146" t="s">
        <v>56</v>
      </c>
      <c r="J146" t="s">
        <v>148</v>
      </c>
      <c r="K146" t="s">
        <v>23</v>
      </c>
      <c r="L146">
        <v>3053</v>
      </c>
      <c r="M146">
        <v>46.028873099999998</v>
      </c>
      <c r="N146">
        <v>0.78758492245486522</v>
      </c>
      <c r="O146">
        <v>-0.35989704667547145</v>
      </c>
      <c r="P146" s="1" t="str">
        <f>HYPERLINK(".\sm_car_251026_2256\sm_car_251026_2256_145_Ca195TrN_MaMPC_DrSt_ode23t_1.png","figure")</f>
        <v>figure</v>
      </c>
      <c r="Q146" t="s">
        <v>15</v>
      </c>
    </row>
    <row r="147" spans="1:17" x14ac:dyDescent="0.25">
      <c r="A147">
        <v>146</v>
      </c>
      <c r="B147">
        <v>195</v>
      </c>
      <c r="C147" t="s">
        <v>45</v>
      </c>
      <c r="D147" t="s">
        <v>58</v>
      </c>
      <c r="E147" t="s">
        <v>107</v>
      </c>
      <c r="F147" t="s">
        <v>19</v>
      </c>
      <c r="G147" t="s">
        <v>26</v>
      </c>
      <c r="H147" t="s">
        <v>21</v>
      </c>
      <c r="I147" t="s">
        <v>56</v>
      </c>
      <c r="J147" t="s">
        <v>149</v>
      </c>
      <c r="K147" t="s">
        <v>23</v>
      </c>
      <c r="L147">
        <v>3512</v>
      </c>
      <c r="M147">
        <v>46.865569100000002</v>
      </c>
      <c r="N147">
        <v>0.78947301787689916</v>
      </c>
      <c r="O147">
        <v>2.8178870608734013E-2</v>
      </c>
      <c r="P147" s="1" t="str">
        <f>HYPERLINK(".\sm_car_251026_2256\sm_car_251026_2256_146_Ca195TrN_MaMPC_DrSt_ode23t_1.png","figure")</f>
        <v>figure</v>
      </c>
      <c r="Q147" t="s">
        <v>15</v>
      </c>
    </row>
    <row r="148" spans="1:17" x14ac:dyDescent="0.25">
      <c r="A148">
        <v>147</v>
      </c>
      <c r="B148">
        <v>198</v>
      </c>
      <c r="C148" t="s">
        <v>105</v>
      </c>
      <c r="D148" t="s">
        <v>120</v>
      </c>
      <c r="E148" t="s">
        <v>107</v>
      </c>
      <c r="F148" t="s">
        <v>19</v>
      </c>
      <c r="G148" t="s">
        <v>20</v>
      </c>
      <c r="H148" t="s">
        <v>21</v>
      </c>
      <c r="I148" t="s">
        <v>55</v>
      </c>
      <c r="J148" t="s">
        <v>148</v>
      </c>
      <c r="K148" t="s">
        <v>23</v>
      </c>
      <c r="L148">
        <v>2303</v>
      </c>
      <c r="M148">
        <v>30.887508100000002</v>
      </c>
      <c r="N148">
        <v>-2.2389496229538008E-2</v>
      </c>
      <c r="O148">
        <v>-0.7427884724596755</v>
      </c>
      <c r="P148" s="1" t="str">
        <f>HYPERLINK(".\sm_car_251026_2256\sm_car_251026_2256_147_Ca198TrN_MaMPK_DrSt_ode23t_1.png","figure")</f>
        <v>figure</v>
      </c>
      <c r="Q148" t="s">
        <v>15</v>
      </c>
    </row>
    <row r="149" spans="1:17" x14ac:dyDescent="0.25">
      <c r="A149">
        <v>148</v>
      </c>
      <c r="B149">
        <v>198</v>
      </c>
      <c r="C149" t="s">
        <v>105</v>
      </c>
      <c r="D149" t="s">
        <v>120</v>
      </c>
      <c r="E149" t="s">
        <v>107</v>
      </c>
      <c r="F149" t="s">
        <v>19</v>
      </c>
      <c r="G149" t="s">
        <v>20</v>
      </c>
      <c r="H149" t="s">
        <v>21</v>
      </c>
      <c r="I149" t="s">
        <v>55</v>
      </c>
      <c r="J149" t="s">
        <v>149</v>
      </c>
      <c r="K149" t="s">
        <v>23</v>
      </c>
      <c r="L149">
        <v>2583</v>
      </c>
      <c r="M149">
        <v>32.472797</v>
      </c>
      <c r="N149">
        <v>-9.3626718525139374E-3</v>
      </c>
      <c r="O149">
        <v>-3.031675748293226E-2</v>
      </c>
      <c r="P149" s="1" t="str">
        <f>HYPERLINK(".\sm_car_251026_2256\sm_car_251026_2256_148_Ca198TrN_MaMPK_DrSt_ode23t_1.png","figure")</f>
        <v>figure</v>
      </c>
      <c r="Q149" t="s">
        <v>15</v>
      </c>
    </row>
    <row r="150" spans="1:17" x14ac:dyDescent="0.25">
      <c r="A150">
        <v>149</v>
      </c>
      <c r="B150">
        <v>198</v>
      </c>
      <c r="C150" t="s">
        <v>105</v>
      </c>
      <c r="D150" t="s">
        <v>120</v>
      </c>
      <c r="E150" t="s">
        <v>107</v>
      </c>
      <c r="F150" t="s">
        <v>19</v>
      </c>
      <c r="G150" t="s">
        <v>20</v>
      </c>
      <c r="H150" t="s">
        <v>21</v>
      </c>
      <c r="I150" t="s">
        <v>56</v>
      </c>
      <c r="J150" t="s">
        <v>148</v>
      </c>
      <c r="K150" t="s">
        <v>23</v>
      </c>
      <c r="L150">
        <v>2077</v>
      </c>
      <c r="M150">
        <v>30.115328300000002</v>
      </c>
      <c r="N150">
        <v>0.78315014353109369</v>
      </c>
      <c r="O150">
        <v>-0.33793436405086263</v>
      </c>
      <c r="P150" s="1" t="str">
        <f>HYPERLINK(".\sm_car_251026_2256\sm_car_251026_2256_149_Ca198TrN_MaMPC_DrSt_ode23t_1.png","figure")</f>
        <v>figure</v>
      </c>
      <c r="Q150" t="s">
        <v>15</v>
      </c>
    </row>
    <row r="151" spans="1:17" x14ac:dyDescent="0.25">
      <c r="A151">
        <v>150</v>
      </c>
      <c r="B151">
        <v>198</v>
      </c>
      <c r="C151" t="s">
        <v>105</v>
      </c>
      <c r="D151" t="s">
        <v>120</v>
      </c>
      <c r="E151" t="s">
        <v>107</v>
      </c>
      <c r="F151" t="s">
        <v>19</v>
      </c>
      <c r="G151" t="s">
        <v>20</v>
      </c>
      <c r="H151" t="s">
        <v>21</v>
      </c>
      <c r="I151" t="s">
        <v>56</v>
      </c>
      <c r="J151" t="s">
        <v>149</v>
      </c>
      <c r="K151" t="s">
        <v>23</v>
      </c>
      <c r="L151">
        <v>2161</v>
      </c>
      <c r="M151">
        <v>30.917569499999999</v>
      </c>
      <c r="N151">
        <v>0.65579155572269521</v>
      </c>
      <c r="O151">
        <v>-8.0129507115186765E-2</v>
      </c>
      <c r="P151" s="1" t="str">
        <f>HYPERLINK(".\sm_car_251026_2256\sm_car_251026_2256_150_Ca198TrN_MaMPC_DrSt_ode23t_1.png","figure")</f>
        <v>figure</v>
      </c>
      <c r="Q151" t="s">
        <v>15</v>
      </c>
    </row>
    <row r="152" spans="1:17" x14ac:dyDescent="0.25">
      <c r="A152">
        <v>151</v>
      </c>
      <c r="B152">
        <v>151</v>
      </c>
      <c r="C152" t="s">
        <v>16</v>
      </c>
      <c r="D152" t="s">
        <v>17</v>
      </c>
      <c r="E152" t="s">
        <v>18</v>
      </c>
      <c r="F152" t="s">
        <v>19</v>
      </c>
      <c r="G152" t="s">
        <v>59</v>
      </c>
      <c r="H152" t="s">
        <v>21</v>
      </c>
      <c r="I152" t="s">
        <v>24</v>
      </c>
      <c r="J152" t="s">
        <v>148</v>
      </c>
      <c r="K152" t="s">
        <v>23</v>
      </c>
      <c r="L152">
        <v>516</v>
      </c>
      <c r="M152">
        <v>11.1163896</v>
      </c>
      <c r="N152">
        <v>72.172347033680353</v>
      </c>
      <c r="O152">
        <v>-0.78920978206099412</v>
      </c>
      <c r="P152" s="1" t="str">
        <f>HYPERLINK(".\sm_car_251026_2256\sm_car_251026_2256_151_Ca151TrN_MaLSS_DrSt_ode23t_1.png","figure")</f>
        <v>figure</v>
      </c>
      <c r="Q152" t="s">
        <v>15</v>
      </c>
    </row>
    <row r="153" spans="1:17" x14ac:dyDescent="0.25">
      <c r="A153">
        <v>152</v>
      </c>
      <c r="B153">
        <v>152</v>
      </c>
      <c r="C153" t="s">
        <v>16</v>
      </c>
      <c r="D153" t="s">
        <v>17</v>
      </c>
      <c r="E153" t="s">
        <v>18</v>
      </c>
      <c r="F153" t="s">
        <v>19</v>
      </c>
      <c r="G153" t="s">
        <v>60</v>
      </c>
      <c r="H153" t="s">
        <v>21</v>
      </c>
      <c r="I153" t="s">
        <v>24</v>
      </c>
      <c r="J153" t="s">
        <v>148</v>
      </c>
      <c r="K153" t="s">
        <v>23</v>
      </c>
      <c r="L153">
        <v>520</v>
      </c>
      <c r="M153">
        <v>12.259331299999999</v>
      </c>
      <c r="N153">
        <v>70.585653557677915</v>
      </c>
      <c r="O153">
        <v>-0.52521481932063996</v>
      </c>
      <c r="P153" s="1" t="str">
        <f>HYPERLINK(".\sm_car_251026_2256\sm_car_251026_2256_152_Ca152TrN_MaLSS_DrSt_ode23t_1.png","figure")</f>
        <v>figure</v>
      </c>
      <c r="Q153" t="s">
        <v>15</v>
      </c>
    </row>
    <row r="154" spans="1:17" x14ac:dyDescent="0.25">
      <c r="A154">
        <v>153</v>
      </c>
      <c r="B154">
        <v>153</v>
      </c>
      <c r="C154" t="s">
        <v>16</v>
      </c>
      <c r="D154" t="s">
        <v>17</v>
      </c>
      <c r="E154" t="s">
        <v>18</v>
      </c>
      <c r="F154" t="s">
        <v>19</v>
      </c>
      <c r="G154" t="s">
        <v>61</v>
      </c>
      <c r="H154" t="s">
        <v>21</v>
      </c>
      <c r="I154" t="s">
        <v>24</v>
      </c>
      <c r="J154" t="s">
        <v>148</v>
      </c>
      <c r="K154" t="s">
        <v>23</v>
      </c>
      <c r="L154">
        <v>544</v>
      </c>
      <c r="M154">
        <v>12.6422545</v>
      </c>
      <c r="N154">
        <v>70.431654022200547</v>
      </c>
      <c r="O154">
        <v>-0.85906051229936298</v>
      </c>
      <c r="P154" s="1" t="str">
        <f>HYPERLINK(".\sm_car_251026_2256\sm_car_251026_2256_153_Ca153TrN_MaLSS_DrSt_ode23t_1.png","figure")</f>
        <v>figure</v>
      </c>
      <c r="Q154" t="s">
        <v>15</v>
      </c>
    </row>
    <row r="155" spans="1:17" x14ac:dyDescent="0.25">
      <c r="A155">
        <v>154</v>
      </c>
      <c r="B155">
        <v>154</v>
      </c>
      <c r="C155" t="s">
        <v>16</v>
      </c>
      <c r="D155" t="s">
        <v>17</v>
      </c>
      <c r="E155" t="s">
        <v>18</v>
      </c>
      <c r="F155" t="s">
        <v>19</v>
      </c>
      <c r="G155" t="s">
        <v>108</v>
      </c>
      <c r="H155" t="s">
        <v>21</v>
      </c>
      <c r="I155" t="s">
        <v>24</v>
      </c>
      <c r="J155" t="s">
        <v>148</v>
      </c>
      <c r="K155" t="s">
        <v>23</v>
      </c>
      <c r="L155">
        <v>494</v>
      </c>
      <c r="M155">
        <v>15.270306</v>
      </c>
      <c r="N155">
        <v>70.616752715899352</v>
      </c>
      <c r="O155">
        <v>-0.35578382755701771</v>
      </c>
      <c r="P155" s="1" t="str">
        <f>HYPERLINK(".\sm_car_251026_2256\sm_car_251026_2256_154_Ca154TrN_MaLSS_DrSt_ode23t_1.png","figure")</f>
        <v>figure</v>
      </c>
      <c r="Q155" t="s">
        <v>15</v>
      </c>
    </row>
    <row r="156" spans="1:17" x14ac:dyDescent="0.25">
      <c r="A156">
        <v>155</v>
      </c>
      <c r="B156">
        <v>155</v>
      </c>
      <c r="C156" t="s">
        <v>16</v>
      </c>
      <c r="D156" t="s">
        <v>17</v>
      </c>
      <c r="E156" t="s">
        <v>18</v>
      </c>
      <c r="F156" t="s">
        <v>19</v>
      </c>
      <c r="G156" t="s">
        <v>62</v>
      </c>
      <c r="H156" t="s">
        <v>21</v>
      </c>
      <c r="I156" t="s">
        <v>24</v>
      </c>
      <c r="J156" t="s">
        <v>148</v>
      </c>
      <c r="K156" t="s">
        <v>23</v>
      </c>
      <c r="L156">
        <v>559</v>
      </c>
      <c r="M156">
        <v>17.386599100000002</v>
      </c>
      <c r="N156">
        <v>70.468877241446407</v>
      </c>
      <c r="O156">
        <v>-0.8335816441115228</v>
      </c>
      <c r="P156" s="1" t="str">
        <f>HYPERLINK(".\sm_car_251026_2256\sm_car_251026_2256_155_Ca155TrN_MaLSS_DrSt_ode23t_1.png","figure")</f>
        <v>figure</v>
      </c>
      <c r="Q156" t="s">
        <v>15</v>
      </c>
    </row>
    <row r="157" spans="1:17" x14ac:dyDescent="0.25">
      <c r="A157">
        <v>156</v>
      </c>
      <c r="B157">
        <v>4</v>
      </c>
      <c r="C157" t="s">
        <v>16</v>
      </c>
      <c r="D157" t="s">
        <v>17</v>
      </c>
      <c r="E157" t="s">
        <v>18</v>
      </c>
      <c r="F157" t="s">
        <v>28</v>
      </c>
      <c r="G157" t="s">
        <v>20</v>
      </c>
      <c r="H157" t="s">
        <v>21</v>
      </c>
      <c r="I157" t="s">
        <v>22</v>
      </c>
      <c r="J157" t="s">
        <v>148</v>
      </c>
      <c r="K157" t="s">
        <v>63</v>
      </c>
      <c r="L157">
        <v>3247</v>
      </c>
      <c r="M157">
        <v>7.8177291000000002</v>
      </c>
      <c r="N157">
        <v>230.12391721786827</v>
      </c>
      <c r="O157">
        <v>-2.7190338637773392E-3</v>
      </c>
      <c r="P157" s="1" t="str">
        <f>HYPERLINK(".\sm_car_251026_2256\sm_car_251026_2256_156_Ca004TrN_MaWOT_DrSt_ode3_1.png","figure")</f>
        <v>figure</v>
      </c>
      <c r="Q157" t="s">
        <v>15</v>
      </c>
    </row>
    <row r="158" spans="1:17" x14ac:dyDescent="0.25">
      <c r="A158">
        <v>157</v>
      </c>
      <c r="B158">
        <v>4</v>
      </c>
      <c r="C158" t="s">
        <v>16</v>
      </c>
      <c r="D158" t="s">
        <v>17</v>
      </c>
      <c r="E158" t="s">
        <v>18</v>
      </c>
      <c r="F158" t="s">
        <v>28</v>
      </c>
      <c r="G158" t="s">
        <v>20</v>
      </c>
      <c r="H158" t="s">
        <v>21</v>
      </c>
      <c r="I158" t="s">
        <v>24</v>
      </c>
      <c r="J158" t="s">
        <v>148</v>
      </c>
      <c r="K158" t="s">
        <v>63</v>
      </c>
      <c r="L158">
        <v>2564</v>
      </c>
      <c r="M158">
        <v>6.4700249000000003</v>
      </c>
      <c r="N158">
        <v>70.877460183569553</v>
      </c>
      <c r="O158">
        <v>-0.53377972266774365</v>
      </c>
      <c r="P158" s="1" t="str">
        <f>HYPERLINK(".\sm_car_251026_2256\sm_car_251026_2256_157_Ca004TrN_MaLSS_DrSt_ode3_1.png","figure")</f>
        <v>figure</v>
      </c>
      <c r="Q158" t="s">
        <v>15</v>
      </c>
    </row>
    <row r="159" spans="1:17" x14ac:dyDescent="0.25">
      <c r="A159">
        <v>158</v>
      </c>
      <c r="B159">
        <v>4</v>
      </c>
      <c r="C159" t="s">
        <v>16</v>
      </c>
      <c r="D159" t="s">
        <v>17</v>
      </c>
      <c r="E159" t="s">
        <v>18</v>
      </c>
      <c r="F159" t="s">
        <v>28</v>
      </c>
      <c r="G159" t="s">
        <v>20</v>
      </c>
      <c r="H159" t="s">
        <v>21</v>
      </c>
      <c r="I159" t="s">
        <v>64</v>
      </c>
      <c r="J159" t="s">
        <v>148</v>
      </c>
      <c r="K159" t="s">
        <v>63</v>
      </c>
      <c r="L159">
        <v>2562</v>
      </c>
      <c r="M159">
        <v>6.4444492000000002</v>
      </c>
      <c r="N159">
        <v>63.517181708669909</v>
      </c>
      <c r="O159">
        <v>-24.808510950198681</v>
      </c>
      <c r="P159" s="1" t="str">
        <f>HYPERLINK(".\sm_car_251026_2256\sm_car_251026_2256_158_Ca004TrN_MaTUR_DrSt_ode3_1.png","figure")</f>
        <v>figure</v>
      </c>
      <c r="Q159" t="s">
        <v>15</v>
      </c>
    </row>
    <row r="160" spans="1:17" x14ac:dyDescent="0.25">
      <c r="A160">
        <v>159</v>
      </c>
      <c r="B160">
        <v>116</v>
      </c>
      <c r="C160" t="s">
        <v>16</v>
      </c>
      <c r="D160" t="s">
        <v>35</v>
      </c>
      <c r="E160" t="s">
        <v>18</v>
      </c>
      <c r="F160" t="s">
        <v>28</v>
      </c>
      <c r="G160" t="s">
        <v>20</v>
      </c>
      <c r="H160" t="s">
        <v>21</v>
      </c>
      <c r="I160" t="s">
        <v>22</v>
      </c>
      <c r="J160" t="s">
        <v>148</v>
      </c>
      <c r="K160" t="s">
        <v>63</v>
      </c>
      <c r="L160">
        <v>3244</v>
      </c>
      <c r="M160">
        <v>3.6851471999999998</v>
      </c>
      <c r="N160">
        <v>242.69607452341987</v>
      </c>
      <c r="O160">
        <v>0.23635446031101723</v>
      </c>
      <c r="P160" s="1" t="str">
        <f>HYPERLINK(".\sm_car_251026_2256\sm_car_251026_2256_159_Ca116TrN_MaWOT_DrSt_ode3_1.png","figure")</f>
        <v>figure</v>
      </c>
      <c r="Q160" t="s">
        <v>15</v>
      </c>
    </row>
    <row r="161" spans="1:17" x14ac:dyDescent="0.25">
      <c r="A161">
        <v>160</v>
      </c>
      <c r="B161">
        <v>116</v>
      </c>
      <c r="C161" t="s">
        <v>16</v>
      </c>
      <c r="D161" t="s">
        <v>35</v>
      </c>
      <c r="E161" t="s">
        <v>18</v>
      </c>
      <c r="F161" t="s">
        <v>28</v>
      </c>
      <c r="G161" t="s">
        <v>20</v>
      </c>
      <c r="H161" t="s">
        <v>21</v>
      </c>
      <c r="I161" t="s">
        <v>24</v>
      </c>
      <c r="J161" t="s">
        <v>148</v>
      </c>
      <c r="K161" t="s">
        <v>63</v>
      </c>
      <c r="L161">
        <v>2564</v>
      </c>
      <c r="M161">
        <v>3.1342938999999999</v>
      </c>
      <c r="N161">
        <v>74.657190781644118</v>
      </c>
      <c r="O161">
        <v>-0.34075824439014252</v>
      </c>
      <c r="P161" s="1" t="str">
        <f>HYPERLINK(".\sm_car_251026_2256\sm_car_251026_2256_160_Ca116TrN_MaLSS_DrSt_ode3_1.png","figure")</f>
        <v>figure</v>
      </c>
      <c r="Q161" t="s">
        <v>15</v>
      </c>
    </row>
    <row r="162" spans="1:17" x14ac:dyDescent="0.25">
      <c r="A162">
        <v>161</v>
      </c>
      <c r="B162">
        <v>116</v>
      </c>
      <c r="C162" t="s">
        <v>16</v>
      </c>
      <c r="D162" t="s">
        <v>35</v>
      </c>
      <c r="E162" t="s">
        <v>18</v>
      </c>
      <c r="F162" t="s">
        <v>28</v>
      </c>
      <c r="G162" t="s">
        <v>20</v>
      </c>
      <c r="H162" t="s">
        <v>21</v>
      </c>
      <c r="I162" t="s">
        <v>64</v>
      </c>
      <c r="J162" t="s">
        <v>148</v>
      </c>
      <c r="K162" t="s">
        <v>63</v>
      </c>
      <c r="L162">
        <v>2563</v>
      </c>
      <c r="M162">
        <v>3.1275354000000002</v>
      </c>
      <c r="N162">
        <v>71.322015477791922</v>
      </c>
      <c r="O162">
        <v>-17.59032913116118</v>
      </c>
      <c r="P162" s="1" t="str">
        <f>HYPERLINK(".\sm_car_251026_2256\sm_car_251026_2256_161_Ca116TrN_MaTUR_DrSt_ode3_1.png","figure")</f>
        <v>figure</v>
      </c>
      <c r="Q162" t="s">
        <v>15</v>
      </c>
    </row>
    <row r="163" spans="1:17" x14ac:dyDescent="0.25">
      <c r="A163">
        <v>162</v>
      </c>
      <c r="B163">
        <v>124</v>
      </c>
      <c r="C163" t="s">
        <v>16</v>
      </c>
      <c r="D163" t="s">
        <v>35</v>
      </c>
      <c r="E163" t="s">
        <v>49</v>
      </c>
      <c r="F163" t="s">
        <v>28</v>
      </c>
      <c r="G163" t="s">
        <v>20</v>
      </c>
      <c r="H163" t="s">
        <v>21</v>
      </c>
      <c r="I163" t="s">
        <v>22</v>
      </c>
      <c r="J163" t="s">
        <v>148</v>
      </c>
      <c r="K163" t="s">
        <v>63</v>
      </c>
      <c r="L163">
        <v>3244</v>
      </c>
      <c r="M163">
        <v>2.0774786999999999</v>
      </c>
      <c r="N163">
        <v>242.87242715534208</v>
      </c>
      <c r="O163">
        <v>0.23615864655911348</v>
      </c>
      <c r="P163" s="1" t="str">
        <f>HYPERLINK(".\sm_car_251026_2256\sm_car_251026_2256_162_Ca124TrN_MaWOT_DrSt_ode3_1.png","figure")</f>
        <v>figure</v>
      </c>
      <c r="Q163" t="s">
        <v>15</v>
      </c>
    </row>
    <row r="164" spans="1:17" x14ac:dyDescent="0.25">
      <c r="A164">
        <v>163</v>
      </c>
      <c r="B164">
        <v>124</v>
      </c>
      <c r="C164" t="s">
        <v>16</v>
      </c>
      <c r="D164" t="s">
        <v>35</v>
      </c>
      <c r="E164" t="s">
        <v>49</v>
      </c>
      <c r="F164" t="s">
        <v>28</v>
      </c>
      <c r="G164" t="s">
        <v>20</v>
      </c>
      <c r="H164" t="s">
        <v>21</v>
      </c>
      <c r="I164" t="s">
        <v>24</v>
      </c>
      <c r="J164" t="s">
        <v>148</v>
      </c>
      <c r="K164" t="s">
        <v>63</v>
      </c>
      <c r="L164">
        <v>2565</v>
      </c>
      <c r="M164">
        <v>1.6659900999999999</v>
      </c>
      <c r="N164">
        <v>74.796106047599451</v>
      </c>
      <c r="O164">
        <v>-0.3423374665159527</v>
      </c>
      <c r="P164" s="1" t="str">
        <f>HYPERLINK(".\sm_car_251026_2256\sm_car_251026_2256_163_Ca124TrN_MaLSS_DrSt_ode3_1.png","figure")</f>
        <v>figure</v>
      </c>
      <c r="Q164" t="s">
        <v>15</v>
      </c>
    </row>
    <row r="165" spans="1:17" x14ac:dyDescent="0.25">
      <c r="A165">
        <v>164</v>
      </c>
      <c r="B165">
        <v>124</v>
      </c>
      <c r="C165" t="s">
        <v>16</v>
      </c>
      <c r="D165" t="s">
        <v>35</v>
      </c>
      <c r="E165" t="s">
        <v>49</v>
      </c>
      <c r="F165" t="s">
        <v>28</v>
      </c>
      <c r="G165" t="s">
        <v>20</v>
      </c>
      <c r="H165" t="s">
        <v>21</v>
      </c>
      <c r="I165" t="s">
        <v>64</v>
      </c>
      <c r="J165" t="s">
        <v>148</v>
      </c>
      <c r="K165" t="s">
        <v>63</v>
      </c>
      <c r="L165">
        <v>2564</v>
      </c>
      <c r="M165">
        <v>1.7992336</v>
      </c>
      <c r="N165">
        <v>71.44740813970391</v>
      </c>
      <c r="O165">
        <v>-17.636376353758365</v>
      </c>
      <c r="P165" s="1" t="str">
        <f>HYPERLINK(".\sm_car_251026_2256\sm_car_251026_2256_164_Ca124TrN_MaTUR_DrSt_ode3_1.png","figure")</f>
        <v>figure</v>
      </c>
      <c r="Q165" t="s">
        <v>15</v>
      </c>
    </row>
    <row r="166" spans="1:17" x14ac:dyDescent="0.25">
      <c r="A166">
        <v>165</v>
      </c>
      <c r="B166">
        <v>141</v>
      </c>
      <c r="C166" t="s">
        <v>45</v>
      </c>
      <c r="D166" t="s">
        <v>17</v>
      </c>
      <c r="E166" t="s">
        <v>18</v>
      </c>
      <c r="F166" t="s">
        <v>28</v>
      </c>
      <c r="G166" t="s">
        <v>26</v>
      </c>
      <c r="H166" t="s">
        <v>21</v>
      </c>
      <c r="I166" t="s">
        <v>22</v>
      </c>
      <c r="J166" t="s">
        <v>148</v>
      </c>
      <c r="K166" t="s">
        <v>63</v>
      </c>
      <c r="L166">
        <v>3839</v>
      </c>
      <c r="M166">
        <v>11.2886635</v>
      </c>
      <c r="N166">
        <v>402.30863495617422</v>
      </c>
      <c r="O166">
        <v>1.6338397315292668</v>
      </c>
      <c r="P166" s="1" t="str">
        <f>HYPERLINK(".\sm_car_251026_2256\sm_car_251026_2256_165_Ca141TrN_MaWOT_DrSt_ode3_1.png","figure")</f>
        <v>figure</v>
      </c>
      <c r="Q166" t="s">
        <v>15</v>
      </c>
    </row>
    <row r="167" spans="1:17" x14ac:dyDescent="0.25">
      <c r="A167">
        <v>166</v>
      </c>
      <c r="B167">
        <v>141</v>
      </c>
      <c r="C167" t="s">
        <v>45</v>
      </c>
      <c r="D167" t="s">
        <v>17</v>
      </c>
      <c r="E167" t="s">
        <v>18</v>
      </c>
      <c r="F167" t="s">
        <v>28</v>
      </c>
      <c r="G167" t="s">
        <v>26</v>
      </c>
      <c r="H167" t="s">
        <v>21</v>
      </c>
      <c r="I167" t="s">
        <v>24</v>
      </c>
      <c r="J167" t="s">
        <v>148</v>
      </c>
      <c r="K167" t="s">
        <v>63</v>
      </c>
      <c r="L167">
        <v>3192</v>
      </c>
      <c r="M167">
        <v>9.3551570000000002</v>
      </c>
      <c r="N167">
        <v>153.16103252931833</v>
      </c>
      <c r="O167">
        <v>-0.57333301644331658</v>
      </c>
      <c r="P167" s="1" t="str">
        <f>HYPERLINK(".\sm_car_251026_2256\sm_car_251026_2256_166_Ca141TrN_MaLSS_DrSt_ode3_1.png","figure")</f>
        <v>figure</v>
      </c>
      <c r="Q167" t="s">
        <v>15</v>
      </c>
    </row>
    <row r="168" spans="1:17" x14ac:dyDescent="0.25">
      <c r="A168">
        <v>167</v>
      </c>
      <c r="B168">
        <v>141</v>
      </c>
      <c r="C168" t="s">
        <v>45</v>
      </c>
      <c r="D168" t="s">
        <v>17</v>
      </c>
      <c r="E168" t="s">
        <v>18</v>
      </c>
      <c r="F168" t="s">
        <v>28</v>
      </c>
      <c r="G168" t="s">
        <v>26</v>
      </c>
      <c r="H168" t="s">
        <v>21</v>
      </c>
      <c r="I168" t="s">
        <v>64</v>
      </c>
      <c r="J168" t="s">
        <v>148</v>
      </c>
      <c r="K168" t="s">
        <v>63</v>
      </c>
      <c r="L168">
        <v>3161</v>
      </c>
      <c r="M168">
        <v>9.3340177999999998</v>
      </c>
      <c r="N168">
        <v>98.182502301574189</v>
      </c>
      <c r="O168">
        <v>-86.478323075534789</v>
      </c>
      <c r="P168" s="1" t="str">
        <f>HYPERLINK(".\sm_car_251026_2256\sm_car_251026_2256_167_Ca141TrN_MaTUR_DrSt_ode3_1.png","figure")</f>
        <v>figure</v>
      </c>
      <c r="Q168" t="s">
        <v>15</v>
      </c>
    </row>
    <row r="169" spans="1:17" x14ac:dyDescent="0.25">
      <c r="A169">
        <v>168</v>
      </c>
      <c r="B169">
        <v>145</v>
      </c>
      <c r="C169" t="s">
        <v>46</v>
      </c>
      <c r="D169" t="s">
        <v>17</v>
      </c>
      <c r="E169" t="s">
        <v>50</v>
      </c>
      <c r="F169" t="s">
        <v>19</v>
      </c>
      <c r="G169" t="s">
        <v>26</v>
      </c>
      <c r="H169" t="s">
        <v>21</v>
      </c>
      <c r="I169" t="s">
        <v>22</v>
      </c>
      <c r="J169" t="s">
        <v>148</v>
      </c>
      <c r="K169" t="s">
        <v>63</v>
      </c>
      <c r="L169">
        <v>2642</v>
      </c>
      <c r="M169">
        <v>6.4775134999999997</v>
      </c>
      <c r="N169">
        <v>62.801313298608221</v>
      </c>
      <c r="O169">
        <v>1.2893842335469084E-2</v>
      </c>
      <c r="P169" s="1" t="str">
        <f>HYPERLINK(".\sm_car_251026_2256\sm_car_251026_2256_168_Ca145TrN_MaWOT_DrSt_ode3_1.png","figure")</f>
        <v>figure</v>
      </c>
      <c r="Q169" t="s">
        <v>15</v>
      </c>
    </row>
    <row r="170" spans="1:17" x14ac:dyDescent="0.25">
      <c r="A170">
        <v>169</v>
      </c>
      <c r="B170">
        <v>145</v>
      </c>
      <c r="C170" t="s">
        <v>46</v>
      </c>
      <c r="D170" t="s">
        <v>17</v>
      </c>
      <c r="E170" t="s">
        <v>50</v>
      </c>
      <c r="F170" t="s">
        <v>19</v>
      </c>
      <c r="G170" t="s">
        <v>26</v>
      </c>
      <c r="H170" t="s">
        <v>21</v>
      </c>
      <c r="I170" t="s">
        <v>24</v>
      </c>
      <c r="J170" t="s">
        <v>148</v>
      </c>
      <c r="K170" t="s">
        <v>63</v>
      </c>
      <c r="L170">
        <v>2382</v>
      </c>
      <c r="M170">
        <v>5.7824980999999998</v>
      </c>
      <c r="N170">
        <v>25.299765577118411</v>
      </c>
      <c r="O170">
        <v>-5.1070003004616386E-2</v>
      </c>
      <c r="P170" s="1" t="str">
        <f>HYPERLINK(".\sm_car_251026_2256\sm_car_251026_2256_169_Ca145TrN_MaLSS_DrSt_ode3_1.png","figure")</f>
        <v>figure</v>
      </c>
      <c r="Q170" t="s">
        <v>15</v>
      </c>
    </row>
    <row r="171" spans="1:17" x14ac:dyDescent="0.25">
      <c r="A171">
        <v>170</v>
      </c>
      <c r="B171">
        <v>145</v>
      </c>
      <c r="C171" t="s">
        <v>46</v>
      </c>
      <c r="D171" t="s">
        <v>17</v>
      </c>
      <c r="E171" t="s">
        <v>50</v>
      </c>
      <c r="F171" t="s">
        <v>19</v>
      </c>
      <c r="G171" t="s">
        <v>26</v>
      </c>
      <c r="H171" t="s">
        <v>21</v>
      </c>
      <c r="I171" t="s">
        <v>64</v>
      </c>
      <c r="J171" t="s">
        <v>148</v>
      </c>
      <c r="K171" t="s">
        <v>63</v>
      </c>
      <c r="L171">
        <v>2379</v>
      </c>
      <c r="M171">
        <v>5.8862768000000001</v>
      </c>
      <c r="N171">
        <v>25.119346970662672</v>
      </c>
      <c r="O171">
        <v>-2.6098494503383183</v>
      </c>
      <c r="P171" s="1" t="str">
        <f>HYPERLINK(".\sm_car_251026_2256\sm_car_251026_2256_170_Ca145TrN_MaTUR_DrSt_ode3_1.png","figure")</f>
        <v>figure</v>
      </c>
      <c r="Q171" t="s">
        <v>15</v>
      </c>
    </row>
    <row r="172" spans="1:17" x14ac:dyDescent="0.25">
      <c r="A172">
        <v>171</v>
      </c>
      <c r="B172">
        <v>199</v>
      </c>
      <c r="C172" t="s">
        <v>46</v>
      </c>
      <c r="D172" t="s">
        <v>17</v>
      </c>
      <c r="E172" t="s">
        <v>109</v>
      </c>
      <c r="F172" t="s">
        <v>19</v>
      </c>
      <c r="G172" t="s">
        <v>26</v>
      </c>
      <c r="H172" t="s">
        <v>21</v>
      </c>
      <c r="I172" t="s">
        <v>22</v>
      </c>
      <c r="J172" t="s">
        <v>148</v>
      </c>
      <c r="K172" t="s">
        <v>63</v>
      </c>
      <c r="L172">
        <v>2647</v>
      </c>
      <c r="M172">
        <v>7.3814808999999997</v>
      </c>
      <c r="N172">
        <v>63.479991086186772</v>
      </c>
      <c r="O172">
        <v>-1.3351542397531919E-4</v>
      </c>
      <c r="P172" s="1" t="str">
        <f>HYPERLINK(".\sm_car_251026_2256\sm_car_251026_2256_171_Ca199TrN_MaWOT_DrSt_ode3_1.png","figure")</f>
        <v>figure</v>
      </c>
      <c r="Q172" t="s">
        <v>15</v>
      </c>
    </row>
    <row r="173" spans="1:17" x14ac:dyDescent="0.25">
      <c r="A173">
        <v>172</v>
      </c>
      <c r="B173">
        <v>199</v>
      </c>
      <c r="C173" t="s">
        <v>46</v>
      </c>
      <c r="D173" t="s">
        <v>17</v>
      </c>
      <c r="E173" t="s">
        <v>109</v>
      </c>
      <c r="F173" t="s">
        <v>19</v>
      </c>
      <c r="G173" t="s">
        <v>26</v>
      </c>
      <c r="H173" t="s">
        <v>21</v>
      </c>
      <c r="I173" t="s">
        <v>24</v>
      </c>
      <c r="J173" t="s">
        <v>148</v>
      </c>
      <c r="K173" t="s">
        <v>63</v>
      </c>
      <c r="L173">
        <v>2385</v>
      </c>
      <c r="M173">
        <v>6.5949983000000003</v>
      </c>
      <c r="N173">
        <v>25.919543247611728</v>
      </c>
      <c r="O173">
        <v>-5.3777383538012799E-2</v>
      </c>
      <c r="P173" s="1" t="str">
        <f>HYPERLINK(".\sm_car_251026_2256\sm_car_251026_2256_172_Ca199TrN_MaLSS_DrSt_ode3_1.png","figure")</f>
        <v>figure</v>
      </c>
      <c r="Q173" t="s">
        <v>15</v>
      </c>
    </row>
    <row r="174" spans="1:17" x14ac:dyDescent="0.25">
      <c r="A174">
        <v>173</v>
      </c>
      <c r="B174">
        <v>199</v>
      </c>
      <c r="C174" t="s">
        <v>46</v>
      </c>
      <c r="D174" t="s">
        <v>17</v>
      </c>
      <c r="E174" t="s">
        <v>109</v>
      </c>
      <c r="F174" t="s">
        <v>19</v>
      </c>
      <c r="G174" t="s">
        <v>26</v>
      </c>
      <c r="H174" t="s">
        <v>21</v>
      </c>
      <c r="I174" t="s">
        <v>64</v>
      </c>
      <c r="J174" t="s">
        <v>148</v>
      </c>
      <c r="K174" t="s">
        <v>63</v>
      </c>
      <c r="L174">
        <v>2383</v>
      </c>
      <c r="M174">
        <v>6.8408644000000001</v>
      </c>
      <c r="N174">
        <v>25.733626918673806</v>
      </c>
      <c r="O174">
        <v>-2.6936807199068045</v>
      </c>
      <c r="P174" s="1" t="str">
        <f>HYPERLINK(".\sm_car_251026_2256\sm_car_251026_2256_173_Ca199TrN_MaTUR_DrSt_ode3_1.png","figure")</f>
        <v>figure</v>
      </c>
      <c r="Q174" t="s">
        <v>15</v>
      </c>
    </row>
    <row r="175" spans="1:17" x14ac:dyDescent="0.25">
      <c r="A175">
        <v>174</v>
      </c>
      <c r="B175">
        <v>139</v>
      </c>
      <c r="C175" t="s">
        <v>45</v>
      </c>
      <c r="D175" t="s">
        <v>17</v>
      </c>
      <c r="E175" t="s">
        <v>18</v>
      </c>
      <c r="F175" t="s">
        <v>19</v>
      </c>
      <c r="G175" t="s">
        <v>26</v>
      </c>
      <c r="H175" t="s">
        <v>21</v>
      </c>
      <c r="I175" t="s">
        <v>53</v>
      </c>
      <c r="J175" t="s">
        <v>148</v>
      </c>
      <c r="K175" t="s">
        <v>23</v>
      </c>
      <c r="L175">
        <v>531</v>
      </c>
      <c r="M175">
        <v>11.522230499999999</v>
      </c>
      <c r="N175">
        <v>254.24740460294333</v>
      </c>
      <c r="O175">
        <v>-8.8096347416559695E-3</v>
      </c>
      <c r="P175" s="1" t="str">
        <f>HYPERLINK(".\sm_car_251026_2256\sm_car_251026_2256_174_Ca139TrN_MaDLC_DrSt_ode23t_1.png","figure")</f>
        <v>figure</v>
      </c>
      <c r="Q175" t="s">
        <v>15</v>
      </c>
    </row>
    <row r="176" spans="1:17" x14ac:dyDescent="0.25">
      <c r="A176">
        <v>175</v>
      </c>
      <c r="B176">
        <v>139</v>
      </c>
      <c r="C176" t="s">
        <v>45</v>
      </c>
      <c r="D176" t="s">
        <v>17</v>
      </c>
      <c r="E176" t="s">
        <v>18</v>
      </c>
      <c r="F176" t="s">
        <v>19</v>
      </c>
      <c r="G176" t="s">
        <v>26</v>
      </c>
      <c r="H176" t="s">
        <v>65</v>
      </c>
      <c r="I176" t="s">
        <v>53</v>
      </c>
      <c r="J176" t="s">
        <v>148</v>
      </c>
      <c r="K176" t="s">
        <v>23</v>
      </c>
      <c r="L176">
        <v>824</v>
      </c>
      <c r="M176">
        <v>30.774200799999999</v>
      </c>
      <c r="N176">
        <v>253.93185730722035</v>
      </c>
      <c r="O176">
        <v>6.3398904543237045E-3</v>
      </c>
      <c r="P176" s="1" t="str">
        <f>HYPERLINK(".\sm_car_251026_2256\sm_car_251026_2256_175_Ca139TrE_MaDLC_DrSt_ode23t_1.png","figure")</f>
        <v>figure</v>
      </c>
      <c r="Q176" t="s">
        <v>15</v>
      </c>
    </row>
    <row r="177" spans="1:17" x14ac:dyDescent="0.25">
      <c r="A177">
        <v>176</v>
      </c>
      <c r="B177">
        <v>139</v>
      </c>
      <c r="C177" t="s">
        <v>45</v>
      </c>
      <c r="D177" t="s">
        <v>17</v>
      </c>
      <c r="E177" t="s">
        <v>18</v>
      </c>
      <c r="F177" t="s">
        <v>19</v>
      </c>
      <c r="G177" t="s">
        <v>26</v>
      </c>
      <c r="H177" t="s">
        <v>66</v>
      </c>
      <c r="I177" t="s">
        <v>53</v>
      </c>
      <c r="J177" t="s">
        <v>148</v>
      </c>
      <c r="K177" t="s">
        <v>23</v>
      </c>
      <c r="L177">
        <v>1023</v>
      </c>
      <c r="M177">
        <v>39.550004999999999</v>
      </c>
      <c r="N177">
        <v>253.65347438611167</v>
      </c>
      <c r="O177">
        <v>-8.8847003916794343E-3</v>
      </c>
      <c r="P177" s="1" t="str">
        <f>HYPERLINK(".\sm_car_251026_2256\sm_car_251026_2256_176_Ca139TrT_MaDLC_DrSt_ode23t_1.png","figure")</f>
        <v>figure</v>
      </c>
      <c r="Q177" t="s">
        <v>15</v>
      </c>
    </row>
    <row r="178" spans="1:17" x14ac:dyDescent="0.25">
      <c r="A178">
        <v>177</v>
      </c>
      <c r="B178">
        <v>139</v>
      </c>
      <c r="C178" t="s">
        <v>45</v>
      </c>
      <c r="D178" t="s">
        <v>17</v>
      </c>
      <c r="E178" t="s">
        <v>18</v>
      </c>
      <c r="F178" t="s">
        <v>19</v>
      </c>
      <c r="G178" t="s">
        <v>26</v>
      </c>
      <c r="H178" t="s">
        <v>65</v>
      </c>
      <c r="I178" t="s">
        <v>53</v>
      </c>
      <c r="J178" t="s">
        <v>148</v>
      </c>
      <c r="K178" t="s">
        <v>23</v>
      </c>
      <c r="L178">
        <v>954</v>
      </c>
      <c r="M178">
        <v>23.322709700000001</v>
      </c>
      <c r="N178">
        <v>253.27768587464482</v>
      </c>
      <c r="O178">
        <v>0.17002960848229876</v>
      </c>
      <c r="P178" s="1" t="str">
        <f>HYPERLINK(".\sm_car_251026_2256\sm_car_251026_2256_177_Ca139TrE_MaDLC_DrSt_ode23t_1.png","figure")</f>
        <v>figure</v>
      </c>
      <c r="Q178" t="s">
        <v>15</v>
      </c>
    </row>
    <row r="179" spans="1:17" x14ac:dyDescent="0.25">
      <c r="A179">
        <v>178</v>
      </c>
      <c r="B179">
        <v>2</v>
      </c>
      <c r="C179" t="s">
        <v>16</v>
      </c>
      <c r="D179" t="s">
        <v>17</v>
      </c>
      <c r="E179" t="s">
        <v>18</v>
      </c>
      <c r="F179" t="s">
        <v>19</v>
      </c>
      <c r="G179" t="s">
        <v>26</v>
      </c>
      <c r="H179" t="s">
        <v>21</v>
      </c>
      <c r="I179" t="s">
        <v>53</v>
      </c>
      <c r="J179" t="s">
        <v>148</v>
      </c>
      <c r="K179" t="s">
        <v>23</v>
      </c>
      <c r="L179">
        <v>529</v>
      </c>
      <c r="M179">
        <v>8.8994426999999998</v>
      </c>
      <c r="N179">
        <v>254.98668971193138</v>
      </c>
      <c r="O179">
        <v>4.1088907798354501E-2</v>
      </c>
      <c r="P179" s="1" t="str">
        <f>HYPERLINK(".\sm_car_251026_2256\sm_car_251026_2256_178_Ca002TrN_MaDLC_DrSt_ode23t_1.png","figure")</f>
        <v>figure</v>
      </c>
      <c r="Q179" t="s">
        <v>15</v>
      </c>
    </row>
    <row r="180" spans="1:17" x14ac:dyDescent="0.25">
      <c r="A180">
        <v>179</v>
      </c>
      <c r="B180">
        <v>2</v>
      </c>
      <c r="C180" t="s">
        <v>16</v>
      </c>
      <c r="D180" t="s">
        <v>17</v>
      </c>
      <c r="E180" t="s">
        <v>18</v>
      </c>
      <c r="F180" t="s">
        <v>19</v>
      </c>
      <c r="G180" t="s">
        <v>26</v>
      </c>
      <c r="H180" t="s">
        <v>65</v>
      </c>
      <c r="I180" t="s">
        <v>53</v>
      </c>
      <c r="J180" t="s">
        <v>148</v>
      </c>
      <c r="K180" t="s">
        <v>23</v>
      </c>
      <c r="L180">
        <v>564</v>
      </c>
      <c r="M180">
        <v>17.018518100000001</v>
      </c>
      <c r="N180">
        <v>255.22921486954465</v>
      </c>
      <c r="O180">
        <v>4.0793742758303164E-2</v>
      </c>
      <c r="P180" s="1" t="str">
        <f>HYPERLINK(".\sm_car_251026_2256\sm_car_251026_2256_179_Ca002TrE_MaDLC_DrSt_ode23t_1.png","figure")</f>
        <v>figure</v>
      </c>
      <c r="Q180" t="s">
        <v>15</v>
      </c>
    </row>
    <row r="181" spans="1:17" x14ac:dyDescent="0.25">
      <c r="A181">
        <v>180</v>
      </c>
      <c r="B181">
        <v>2</v>
      </c>
      <c r="C181" t="s">
        <v>16</v>
      </c>
      <c r="D181" t="s">
        <v>17</v>
      </c>
      <c r="E181" t="s">
        <v>18</v>
      </c>
      <c r="F181" t="s">
        <v>19</v>
      </c>
      <c r="G181" t="s">
        <v>26</v>
      </c>
      <c r="H181" t="s">
        <v>66</v>
      </c>
      <c r="I181" t="s">
        <v>53</v>
      </c>
      <c r="J181" t="s">
        <v>148</v>
      </c>
      <c r="K181" t="s">
        <v>23</v>
      </c>
      <c r="L181">
        <v>846</v>
      </c>
      <c r="M181">
        <v>24.4661434</v>
      </c>
      <c r="N181">
        <v>254.61634224987506</v>
      </c>
      <c r="O181">
        <v>4.2321892658817362E-2</v>
      </c>
      <c r="P181" s="1" t="str">
        <f>HYPERLINK(".\sm_car_251026_2256\sm_car_251026_2256_180_Ca002TrT_MaDLC_DrSt_ode23t_1.png","figure")</f>
        <v>figure</v>
      </c>
      <c r="Q181" t="s">
        <v>15</v>
      </c>
    </row>
    <row r="182" spans="1:17" x14ac:dyDescent="0.25">
      <c r="A182">
        <v>181</v>
      </c>
      <c r="B182">
        <v>2</v>
      </c>
      <c r="C182" t="s">
        <v>16</v>
      </c>
      <c r="D182" t="s">
        <v>17</v>
      </c>
      <c r="E182" t="s">
        <v>18</v>
      </c>
      <c r="F182" t="s">
        <v>19</v>
      </c>
      <c r="G182" t="s">
        <v>26</v>
      </c>
      <c r="H182" t="s">
        <v>65</v>
      </c>
      <c r="I182" t="s">
        <v>53</v>
      </c>
      <c r="J182" t="s">
        <v>148</v>
      </c>
      <c r="K182" t="s">
        <v>23</v>
      </c>
      <c r="L182">
        <v>579</v>
      </c>
      <c r="M182">
        <v>12.9047134</v>
      </c>
      <c r="N182">
        <v>255.30680264779829</v>
      </c>
      <c r="O182">
        <v>4.0514454061913785E-2</v>
      </c>
      <c r="P182" s="1" t="str">
        <f>HYPERLINK(".\sm_car_251026_2256\sm_car_251026_2256_181_Ca002TrE_MaDLC_DrSt_ode23t_1.png","figure")</f>
        <v>figure</v>
      </c>
      <c r="Q182" t="s">
        <v>15</v>
      </c>
    </row>
    <row r="183" spans="1:17" x14ac:dyDescent="0.25">
      <c r="A183">
        <v>182</v>
      </c>
      <c r="B183">
        <v>145</v>
      </c>
      <c r="C183" t="s">
        <v>46</v>
      </c>
      <c r="D183" t="s">
        <v>17</v>
      </c>
      <c r="E183" t="s">
        <v>50</v>
      </c>
      <c r="F183" t="s">
        <v>19</v>
      </c>
      <c r="G183" t="s">
        <v>26</v>
      </c>
      <c r="H183" t="s">
        <v>21</v>
      </c>
      <c r="I183" t="s">
        <v>53</v>
      </c>
      <c r="J183" t="s">
        <v>148</v>
      </c>
      <c r="K183" t="s">
        <v>23</v>
      </c>
      <c r="L183">
        <v>456</v>
      </c>
      <c r="M183">
        <v>16.146379599999999</v>
      </c>
      <c r="N183">
        <v>253.91319581641682</v>
      </c>
      <c r="O183">
        <v>7.4963089743133704E-2</v>
      </c>
      <c r="P183" s="1" t="str">
        <f>HYPERLINK(".\sm_car_251026_2256\sm_car_251026_2256_182_Ca145TrN_MaDLC_DrSt_ode23t_1.png","figure")</f>
        <v>figure</v>
      </c>
      <c r="Q183" t="s">
        <v>15</v>
      </c>
    </row>
    <row r="184" spans="1:17" x14ac:dyDescent="0.25">
      <c r="A184">
        <v>183</v>
      </c>
      <c r="B184">
        <v>145</v>
      </c>
      <c r="C184" t="s">
        <v>46</v>
      </c>
      <c r="D184" t="s">
        <v>17</v>
      </c>
      <c r="E184" t="s">
        <v>50</v>
      </c>
      <c r="F184" t="s">
        <v>19</v>
      </c>
      <c r="G184" t="s">
        <v>26</v>
      </c>
      <c r="H184" t="s">
        <v>65</v>
      </c>
      <c r="I184" t="s">
        <v>53</v>
      </c>
      <c r="J184" t="s">
        <v>148</v>
      </c>
      <c r="K184" t="s">
        <v>23</v>
      </c>
      <c r="L184">
        <v>568</v>
      </c>
      <c r="M184">
        <v>31.322169599999999</v>
      </c>
      <c r="N184">
        <v>253.54158605579875</v>
      </c>
      <c r="O184">
        <v>7.7434658771752485E-2</v>
      </c>
      <c r="P184" s="1" t="str">
        <f>HYPERLINK(".\sm_car_251026_2256\sm_car_251026_2256_183_Ca145TrE_MaDLC_DrSt_ode23t_1.png","figure")</f>
        <v>figure</v>
      </c>
      <c r="Q184" t="s">
        <v>15</v>
      </c>
    </row>
    <row r="185" spans="1:17" x14ac:dyDescent="0.25">
      <c r="A185">
        <v>184</v>
      </c>
      <c r="B185">
        <v>145</v>
      </c>
      <c r="C185" t="s">
        <v>46</v>
      </c>
      <c r="D185" t="s">
        <v>17</v>
      </c>
      <c r="E185" t="s">
        <v>50</v>
      </c>
      <c r="F185" t="s">
        <v>19</v>
      </c>
      <c r="G185" t="s">
        <v>26</v>
      </c>
      <c r="H185" t="s">
        <v>66</v>
      </c>
      <c r="I185" t="s">
        <v>53</v>
      </c>
      <c r="J185" t="s">
        <v>148</v>
      </c>
      <c r="K185" t="s">
        <v>23</v>
      </c>
      <c r="L185">
        <v>785</v>
      </c>
      <c r="M185">
        <v>44.4219084</v>
      </c>
      <c r="N185">
        <v>256.23238480540806</v>
      </c>
      <c r="O185">
        <v>6.470934361257763E-2</v>
      </c>
      <c r="P185" s="1" t="str">
        <f>HYPERLINK(".\sm_car_251026_2256\sm_car_251026_2256_184_Ca145TrT_MaDLC_DrSt_ode23t_1.png","figure")</f>
        <v>figure</v>
      </c>
      <c r="Q185" t="s">
        <v>15</v>
      </c>
    </row>
    <row r="186" spans="1:17" x14ac:dyDescent="0.25">
      <c r="A186">
        <v>185</v>
      </c>
      <c r="B186">
        <v>145</v>
      </c>
      <c r="C186" t="s">
        <v>46</v>
      </c>
      <c r="D186" t="s">
        <v>17</v>
      </c>
      <c r="E186" t="s">
        <v>50</v>
      </c>
      <c r="F186" t="s">
        <v>19</v>
      </c>
      <c r="G186" t="s">
        <v>26</v>
      </c>
      <c r="H186" t="s">
        <v>65</v>
      </c>
      <c r="I186" t="s">
        <v>53</v>
      </c>
      <c r="J186" t="s">
        <v>148</v>
      </c>
      <c r="K186" t="s">
        <v>23</v>
      </c>
      <c r="L186">
        <v>574</v>
      </c>
      <c r="M186">
        <v>26.238587899999999</v>
      </c>
      <c r="N186">
        <v>254.52744634729021</v>
      </c>
      <c r="O186">
        <v>7.2685837890370752E-2</v>
      </c>
      <c r="P186" s="1" t="str">
        <f>HYPERLINK(".\sm_car_251026_2256\sm_car_251026_2256_185_Ca145TrE_MaDLC_DrSt_ode23t_1.png","figure")</f>
        <v>figure</v>
      </c>
      <c r="Q186" t="s">
        <v>15</v>
      </c>
    </row>
    <row r="187" spans="1:17" x14ac:dyDescent="0.25">
      <c r="A187">
        <v>186</v>
      </c>
      <c r="B187">
        <v>199</v>
      </c>
      <c r="C187" t="s">
        <v>46</v>
      </c>
      <c r="D187" t="s">
        <v>17</v>
      </c>
      <c r="E187" t="s">
        <v>109</v>
      </c>
      <c r="F187" t="s">
        <v>19</v>
      </c>
      <c r="G187" t="s">
        <v>26</v>
      </c>
      <c r="H187" t="s">
        <v>21</v>
      </c>
      <c r="I187" t="s">
        <v>53</v>
      </c>
      <c r="J187" t="s">
        <v>148</v>
      </c>
      <c r="K187" t="s">
        <v>23</v>
      </c>
      <c r="L187">
        <v>471</v>
      </c>
      <c r="M187">
        <v>6.9983532000000004</v>
      </c>
      <c r="N187">
        <v>253.35903487708219</v>
      </c>
      <c r="O187">
        <v>7.768790645386181E-2</v>
      </c>
      <c r="P187" s="1" t="str">
        <f>HYPERLINK(".\sm_car_251026_2256\sm_car_251026_2256_186_Ca199TrN_MaDLC_DrSt_ode23t_1.png","figure")</f>
        <v>figure</v>
      </c>
      <c r="Q187" t="s">
        <v>15</v>
      </c>
    </row>
    <row r="188" spans="1:17" x14ac:dyDescent="0.25">
      <c r="A188">
        <v>187</v>
      </c>
      <c r="B188">
        <v>199</v>
      </c>
      <c r="C188" t="s">
        <v>46</v>
      </c>
      <c r="D188" t="s">
        <v>17</v>
      </c>
      <c r="E188" t="s">
        <v>109</v>
      </c>
      <c r="F188" t="s">
        <v>19</v>
      </c>
      <c r="G188" t="s">
        <v>26</v>
      </c>
      <c r="H188" t="s">
        <v>65</v>
      </c>
      <c r="I188" t="s">
        <v>53</v>
      </c>
      <c r="J188" t="s">
        <v>148</v>
      </c>
      <c r="K188" t="s">
        <v>23</v>
      </c>
      <c r="L188">
        <v>575</v>
      </c>
      <c r="M188">
        <v>17.173692800000001</v>
      </c>
      <c r="N188">
        <v>254.88684941609313</v>
      </c>
      <c r="O188">
        <v>7.0975244757817357E-2</v>
      </c>
      <c r="P188" s="1" t="str">
        <f>HYPERLINK(".\sm_car_251026_2256\sm_car_251026_2256_187_Ca199TrE_MaDLC_DrSt_ode23t_1.png","figure")</f>
        <v>figure</v>
      </c>
      <c r="Q188" t="s">
        <v>15</v>
      </c>
    </row>
    <row r="189" spans="1:17" x14ac:dyDescent="0.25">
      <c r="A189">
        <v>188</v>
      </c>
      <c r="B189">
        <v>199</v>
      </c>
      <c r="C189" t="s">
        <v>46</v>
      </c>
      <c r="D189" t="s">
        <v>17</v>
      </c>
      <c r="E189" t="s">
        <v>109</v>
      </c>
      <c r="F189" t="s">
        <v>19</v>
      </c>
      <c r="G189" t="s">
        <v>26</v>
      </c>
      <c r="H189" t="s">
        <v>66</v>
      </c>
      <c r="I189" t="s">
        <v>53</v>
      </c>
      <c r="J189" t="s">
        <v>148</v>
      </c>
      <c r="K189" t="s">
        <v>23</v>
      </c>
      <c r="L189">
        <v>1185</v>
      </c>
      <c r="M189">
        <v>50.380518600000002</v>
      </c>
      <c r="N189">
        <v>255.52440194215603</v>
      </c>
      <c r="O189">
        <v>6.7777836312274964E-2</v>
      </c>
      <c r="P189" s="1" t="str">
        <f>HYPERLINK(".\sm_car_251026_2256\sm_car_251026_2256_188_Ca199TrT_MaDLC_DrSt_ode23t_1.png","figure")</f>
        <v>figure</v>
      </c>
      <c r="Q189" t="s">
        <v>15</v>
      </c>
    </row>
    <row r="190" spans="1:17" x14ac:dyDescent="0.25">
      <c r="A190">
        <v>189</v>
      </c>
      <c r="B190">
        <v>199</v>
      </c>
      <c r="C190" t="s">
        <v>46</v>
      </c>
      <c r="D190" t="s">
        <v>17</v>
      </c>
      <c r="E190" t="s">
        <v>109</v>
      </c>
      <c r="F190" t="s">
        <v>19</v>
      </c>
      <c r="G190" t="s">
        <v>26</v>
      </c>
      <c r="H190" t="s">
        <v>65</v>
      </c>
      <c r="I190" t="s">
        <v>53</v>
      </c>
      <c r="J190" t="s">
        <v>148</v>
      </c>
      <c r="K190" t="s">
        <v>23</v>
      </c>
      <c r="L190">
        <v>582</v>
      </c>
      <c r="M190">
        <v>11.796024900000001</v>
      </c>
      <c r="N190">
        <v>255.71038449004971</v>
      </c>
      <c r="O190">
        <v>6.7512426457045027E-2</v>
      </c>
      <c r="P190" s="1" t="str">
        <f>HYPERLINK(".\sm_car_251026_2256\sm_car_251026_2256_189_Ca199TrE_MaDLC_DrSt_ode23t_1.png","figure")</f>
        <v>figure</v>
      </c>
      <c r="Q190" t="s">
        <v>15</v>
      </c>
    </row>
    <row r="191" spans="1:17" x14ac:dyDescent="0.25">
      <c r="A191">
        <v>190</v>
      </c>
      <c r="B191">
        <v>189</v>
      </c>
      <c r="C191" t="s">
        <v>45</v>
      </c>
      <c r="D191" t="s">
        <v>17</v>
      </c>
      <c r="E191" t="s">
        <v>107</v>
      </c>
      <c r="F191" t="s">
        <v>19</v>
      </c>
      <c r="G191" t="s">
        <v>26</v>
      </c>
      <c r="H191" t="s">
        <v>65</v>
      </c>
      <c r="I191" t="s">
        <v>67</v>
      </c>
      <c r="J191" t="s">
        <v>148</v>
      </c>
      <c r="K191" t="s">
        <v>23</v>
      </c>
      <c r="L191">
        <v>399</v>
      </c>
      <c r="M191">
        <v>10.6940399</v>
      </c>
      <c r="N191">
        <v>264.58233228340436</v>
      </c>
      <c r="O191">
        <v>1.2782582768440243E-3</v>
      </c>
      <c r="P191" s="1" t="str">
        <f>HYPERLINK(".\sm_car_251026_2256\sm_car_251026_2256_190_Ca189TrE_MaTRD_DrSt_ode23t_1.png","figure")</f>
        <v>figure</v>
      </c>
      <c r="Q191" t="s">
        <v>15</v>
      </c>
    </row>
    <row r="192" spans="1:17" x14ac:dyDescent="0.25">
      <c r="A192">
        <v>191</v>
      </c>
      <c r="B192">
        <v>189</v>
      </c>
      <c r="C192" t="s">
        <v>45</v>
      </c>
      <c r="D192" t="s">
        <v>17</v>
      </c>
      <c r="E192" t="s">
        <v>107</v>
      </c>
      <c r="F192" t="s">
        <v>19</v>
      </c>
      <c r="G192" t="s">
        <v>26</v>
      </c>
      <c r="H192" t="s">
        <v>65</v>
      </c>
      <c r="I192" t="s">
        <v>67</v>
      </c>
      <c r="J192" t="s">
        <v>148</v>
      </c>
      <c r="K192" t="s">
        <v>23</v>
      </c>
      <c r="L192">
        <v>596</v>
      </c>
      <c r="M192">
        <v>15.7706179</v>
      </c>
      <c r="N192">
        <v>264.429023822722</v>
      </c>
      <c r="O192">
        <v>-9.0223587035060504E-2</v>
      </c>
      <c r="P192" s="1" t="str">
        <f>HYPERLINK(".\sm_car_251026_2256\sm_car_251026_2256_191_Ca189TrU_MaTRD_DrSt_ode23t_1.png","figure")</f>
        <v>figure</v>
      </c>
      <c r="Q192" t="s">
        <v>15</v>
      </c>
    </row>
    <row r="193" spans="1:17" x14ac:dyDescent="0.25">
      <c r="A193">
        <v>192</v>
      </c>
      <c r="B193">
        <v>149</v>
      </c>
      <c r="C193" t="s">
        <v>46</v>
      </c>
      <c r="D193" t="s">
        <v>17</v>
      </c>
      <c r="E193" t="s">
        <v>68</v>
      </c>
      <c r="F193" t="s">
        <v>19</v>
      </c>
      <c r="G193" t="s">
        <v>26</v>
      </c>
      <c r="H193" t="s">
        <v>21</v>
      </c>
      <c r="I193" t="s">
        <v>177</v>
      </c>
      <c r="J193" t="s">
        <v>148</v>
      </c>
      <c r="K193" t="s">
        <v>23</v>
      </c>
      <c r="L193">
        <v>1004</v>
      </c>
      <c r="M193">
        <v>11.378686099999999</v>
      </c>
      <c r="N193">
        <v>-5.9958629814294007E-3</v>
      </c>
      <c r="O193">
        <v>-8.630476629361214E-4</v>
      </c>
      <c r="P193" s="1" t="str">
        <f>HYPERLINK(".\sm_car_251026_2256\sm_car_251026_2256_192_Ca149TrN_MaPS1_DrSt_ode23t_1.png","figure")</f>
        <v>figure</v>
      </c>
      <c r="Q193" t="s">
        <v>15</v>
      </c>
    </row>
    <row r="194" spans="1:17" x14ac:dyDescent="0.25">
      <c r="A194">
        <v>193</v>
      </c>
      <c r="B194">
        <v>149</v>
      </c>
      <c r="C194" t="s">
        <v>46</v>
      </c>
      <c r="D194" t="s">
        <v>17</v>
      </c>
      <c r="E194" t="s">
        <v>68</v>
      </c>
      <c r="F194" t="s">
        <v>19</v>
      </c>
      <c r="G194" t="s">
        <v>26</v>
      </c>
      <c r="H194" t="s">
        <v>21</v>
      </c>
      <c r="I194" t="s">
        <v>178</v>
      </c>
      <c r="J194" t="s">
        <v>148</v>
      </c>
      <c r="K194" t="s">
        <v>23</v>
      </c>
      <c r="L194">
        <v>2908</v>
      </c>
      <c r="M194">
        <v>14.7283615</v>
      </c>
      <c r="N194">
        <v>-8.8962554167824059E-3</v>
      </c>
      <c r="O194">
        <v>1.9550910423186164E-3</v>
      </c>
      <c r="P194" s="1" t="str">
        <f>HYPERLINK(".\sm_car_251026_2256\sm_car_251026_2256_193_Ca149TrN_MaPSD_DrSt_ode23t_1.png","figure")</f>
        <v>figure</v>
      </c>
      <c r="Q194" t="s">
        <v>15</v>
      </c>
    </row>
    <row r="195" spans="1:17" x14ac:dyDescent="0.25">
      <c r="A195">
        <v>194</v>
      </c>
      <c r="B195">
        <v>139</v>
      </c>
      <c r="C195" t="s">
        <v>45</v>
      </c>
      <c r="D195" t="s">
        <v>17</v>
      </c>
      <c r="E195" t="s">
        <v>18</v>
      </c>
      <c r="F195" t="s">
        <v>19</v>
      </c>
      <c r="G195" t="s">
        <v>26</v>
      </c>
      <c r="H195" t="s">
        <v>21</v>
      </c>
      <c r="I195" t="s">
        <v>70</v>
      </c>
      <c r="J195" t="s">
        <v>148</v>
      </c>
      <c r="K195" t="s">
        <v>23</v>
      </c>
      <c r="L195">
        <v>1544</v>
      </c>
      <c r="M195">
        <v>33.408603599999999</v>
      </c>
      <c r="N195">
        <v>36.380996610599055</v>
      </c>
      <c r="O195">
        <v>0.23297904863917651</v>
      </c>
      <c r="P195" s="1" t="str">
        <f>HYPERLINK(".\sm_car_251026_2256\sm_car_251026_2256_194_Ca139TrN_MaSKD_DrSt_ode23t_1.png","figure")</f>
        <v>figure</v>
      </c>
      <c r="Q195" t="s">
        <v>15</v>
      </c>
    </row>
    <row r="196" spans="1:17" x14ac:dyDescent="0.25">
      <c r="A196">
        <v>195</v>
      </c>
      <c r="B196">
        <v>139</v>
      </c>
      <c r="C196" t="s">
        <v>45</v>
      </c>
      <c r="D196" t="s">
        <v>17</v>
      </c>
      <c r="E196" t="s">
        <v>18</v>
      </c>
      <c r="F196" t="s">
        <v>19</v>
      </c>
      <c r="G196" t="s">
        <v>26</v>
      </c>
      <c r="H196" t="s">
        <v>21</v>
      </c>
      <c r="I196" t="s">
        <v>71</v>
      </c>
      <c r="J196" t="s">
        <v>148</v>
      </c>
      <c r="K196" t="s">
        <v>23</v>
      </c>
      <c r="L196">
        <v>818</v>
      </c>
      <c r="M196">
        <v>19.145035799999999</v>
      </c>
      <c r="N196">
        <v>2.854346832243948E-4</v>
      </c>
      <c r="O196">
        <v>20.559217788148725</v>
      </c>
      <c r="P196" s="1" t="str">
        <f>HYPERLINK(".\sm_car_251026_2256\sm_car_251026_2256_195_Ca139TrN_MaRAD_DrSt_ode23t_1.png","figure")</f>
        <v>figure</v>
      </c>
      <c r="Q196" t="s">
        <v>15</v>
      </c>
    </row>
    <row r="197" spans="1:17" x14ac:dyDescent="0.25">
      <c r="A197">
        <v>196</v>
      </c>
      <c r="B197">
        <v>184</v>
      </c>
      <c r="C197" t="s">
        <v>105</v>
      </c>
      <c r="D197" t="s">
        <v>120</v>
      </c>
      <c r="E197" t="s">
        <v>49</v>
      </c>
      <c r="F197" t="s">
        <v>19</v>
      </c>
      <c r="G197" t="s">
        <v>20</v>
      </c>
      <c r="H197" t="s">
        <v>21</v>
      </c>
      <c r="I197" t="s">
        <v>70</v>
      </c>
      <c r="J197" t="s">
        <v>148</v>
      </c>
      <c r="K197" t="s">
        <v>23</v>
      </c>
      <c r="L197">
        <v>1317</v>
      </c>
      <c r="M197">
        <v>47.2137162</v>
      </c>
      <c r="N197">
        <v>36.539141079078327</v>
      </c>
      <c r="O197">
        <v>0.15673863727957171</v>
      </c>
      <c r="P197" s="1" t="str">
        <f>HYPERLINK(".\sm_car_251026_2256\sm_car_251026_2256_196_Ca184TrN_MaSKD_DrSt_ode23t_1.png","figure")</f>
        <v>figure</v>
      </c>
      <c r="Q197" t="s">
        <v>15</v>
      </c>
    </row>
    <row r="198" spans="1:17" x14ac:dyDescent="0.25">
      <c r="A198">
        <v>197</v>
      </c>
      <c r="B198">
        <v>184</v>
      </c>
      <c r="C198" t="s">
        <v>105</v>
      </c>
      <c r="D198" t="s">
        <v>120</v>
      </c>
      <c r="E198" t="s">
        <v>49</v>
      </c>
      <c r="F198" t="s">
        <v>19</v>
      </c>
      <c r="G198" t="s">
        <v>20</v>
      </c>
      <c r="H198" t="s">
        <v>21</v>
      </c>
      <c r="I198" t="s">
        <v>71</v>
      </c>
      <c r="J198" t="s">
        <v>148</v>
      </c>
      <c r="K198" t="s">
        <v>23</v>
      </c>
      <c r="L198">
        <v>646</v>
      </c>
      <c r="M198">
        <v>23.1844641</v>
      </c>
      <c r="N198">
        <v>7.4804616239762574</v>
      </c>
      <c r="O198">
        <v>10.383853124414514</v>
      </c>
      <c r="P198" s="1" t="str">
        <f>HYPERLINK(".\sm_car_251026_2256\sm_car_251026_2256_197_Ca184TrN_MaRAD_DrSt_ode23t_1.png","figure")</f>
        <v>figure</v>
      </c>
      <c r="Q198" t="s">
        <v>15</v>
      </c>
    </row>
    <row r="199" spans="1:17" x14ac:dyDescent="0.25">
      <c r="A199">
        <v>198</v>
      </c>
      <c r="B199">
        <v>228</v>
      </c>
      <c r="C199" t="s">
        <v>160</v>
      </c>
      <c r="D199" t="s">
        <v>35</v>
      </c>
      <c r="E199" t="s">
        <v>107</v>
      </c>
      <c r="F199" t="s">
        <v>19</v>
      </c>
      <c r="G199" t="s">
        <v>26</v>
      </c>
      <c r="H199" t="s">
        <v>21</v>
      </c>
      <c r="I199" t="s">
        <v>70</v>
      </c>
      <c r="J199" t="s">
        <v>148</v>
      </c>
      <c r="K199" t="s">
        <v>23</v>
      </c>
      <c r="L199">
        <v>1679</v>
      </c>
      <c r="M199">
        <v>7.2384803</v>
      </c>
      <c r="N199">
        <v>36.390563844522518</v>
      </c>
      <c r="O199">
        <v>0.58114289910033112</v>
      </c>
      <c r="P199" s="1" t="str">
        <f>HYPERLINK(".\sm_car_251026_2256\sm_car_251026_2256_198_Ca228TrN_MaSKD_DrSt_ode23t_1.png","figure")</f>
        <v>figure</v>
      </c>
      <c r="Q199" t="s">
        <v>15</v>
      </c>
    </row>
    <row r="200" spans="1:17" x14ac:dyDescent="0.25">
      <c r="A200">
        <v>199</v>
      </c>
      <c r="B200">
        <v>228</v>
      </c>
      <c r="C200" t="s">
        <v>160</v>
      </c>
      <c r="D200" t="s">
        <v>35</v>
      </c>
      <c r="E200" t="s">
        <v>107</v>
      </c>
      <c r="F200" t="s">
        <v>19</v>
      </c>
      <c r="G200" t="s">
        <v>26</v>
      </c>
      <c r="H200" t="s">
        <v>21</v>
      </c>
      <c r="I200" t="s">
        <v>71</v>
      </c>
      <c r="J200" t="s">
        <v>148</v>
      </c>
      <c r="K200" t="s">
        <v>23</v>
      </c>
      <c r="L200">
        <v>752</v>
      </c>
      <c r="M200">
        <v>3.2727210000000002</v>
      </c>
      <c r="N200">
        <v>6.988670181219149</v>
      </c>
      <c r="O200">
        <v>19.412370946242323</v>
      </c>
      <c r="P200" s="1" t="str">
        <f>HYPERLINK(".\sm_car_251026_2256\sm_car_251026_2256_199_Ca228TrN_MaRAD_DrSt_ode23t_1.png","figure")</f>
        <v>figure</v>
      </c>
      <c r="Q200" t="s">
        <v>15</v>
      </c>
    </row>
    <row r="201" spans="1:17" x14ac:dyDescent="0.25">
      <c r="A201">
        <v>200</v>
      </c>
      <c r="B201">
        <v>230</v>
      </c>
      <c r="C201" t="s">
        <v>160</v>
      </c>
      <c r="D201" t="s">
        <v>161</v>
      </c>
      <c r="E201" t="s">
        <v>162</v>
      </c>
      <c r="F201" t="s">
        <v>19</v>
      </c>
      <c r="G201" t="s">
        <v>26</v>
      </c>
      <c r="H201" t="s">
        <v>21</v>
      </c>
      <c r="I201" t="s">
        <v>70</v>
      </c>
      <c r="J201" t="s">
        <v>148</v>
      </c>
      <c r="K201" t="s">
        <v>23</v>
      </c>
      <c r="L201">
        <v>1382</v>
      </c>
      <c r="M201">
        <v>24.5004451</v>
      </c>
      <c r="N201">
        <v>36.424502422698879</v>
      </c>
      <c r="O201">
        <v>0.18884961682141918</v>
      </c>
      <c r="P201" s="1" t="str">
        <f>HYPERLINK(".\sm_car_251026_2256\sm_car_251026_2256_200_Ca230TrN_MaSKD_DrSt_ode23t_1.png","figure")</f>
        <v>figure</v>
      </c>
      <c r="Q201" t="s">
        <v>15</v>
      </c>
    </row>
    <row r="202" spans="1:17" x14ac:dyDescent="0.25">
      <c r="A202">
        <v>201</v>
      </c>
      <c r="B202">
        <v>230</v>
      </c>
      <c r="C202" t="s">
        <v>160</v>
      </c>
      <c r="D202" t="s">
        <v>161</v>
      </c>
      <c r="E202" t="s">
        <v>162</v>
      </c>
      <c r="F202" t="s">
        <v>19</v>
      </c>
      <c r="G202" t="s">
        <v>26</v>
      </c>
      <c r="H202" t="s">
        <v>21</v>
      </c>
      <c r="I202" t="s">
        <v>71</v>
      </c>
      <c r="J202" t="s">
        <v>148</v>
      </c>
      <c r="K202" t="s">
        <v>23</v>
      </c>
      <c r="L202">
        <v>696</v>
      </c>
      <c r="M202">
        <v>12.330471299999999</v>
      </c>
      <c r="N202">
        <v>5.4385013339622432</v>
      </c>
      <c r="O202">
        <v>14.267542971268467</v>
      </c>
      <c r="P202" s="1" t="str">
        <f>HYPERLINK(".\sm_car_251026_2256\sm_car_251026_2256_201_Ca230TrN_MaRAD_DrSt_ode23t_1.png","figure")</f>
        <v>figure</v>
      </c>
      <c r="Q202" t="s">
        <v>15</v>
      </c>
    </row>
    <row r="203" spans="1:17" x14ac:dyDescent="0.25">
      <c r="A203">
        <v>202</v>
      </c>
      <c r="B203">
        <v>231</v>
      </c>
      <c r="C203" t="s">
        <v>160</v>
      </c>
      <c r="D203" t="s">
        <v>172</v>
      </c>
      <c r="E203" t="s">
        <v>162</v>
      </c>
      <c r="F203" t="s">
        <v>19</v>
      </c>
      <c r="G203" t="s">
        <v>26</v>
      </c>
      <c r="H203" t="s">
        <v>21</v>
      </c>
      <c r="I203" t="s">
        <v>70</v>
      </c>
      <c r="J203" t="s">
        <v>148</v>
      </c>
      <c r="K203" t="s">
        <v>23</v>
      </c>
      <c r="L203">
        <v>1502</v>
      </c>
      <c r="M203">
        <v>26.9277239</v>
      </c>
      <c r="N203">
        <v>36.475696286609178</v>
      </c>
      <c r="O203">
        <v>-0.1411525955454557</v>
      </c>
      <c r="P203" s="1" t="str">
        <f>HYPERLINK(".\sm_car_251026_2256\sm_car_251026_2256_202_Ca231TrN_MaSKD_DrSt_ode23t_1.png","figure")</f>
        <v>figure</v>
      </c>
      <c r="Q203" t="s">
        <v>15</v>
      </c>
    </row>
    <row r="204" spans="1:17" x14ac:dyDescent="0.25">
      <c r="A204">
        <v>203</v>
      </c>
      <c r="B204">
        <v>231</v>
      </c>
      <c r="C204" t="s">
        <v>160</v>
      </c>
      <c r="D204" t="s">
        <v>172</v>
      </c>
      <c r="E204" t="s">
        <v>162</v>
      </c>
      <c r="F204" t="s">
        <v>19</v>
      </c>
      <c r="G204" t="s">
        <v>26</v>
      </c>
      <c r="H204" t="s">
        <v>21</v>
      </c>
      <c r="I204" t="s">
        <v>71</v>
      </c>
      <c r="J204" t="s">
        <v>148</v>
      </c>
      <c r="K204" t="s">
        <v>23</v>
      </c>
      <c r="L204">
        <v>759</v>
      </c>
      <c r="M204">
        <v>13.3502738</v>
      </c>
      <c r="N204">
        <v>6.5513658858689396</v>
      </c>
      <c r="O204">
        <v>3.9325432215188423</v>
      </c>
      <c r="P204" s="1" t="str">
        <f>HYPERLINK(".\sm_car_251026_2256\sm_car_251026_2256_203_Ca231TrN_MaRAD_DrSt_ode23t_1.png","figure")</f>
        <v>figure</v>
      </c>
      <c r="Q204" t="s">
        <v>15</v>
      </c>
    </row>
    <row r="205" spans="1:17" x14ac:dyDescent="0.25">
      <c r="A205">
        <v>204</v>
      </c>
      <c r="B205">
        <v>233</v>
      </c>
      <c r="C205" t="s">
        <v>45</v>
      </c>
      <c r="D205" t="s">
        <v>17</v>
      </c>
      <c r="E205" t="s">
        <v>107</v>
      </c>
      <c r="F205" t="s">
        <v>19</v>
      </c>
      <c r="G205" t="s">
        <v>182</v>
      </c>
      <c r="H205" t="s">
        <v>21</v>
      </c>
      <c r="I205" t="s">
        <v>70</v>
      </c>
      <c r="J205" t="s">
        <v>148</v>
      </c>
      <c r="K205" t="s">
        <v>23</v>
      </c>
      <c r="L205">
        <v>1590</v>
      </c>
      <c r="M205">
        <v>27.399643999999999</v>
      </c>
      <c r="N205">
        <v>36.579492336008855</v>
      </c>
      <c r="O205">
        <v>-0.32853563205808967</v>
      </c>
      <c r="P205" s="1" t="str">
        <f>HYPERLINK(".\sm_car_251026_2256\sm_car_251026_2256_204_Ca233TrN_MaSKD_DrSt_ode23t_1.png","figure")</f>
        <v>figure</v>
      </c>
      <c r="Q205" t="s">
        <v>15</v>
      </c>
    </row>
    <row r="206" spans="1:17" x14ac:dyDescent="0.25">
      <c r="A206">
        <v>205</v>
      </c>
      <c r="B206">
        <v>233</v>
      </c>
      <c r="C206" t="s">
        <v>45</v>
      </c>
      <c r="D206" t="s">
        <v>17</v>
      </c>
      <c r="E206" t="s">
        <v>107</v>
      </c>
      <c r="F206" t="s">
        <v>19</v>
      </c>
      <c r="G206" t="s">
        <v>182</v>
      </c>
      <c r="H206" t="s">
        <v>21</v>
      </c>
      <c r="I206" t="s">
        <v>71</v>
      </c>
      <c r="J206" t="s">
        <v>148</v>
      </c>
      <c r="K206" t="s">
        <v>23</v>
      </c>
      <c r="L206">
        <v>882</v>
      </c>
      <c r="M206">
        <v>14.153837100000001</v>
      </c>
      <c r="N206">
        <v>-6.686800266795629</v>
      </c>
      <c r="O206">
        <v>25.176150465053485</v>
      </c>
      <c r="P206" s="1" t="str">
        <f>HYPERLINK(".\sm_car_251026_2256\sm_car_251026_2256_205_Ca233TrN_MaRAD_DrSt_ode23t_1.png","figure")</f>
        <v>figure</v>
      </c>
      <c r="Q206" t="s">
        <v>15</v>
      </c>
    </row>
    <row r="207" spans="1:17" x14ac:dyDescent="0.25">
      <c r="A207">
        <v>206</v>
      </c>
      <c r="B207">
        <v>234</v>
      </c>
      <c r="C207" t="s">
        <v>45</v>
      </c>
      <c r="D207" t="s">
        <v>17</v>
      </c>
      <c r="E207" t="s">
        <v>107</v>
      </c>
      <c r="F207" t="s">
        <v>19</v>
      </c>
      <c r="G207" t="s">
        <v>183</v>
      </c>
      <c r="H207" t="s">
        <v>21</v>
      </c>
      <c r="I207" t="s">
        <v>70</v>
      </c>
      <c r="J207" t="s">
        <v>148</v>
      </c>
      <c r="K207" t="s">
        <v>23</v>
      </c>
      <c r="L207">
        <v>3129</v>
      </c>
      <c r="M207">
        <v>52.800933399999998</v>
      </c>
      <c r="N207">
        <v>36.341814654085304</v>
      </c>
      <c r="O207">
        <v>-0.30644020292202434</v>
      </c>
      <c r="P207" s="1" t="str">
        <f>HYPERLINK(".\sm_car_251026_2256\sm_car_251026_2256_206_Ca234TrN_MaSKD_DrSt_ode23t_1.png","figure")</f>
        <v>figure</v>
      </c>
      <c r="Q207" t="s">
        <v>15</v>
      </c>
    </row>
    <row r="208" spans="1:17" x14ac:dyDescent="0.25">
      <c r="A208">
        <v>207</v>
      </c>
      <c r="B208">
        <v>234</v>
      </c>
      <c r="C208" t="s">
        <v>45</v>
      </c>
      <c r="D208" t="s">
        <v>17</v>
      </c>
      <c r="E208" t="s">
        <v>107</v>
      </c>
      <c r="F208" t="s">
        <v>19</v>
      </c>
      <c r="G208" t="s">
        <v>183</v>
      </c>
      <c r="H208" t="s">
        <v>21</v>
      </c>
      <c r="I208" t="s">
        <v>71</v>
      </c>
      <c r="J208" t="s">
        <v>148</v>
      </c>
      <c r="K208" t="s">
        <v>23</v>
      </c>
      <c r="L208">
        <v>1759</v>
      </c>
      <c r="M208">
        <v>30.499608800000001</v>
      </c>
      <c r="N208">
        <v>-6.4173620438925667</v>
      </c>
      <c r="O208">
        <v>25.313327117730196</v>
      </c>
      <c r="P208" s="1" t="str">
        <f>HYPERLINK(".\sm_car_251026_2256\sm_car_251026_2256_207_Ca234TrN_MaRAD_DrSt_ode23t_1.png","figure")</f>
        <v>figure</v>
      </c>
      <c r="Q208" t="s">
        <v>15</v>
      </c>
    </row>
    <row r="209" spans="1:17" x14ac:dyDescent="0.25">
      <c r="A209">
        <v>208</v>
      </c>
      <c r="B209">
        <v>198</v>
      </c>
      <c r="C209" t="s">
        <v>105</v>
      </c>
      <c r="D209" t="s">
        <v>120</v>
      </c>
      <c r="E209" t="s">
        <v>107</v>
      </c>
      <c r="F209" t="s">
        <v>19</v>
      </c>
      <c r="G209" t="s">
        <v>20</v>
      </c>
      <c r="H209" t="s">
        <v>21</v>
      </c>
      <c r="I209" t="s">
        <v>70</v>
      </c>
      <c r="J209" t="s">
        <v>148</v>
      </c>
      <c r="K209" t="s">
        <v>23</v>
      </c>
      <c r="L209">
        <v>1399</v>
      </c>
      <c r="M209">
        <v>28.811252</v>
      </c>
      <c r="N209">
        <v>36.384718639726941</v>
      </c>
      <c r="O209">
        <v>0.16194127610722706</v>
      </c>
      <c r="P209" s="1" t="str">
        <f>HYPERLINK(".\sm_car_251026_2256\sm_car_251026_2256_208_Ca198TrN_MaSKD_DrSt_ode23t_1.png","figure")</f>
        <v>figure</v>
      </c>
      <c r="Q209" t="s">
        <v>15</v>
      </c>
    </row>
    <row r="210" spans="1:17" x14ac:dyDescent="0.25">
      <c r="A210">
        <v>209</v>
      </c>
      <c r="B210">
        <v>198</v>
      </c>
      <c r="C210" t="s">
        <v>105</v>
      </c>
      <c r="D210" t="s">
        <v>120</v>
      </c>
      <c r="E210" t="s">
        <v>107</v>
      </c>
      <c r="F210" t="s">
        <v>19</v>
      </c>
      <c r="G210" t="s">
        <v>20</v>
      </c>
      <c r="H210" t="s">
        <v>21</v>
      </c>
      <c r="I210" t="s">
        <v>71</v>
      </c>
      <c r="J210" t="s">
        <v>148</v>
      </c>
      <c r="K210" t="s">
        <v>23</v>
      </c>
      <c r="L210">
        <v>682</v>
      </c>
      <c r="M210">
        <v>14.6308568</v>
      </c>
      <c r="N210">
        <v>7.5264208153129992</v>
      </c>
      <c r="O210">
        <v>10.281341582433198</v>
      </c>
      <c r="P210" s="1" t="str">
        <f>HYPERLINK(".\sm_car_251026_2256\sm_car_251026_2256_209_Ca198TrN_MaRAD_DrSt_ode23t_1.png","figure")</f>
        <v>figure</v>
      </c>
      <c r="Q210" t="s">
        <v>15</v>
      </c>
    </row>
    <row r="211" spans="1:17" x14ac:dyDescent="0.25">
      <c r="A211">
        <v>210</v>
      </c>
      <c r="B211">
        <v>189</v>
      </c>
      <c r="C211" t="s">
        <v>45</v>
      </c>
      <c r="D211" t="s">
        <v>17</v>
      </c>
      <c r="E211" t="s">
        <v>107</v>
      </c>
      <c r="F211" t="s">
        <v>19</v>
      </c>
      <c r="G211" t="s">
        <v>26</v>
      </c>
      <c r="H211" t="s">
        <v>21</v>
      </c>
      <c r="I211" t="s">
        <v>132</v>
      </c>
      <c r="J211" t="s">
        <v>148</v>
      </c>
      <c r="K211" t="s">
        <v>23</v>
      </c>
      <c r="L211">
        <v>554</v>
      </c>
      <c r="M211">
        <v>10.388432699999999</v>
      </c>
      <c r="N211">
        <v>135.43120978546099</v>
      </c>
      <c r="O211">
        <v>-14.139238862097052</v>
      </c>
      <c r="P211" s="1" t="str">
        <f>HYPERLINK(".\sm_car_251026_2256\sm_car_251026_2256_210_Ca189TrN_MaFSH_DrSt_ode23t_1.png","figure")</f>
        <v>figure</v>
      </c>
      <c r="Q211" t="s">
        <v>15</v>
      </c>
    </row>
    <row r="212" spans="1:17" x14ac:dyDescent="0.25">
      <c r="A212">
        <v>211</v>
      </c>
      <c r="B212">
        <v>189</v>
      </c>
      <c r="C212" t="s">
        <v>45</v>
      </c>
      <c r="D212" t="s">
        <v>17</v>
      </c>
      <c r="E212" t="s">
        <v>107</v>
      </c>
      <c r="F212" t="s">
        <v>19</v>
      </c>
      <c r="G212" t="s">
        <v>26</v>
      </c>
      <c r="H212" t="s">
        <v>21</v>
      </c>
      <c r="I212" t="s">
        <v>133</v>
      </c>
      <c r="J212" t="s">
        <v>148</v>
      </c>
      <c r="K212" t="s">
        <v>23</v>
      </c>
      <c r="L212">
        <v>425</v>
      </c>
      <c r="M212">
        <v>7.1619948000000004</v>
      </c>
      <c r="N212">
        <v>129.59193491621784</v>
      </c>
      <c r="O212">
        <v>-9.2851593570719224</v>
      </c>
      <c r="P212" s="1" t="str">
        <f>HYPERLINK(".\sm_car_251026_2256\sm_car_251026_2256_211_Ca189TrN_MaSWD_DrSt_ode23t_1.png","figure")</f>
        <v>figure</v>
      </c>
      <c r="Q212" t="s">
        <v>15</v>
      </c>
    </row>
    <row r="213" spans="1:17" x14ac:dyDescent="0.25">
      <c r="A213">
        <v>212</v>
      </c>
      <c r="B213">
        <v>189</v>
      </c>
      <c r="C213" t="s">
        <v>45</v>
      </c>
      <c r="D213" t="s">
        <v>17</v>
      </c>
      <c r="E213" t="s">
        <v>107</v>
      </c>
      <c r="F213" t="s">
        <v>19</v>
      </c>
      <c r="G213" t="s">
        <v>26</v>
      </c>
      <c r="H213" t="s">
        <v>21</v>
      </c>
      <c r="I213" t="s">
        <v>134</v>
      </c>
      <c r="J213" t="s">
        <v>148</v>
      </c>
      <c r="K213" t="s">
        <v>23</v>
      </c>
      <c r="L213">
        <v>435</v>
      </c>
      <c r="M213">
        <v>8.4969368000000003</v>
      </c>
      <c r="N213">
        <v>113.36118218077999</v>
      </c>
      <c r="O213">
        <v>18.07500439083374</v>
      </c>
      <c r="P213" s="1" t="str">
        <f>HYPERLINK(".\sm_car_251026_2256\sm_car_251026_2256_212_Ca189TrN_MaRST_DrSt_ode23t_1.png","figure")</f>
        <v>figure</v>
      </c>
      <c r="Q213" t="s">
        <v>15</v>
      </c>
    </row>
    <row r="214" spans="1:17" x14ac:dyDescent="0.25">
      <c r="A214">
        <v>213</v>
      </c>
      <c r="B214">
        <v>189</v>
      </c>
      <c r="C214" t="s">
        <v>45</v>
      </c>
      <c r="D214" t="s">
        <v>17</v>
      </c>
      <c r="E214" t="s">
        <v>107</v>
      </c>
      <c r="F214" t="s">
        <v>19</v>
      </c>
      <c r="G214" t="s">
        <v>26</v>
      </c>
      <c r="H214" t="s">
        <v>21</v>
      </c>
      <c r="I214" t="s">
        <v>135</v>
      </c>
      <c r="J214" t="s">
        <v>148</v>
      </c>
      <c r="K214" t="s">
        <v>23</v>
      </c>
      <c r="L214">
        <v>582</v>
      </c>
      <c r="M214">
        <v>18.6657148</v>
      </c>
      <c r="N214">
        <v>224.05607323348585</v>
      </c>
      <c r="O214">
        <v>0.1073356134072531</v>
      </c>
      <c r="P214" s="1" t="str">
        <f>HYPERLINK(".\sm_car_251026_2256\sm_car_251026_2256_213_Ca189TrN_MaSLA_DrSt_ode23t_1.png","figure")</f>
        <v>figure</v>
      </c>
      <c r="Q214" t="s">
        <v>15</v>
      </c>
    </row>
    <row r="215" spans="1:17" x14ac:dyDescent="0.25">
      <c r="A215">
        <v>214</v>
      </c>
      <c r="B215">
        <v>218</v>
      </c>
      <c r="C215" t="s">
        <v>16</v>
      </c>
      <c r="D215" t="s">
        <v>128</v>
      </c>
      <c r="E215" t="s">
        <v>107</v>
      </c>
      <c r="F215" t="s">
        <v>19</v>
      </c>
      <c r="G215" t="s">
        <v>26</v>
      </c>
      <c r="H215" t="s">
        <v>21</v>
      </c>
      <c r="I215" t="s">
        <v>132</v>
      </c>
      <c r="J215" t="s">
        <v>148</v>
      </c>
      <c r="K215" t="s">
        <v>23</v>
      </c>
      <c r="L215">
        <v>571</v>
      </c>
      <c r="M215">
        <v>7.8640423999999998</v>
      </c>
      <c r="N215">
        <v>102.01761147231531</v>
      </c>
      <c r="O215">
        <v>-21.928896951664242</v>
      </c>
      <c r="P215" s="1" t="str">
        <f>HYPERLINK(".\sm_car_251026_2256\sm_car_251026_2256_214_Ca218TrN_MaFSH_DrSt_ode23t_1.png","figure")</f>
        <v>figure</v>
      </c>
      <c r="Q215" t="s">
        <v>15</v>
      </c>
    </row>
    <row r="216" spans="1:17" x14ac:dyDescent="0.25">
      <c r="A216">
        <v>215</v>
      </c>
      <c r="B216">
        <v>218</v>
      </c>
      <c r="C216" t="s">
        <v>16</v>
      </c>
      <c r="D216" t="s">
        <v>128</v>
      </c>
      <c r="E216" t="s">
        <v>107</v>
      </c>
      <c r="F216" t="s">
        <v>19</v>
      </c>
      <c r="G216" t="s">
        <v>26</v>
      </c>
      <c r="H216" t="s">
        <v>21</v>
      </c>
      <c r="I216" t="s">
        <v>133</v>
      </c>
      <c r="J216" t="s">
        <v>148</v>
      </c>
      <c r="K216" t="s">
        <v>23</v>
      </c>
      <c r="L216">
        <v>456</v>
      </c>
      <c r="M216">
        <v>6.0426039999999999</v>
      </c>
      <c r="N216">
        <v>136.84285853132644</v>
      </c>
      <c r="O216">
        <v>-8.9093398312589898</v>
      </c>
      <c r="P216" s="1" t="str">
        <f>HYPERLINK(".\sm_car_251026_2256\sm_car_251026_2256_215_Ca218TrN_MaSWD_DrSt_ode23t_1.png","figure")</f>
        <v>figure</v>
      </c>
      <c r="Q216" t="s">
        <v>15</v>
      </c>
    </row>
    <row r="217" spans="1:17" x14ac:dyDescent="0.25">
      <c r="A217">
        <v>216</v>
      </c>
      <c r="B217">
        <v>218</v>
      </c>
      <c r="C217" t="s">
        <v>16</v>
      </c>
      <c r="D217" t="s">
        <v>128</v>
      </c>
      <c r="E217" t="s">
        <v>107</v>
      </c>
      <c r="F217" t="s">
        <v>19</v>
      </c>
      <c r="G217" t="s">
        <v>26</v>
      </c>
      <c r="H217" t="s">
        <v>21</v>
      </c>
      <c r="I217" t="s">
        <v>134</v>
      </c>
      <c r="J217" t="s">
        <v>148</v>
      </c>
      <c r="K217" t="s">
        <v>23</v>
      </c>
      <c r="L217">
        <v>384</v>
      </c>
      <c r="M217">
        <v>5.3436653999999999</v>
      </c>
      <c r="N217">
        <v>102.53260806953124</v>
      </c>
      <c r="O217">
        <v>29.401235807999903</v>
      </c>
      <c r="P217" s="1" t="str">
        <f>HYPERLINK(".\sm_car_251026_2256\sm_car_251026_2256_216_Ca218TrN_MaRST_DrSt_ode23t_1.png","figure")</f>
        <v>figure</v>
      </c>
      <c r="Q217" t="s">
        <v>15</v>
      </c>
    </row>
    <row r="218" spans="1:17" x14ac:dyDescent="0.25">
      <c r="A218">
        <v>217</v>
      </c>
      <c r="B218">
        <v>218</v>
      </c>
      <c r="C218" t="s">
        <v>16</v>
      </c>
      <c r="D218" t="s">
        <v>128</v>
      </c>
      <c r="E218" t="s">
        <v>107</v>
      </c>
      <c r="F218" t="s">
        <v>19</v>
      </c>
      <c r="G218" t="s">
        <v>26</v>
      </c>
      <c r="H218" t="s">
        <v>21</v>
      </c>
      <c r="I218" t="s">
        <v>135</v>
      </c>
      <c r="J218" t="s">
        <v>148</v>
      </c>
      <c r="K218" t="s">
        <v>23</v>
      </c>
      <c r="L218">
        <v>688</v>
      </c>
      <c r="M218">
        <v>17.424774200000002</v>
      </c>
      <c r="N218">
        <v>222.4391282679172</v>
      </c>
      <c r="O218">
        <v>0.10609317601539266</v>
      </c>
      <c r="P218" s="1" t="str">
        <f>HYPERLINK(".\sm_car_251026_2256\sm_car_251026_2256_217_Ca218TrN_MaSLA_DrSt_ode23t_1.png","figure")</f>
        <v>figure</v>
      </c>
      <c r="Q218" t="s">
        <v>15</v>
      </c>
    </row>
    <row r="219" spans="1:17" x14ac:dyDescent="0.25">
      <c r="A219">
        <v>218</v>
      </c>
      <c r="B219">
        <v>232</v>
      </c>
      <c r="C219" t="s">
        <v>160</v>
      </c>
      <c r="D219" t="s">
        <v>172</v>
      </c>
      <c r="E219" t="s">
        <v>162</v>
      </c>
      <c r="F219" t="s">
        <v>179</v>
      </c>
      <c r="G219" t="s">
        <v>26</v>
      </c>
      <c r="H219" t="s">
        <v>21</v>
      </c>
      <c r="I219" t="s">
        <v>132</v>
      </c>
      <c r="J219" t="s">
        <v>148</v>
      </c>
      <c r="K219" t="s">
        <v>23</v>
      </c>
      <c r="L219">
        <v>644</v>
      </c>
      <c r="M219">
        <v>10.0462036</v>
      </c>
      <c r="N219">
        <v>106.51459436554983</v>
      </c>
      <c r="O219">
        <v>-14.16865019289315</v>
      </c>
      <c r="P219" s="1" t="str">
        <f>HYPERLINK(".\sm_car_251026_2256\sm_car_251026_2256_218_Ca232TrN_MaFSH_DrSt_ode23t_1.png","figure")</f>
        <v>figure</v>
      </c>
      <c r="Q219" t="s">
        <v>15</v>
      </c>
    </row>
    <row r="220" spans="1:17" x14ac:dyDescent="0.25">
      <c r="A220">
        <v>219</v>
      </c>
      <c r="B220">
        <v>156</v>
      </c>
      <c r="C220" t="s">
        <v>45</v>
      </c>
      <c r="D220" t="s">
        <v>17</v>
      </c>
      <c r="E220" t="s">
        <v>18</v>
      </c>
      <c r="F220" t="s">
        <v>19</v>
      </c>
      <c r="G220" t="s">
        <v>38</v>
      </c>
      <c r="H220" t="s">
        <v>21</v>
      </c>
      <c r="I220" t="s">
        <v>54</v>
      </c>
      <c r="J220" t="s">
        <v>148</v>
      </c>
      <c r="K220" t="s">
        <v>23</v>
      </c>
      <c r="L220">
        <v>26370</v>
      </c>
      <c r="M220">
        <v>354.08693879999998</v>
      </c>
      <c r="N220">
        <v>19.153104469747959</v>
      </c>
      <c r="O220">
        <v>2.4929664007648293</v>
      </c>
      <c r="P220" s="1" t="str">
        <f>HYPERLINK(".\sm_car_251026_2256\sm_car_251026_2256_219_Ca156TrN_MaIPA_DrSt_ode23t.png","figure")</f>
        <v>figure</v>
      </c>
      <c r="Q220" t="s">
        <v>15</v>
      </c>
    </row>
    <row r="221" spans="1:17" x14ac:dyDescent="0.25">
      <c r="A221">
        <v>220</v>
      </c>
      <c r="B221">
        <v>130</v>
      </c>
      <c r="C221" t="s">
        <v>16</v>
      </c>
      <c r="D221" t="s">
        <v>17</v>
      </c>
      <c r="E221" t="s">
        <v>18</v>
      </c>
      <c r="F221" t="s">
        <v>19</v>
      </c>
      <c r="G221" t="s">
        <v>38</v>
      </c>
      <c r="H221" t="s">
        <v>21</v>
      </c>
      <c r="I221" t="s">
        <v>54</v>
      </c>
      <c r="J221" t="s">
        <v>148</v>
      </c>
      <c r="K221" t="s">
        <v>23</v>
      </c>
      <c r="L221">
        <v>18396</v>
      </c>
      <c r="M221">
        <v>254.65361350000001</v>
      </c>
      <c r="N221">
        <v>16.249119280978526</v>
      </c>
      <c r="O221">
        <v>0.55347555898790501</v>
      </c>
      <c r="P221" s="1" t="str">
        <f>HYPERLINK(".\sm_car_251026_2256\sm_car_251026_2256_220_Ca130TrN_MaIPA_DrSt_ode23t.png","figure")</f>
        <v>figure</v>
      </c>
      <c r="Q221" t="s">
        <v>15</v>
      </c>
    </row>
    <row r="222" spans="1:17" x14ac:dyDescent="0.25">
      <c r="A222">
        <v>221</v>
      </c>
      <c r="B222">
        <v>171</v>
      </c>
      <c r="C222" t="s">
        <v>45</v>
      </c>
      <c r="D222" t="s">
        <v>17</v>
      </c>
      <c r="E222" t="s">
        <v>72</v>
      </c>
      <c r="F222" t="s">
        <v>19</v>
      </c>
      <c r="G222" t="s">
        <v>26</v>
      </c>
      <c r="H222" t="s">
        <v>21</v>
      </c>
      <c r="I222" t="s">
        <v>73</v>
      </c>
      <c r="J222" t="s">
        <v>148</v>
      </c>
      <c r="K222" t="s">
        <v>23</v>
      </c>
      <c r="L222">
        <v>1458</v>
      </c>
      <c r="M222">
        <v>23.849130299999999</v>
      </c>
      <c r="N222">
        <v>334.66134860482674</v>
      </c>
      <c r="O222">
        <v>0.65326104430696208</v>
      </c>
      <c r="P222" s="1" t="str">
        <f>HYPERLINK(".\sm_car_251026_2256\sm_car_251026_2256_221_Ca171TrN_MaRDP_DrSt_ode23t_1.png","figure")</f>
        <v>figure</v>
      </c>
      <c r="Q222" t="s">
        <v>15</v>
      </c>
    </row>
    <row r="223" spans="1:17" x14ac:dyDescent="0.25">
      <c r="A223">
        <v>222</v>
      </c>
      <c r="B223">
        <v>172</v>
      </c>
      <c r="C223" t="s">
        <v>46</v>
      </c>
      <c r="D223" t="s">
        <v>17</v>
      </c>
      <c r="E223" t="s">
        <v>72</v>
      </c>
      <c r="F223" t="s">
        <v>19</v>
      </c>
      <c r="G223" t="s">
        <v>26</v>
      </c>
      <c r="H223" t="s">
        <v>21</v>
      </c>
      <c r="I223" t="s">
        <v>73</v>
      </c>
      <c r="J223" t="s">
        <v>148</v>
      </c>
      <c r="K223" t="s">
        <v>23</v>
      </c>
      <c r="L223">
        <v>1228</v>
      </c>
      <c r="M223">
        <v>12.127592999999999</v>
      </c>
      <c r="N223">
        <v>135.71782387638288</v>
      </c>
      <c r="O223">
        <v>3.6287048227889335E-2</v>
      </c>
      <c r="P223" s="1" t="str">
        <f>HYPERLINK(".\sm_car_251026_2256\sm_car_251026_2256_222_Ca172TrN_MaRDP_DrSt_ode23t_1.png","figure")</f>
        <v>figure</v>
      </c>
      <c r="Q223" t="s">
        <v>15</v>
      </c>
    </row>
    <row r="224" spans="1:17" x14ac:dyDescent="0.25">
      <c r="A224">
        <v>223</v>
      </c>
      <c r="B224">
        <v>139</v>
      </c>
      <c r="C224" t="s">
        <v>45</v>
      </c>
      <c r="D224" t="s">
        <v>17</v>
      </c>
      <c r="E224" t="s">
        <v>18</v>
      </c>
      <c r="F224" t="s">
        <v>19</v>
      </c>
      <c r="G224" t="s">
        <v>26</v>
      </c>
      <c r="H224" t="s">
        <v>21</v>
      </c>
      <c r="I224" t="s">
        <v>74</v>
      </c>
      <c r="J224" t="s">
        <v>148</v>
      </c>
      <c r="K224" t="s">
        <v>23</v>
      </c>
      <c r="L224">
        <v>1615</v>
      </c>
      <c r="M224">
        <v>21.172336000000001</v>
      </c>
      <c r="N224">
        <v>361.21816013097191</v>
      </c>
      <c r="O224">
        <v>0.74908404508399951</v>
      </c>
      <c r="P224" s="1" t="str">
        <f>HYPERLINK(".\sm_car_251026_2256\sm_car_251026_2256_223_Ca139TrN_MaZPL_DrSt_ode23t_1.png","figure")</f>
        <v>figure</v>
      </c>
      <c r="Q224" t="s">
        <v>15</v>
      </c>
    </row>
    <row r="225" spans="1:17" x14ac:dyDescent="0.25">
      <c r="A225">
        <v>224</v>
      </c>
      <c r="B225">
        <v>165</v>
      </c>
      <c r="C225" t="s">
        <v>45</v>
      </c>
      <c r="D225" t="s">
        <v>35</v>
      </c>
      <c r="E225" t="s">
        <v>49</v>
      </c>
      <c r="F225" t="s">
        <v>19</v>
      </c>
      <c r="G225" t="s">
        <v>26</v>
      </c>
      <c r="H225" t="s">
        <v>21</v>
      </c>
      <c r="I225" t="s">
        <v>74</v>
      </c>
      <c r="J225" t="s">
        <v>148</v>
      </c>
      <c r="K225" t="s">
        <v>23</v>
      </c>
      <c r="L225">
        <v>1965</v>
      </c>
      <c r="M225">
        <v>10.353291499999999</v>
      </c>
      <c r="N225">
        <v>397.81920898329514</v>
      </c>
      <c r="O225">
        <v>0.34071046271502525</v>
      </c>
      <c r="P225" s="1" t="str">
        <f>HYPERLINK(".\sm_car_251026_2256\sm_car_251026_2256_224_Ca165TrN_MaZPL_DrSt_ode23t_1.png","figure")</f>
        <v>figure</v>
      </c>
      <c r="Q225" t="s">
        <v>15</v>
      </c>
    </row>
    <row r="226" spans="1:17" x14ac:dyDescent="0.25">
      <c r="A226">
        <v>225</v>
      </c>
      <c r="B226">
        <v>171</v>
      </c>
      <c r="C226" t="s">
        <v>45</v>
      </c>
      <c r="D226" t="s">
        <v>17</v>
      </c>
      <c r="E226" t="s">
        <v>72</v>
      </c>
      <c r="F226" t="s">
        <v>19</v>
      </c>
      <c r="G226" t="s">
        <v>26</v>
      </c>
      <c r="H226" t="s">
        <v>21</v>
      </c>
      <c r="I226" t="s">
        <v>74</v>
      </c>
      <c r="J226" t="s">
        <v>148</v>
      </c>
      <c r="K226" t="s">
        <v>23</v>
      </c>
      <c r="L226">
        <v>1540</v>
      </c>
      <c r="M226">
        <v>24.541497100000001</v>
      </c>
      <c r="N226">
        <v>361.06134073707528</v>
      </c>
      <c r="O226">
        <v>0.71899608941553972</v>
      </c>
      <c r="P226" s="1" t="str">
        <f>HYPERLINK(".\sm_car_251026_2256\sm_car_251026_2256_225_Ca171TrN_MaZPL_DrSt_ode23t_1.png","figure")</f>
        <v>figure</v>
      </c>
      <c r="Q226" t="s">
        <v>15</v>
      </c>
    </row>
    <row r="227" spans="1:17" x14ac:dyDescent="0.25">
      <c r="A227">
        <v>226</v>
      </c>
      <c r="B227">
        <v>165</v>
      </c>
      <c r="C227" t="s">
        <v>45</v>
      </c>
      <c r="D227" t="s">
        <v>35</v>
      </c>
      <c r="E227" t="s">
        <v>49</v>
      </c>
      <c r="F227" t="s">
        <v>19</v>
      </c>
      <c r="G227" t="s">
        <v>26</v>
      </c>
      <c r="H227" t="s">
        <v>21</v>
      </c>
      <c r="I227" t="s">
        <v>75</v>
      </c>
      <c r="J227" t="s">
        <v>148</v>
      </c>
      <c r="K227" t="s">
        <v>23</v>
      </c>
      <c r="L227">
        <v>482</v>
      </c>
      <c r="M227">
        <v>4.6674059999999997</v>
      </c>
      <c r="N227">
        <v>378.51206962635541</v>
      </c>
      <c r="O227">
        <v>0.32792479708558914</v>
      </c>
      <c r="P227" s="1" t="str">
        <f>HYPERLINK(".\sm_car_251026_2256\sm_car_251026_2256_226_Ca165TrN_MaCPL_DrSt_ode23t_1.png","figure")</f>
        <v>figure</v>
      </c>
      <c r="Q227" t="s">
        <v>15</v>
      </c>
    </row>
    <row r="228" spans="1:17" x14ac:dyDescent="0.25">
      <c r="A228">
        <v>227</v>
      </c>
      <c r="B228">
        <v>170</v>
      </c>
      <c r="C228" t="s">
        <v>45</v>
      </c>
      <c r="D228" t="s">
        <v>35</v>
      </c>
      <c r="E228" t="s">
        <v>49</v>
      </c>
      <c r="F228" t="s">
        <v>19</v>
      </c>
      <c r="G228" t="s">
        <v>20</v>
      </c>
      <c r="H228" t="s">
        <v>21</v>
      </c>
      <c r="I228" t="s">
        <v>75</v>
      </c>
      <c r="J228" t="s">
        <v>148</v>
      </c>
      <c r="K228" t="s">
        <v>23</v>
      </c>
      <c r="L228">
        <v>461</v>
      </c>
      <c r="M228">
        <v>3.4002254000000001</v>
      </c>
      <c r="N228">
        <v>381.71710262592887</v>
      </c>
      <c r="O228">
        <v>0.33484229423909817</v>
      </c>
      <c r="P228" s="1" t="str">
        <f>HYPERLINK(".\sm_car_251026_2256\sm_car_251026_2256_227_Ca170TrN_MaCPL_DrSt_ode23t_1.png","figure")</f>
        <v>figure</v>
      </c>
      <c r="Q228" t="s">
        <v>15</v>
      </c>
    </row>
    <row r="229" spans="1:17" x14ac:dyDescent="0.25">
      <c r="A229">
        <v>228</v>
      </c>
      <c r="B229">
        <v>171</v>
      </c>
      <c r="C229" t="s">
        <v>45</v>
      </c>
      <c r="D229" t="s">
        <v>17</v>
      </c>
      <c r="E229" t="s">
        <v>72</v>
      </c>
      <c r="F229" t="s">
        <v>19</v>
      </c>
      <c r="G229" t="s">
        <v>26</v>
      </c>
      <c r="H229" t="s">
        <v>21</v>
      </c>
      <c r="I229" t="s">
        <v>76</v>
      </c>
      <c r="J229" t="s">
        <v>148</v>
      </c>
      <c r="K229" t="s">
        <v>23</v>
      </c>
      <c r="L229">
        <v>2792</v>
      </c>
      <c r="M229">
        <v>46.120601299999997</v>
      </c>
      <c r="N229">
        <v>165.07855811626774</v>
      </c>
      <c r="O229">
        <v>1.1028056787126617E-3</v>
      </c>
      <c r="P229" s="1" t="str">
        <f>HYPERLINK(".\sm_car_251026_2256\sm_car_251026_2256_228_Ca171TrN_MaRDR_DrSt_ode23t_1.png","figure")</f>
        <v>figure</v>
      </c>
      <c r="Q229" t="s">
        <v>15</v>
      </c>
    </row>
    <row r="230" spans="1:17" x14ac:dyDescent="0.25">
      <c r="A230">
        <v>229</v>
      </c>
      <c r="B230">
        <v>172</v>
      </c>
      <c r="C230" t="s">
        <v>46</v>
      </c>
      <c r="D230" t="s">
        <v>17</v>
      </c>
      <c r="E230" t="s">
        <v>72</v>
      </c>
      <c r="F230" t="s">
        <v>19</v>
      </c>
      <c r="G230" t="s">
        <v>26</v>
      </c>
      <c r="H230" t="s">
        <v>21</v>
      </c>
      <c r="I230" t="s">
        <v>76</v>
      </c>
      <c r="J230" t="s">
        <v>148</v>
      </c>
      <c r="K230" t="s">
        <v>23</v>
      </c>
      <c r="L230">
        <v>3280</v>
      </c>
      <c r="M230">
        <v>28.277670700000002</v>
      </c>
      <c r="N230">
        <v>162.25429077182105</v>
      </c>
      <c r="O230">
        <v>3.6800978511231786E-4</v>
      </c>
      <c r="P230" s="1" t="str">
        <f>HYPERLINK(".\sm_car_251026_2256\sm_car_251026_2256_229_Ca172TrN_MaRDR_DrSt_ode23t_1.png","figure")</f>
        <v>figure</v>
      </c>
      <c r="Q230" t="s">
        <v>15</v>
      </c>
    </row>
    <row r="231" spans="1:17" x14ac:dyDescent="0.25">
      <c r="A231">
        <v>230</v>
      </c>
      <c r="B231">
        <v>139</v>
      </c>
      <c r="C231" t="s">
        <v>45</v>
      </c>
      <c r="D231" t="s">
        <v>17</v>
      </c>
      <c r="E231" t="s">
        <v>18</v>
      </c>
      <c r="F231" t="s">
        <v>19</v>
      </c>
      <c r="G231" t="s">
        <v>26</v>
      </c>
      <c r="H231" t="s">
        <v>21</v>
      </c>
      <c r="I231" t="s">
        <v>77</v>
      </c>
      <c r="J231" t="s">
        <v>148</v>
      </c>
      <c r="K231" t="s">
        <v>23</v>
      </c>
      <c r="L231">
        <v>2961</v>
      </c>
      <c r="M231">
        <v>33.086952599999996</v>
      </c>
      <c r="N231">
        <v>189.2686969984461</v>
      </c>
      <c r="O231">
        <v>6.8765752751906168E-4</v>
      </c>
      <c r="P231" s="1" t="str">
        <f>HYPERLINK(".\sm_car_251026_2256\sm_car_251026_2256_230_Ca139TrN_MaZRR_DrSt_ode23t_1.png","figure")</f>
        <v>figure</v>
      </c>
      <c r="Q231" t="s">
        <v>15</v>
      </c>
    </row>
    <row r="232" spans="1:17" x14ac:dyDescent="0.25">
      <c r="A232">
        <v>231</v>
      </c>
      <c r="B232">
        <v>165</v>
      </c>
      <c r="C232" t="s">
        <v>45</v>
      </c>
      <c r="D232" t="s">
        <v>35</v>
      </c>
      <c r="E232" t="s">
        <v>49</v>
      </c>
      <c r="F232" t="s">
        <v>19</v>
      </c>
      <c r="G232" t="s">
        <v>26</v>
      </c>
      <c r="H232" t="s">
        <v>21</v>
      </c>
      <c r="I232" t="s">
        <v>77</v>
      </c>
      <c r="J232" t="s">
        <v>148</v>
      </c>
      <c r="K232" t="s">
        <v>23</v>
      </c>
      <c r="L232">
        <v>3309</v>
      </c>
      <c r="M232">
        <v>21.647373999999999</v>
      </c>
      <c r="N232">
        <v>189.41000763972457</v>
      </c>
      <c r="O232">
        <v>5.3879237650468332E-5</v>
      </c>
      <c r="P232" s="1" t="str">
        <f>HYPERLINK(".\sm_car_251026_2256\sm_car_251026_2256_231_Ca165TrN_MaZRR_DrSt_ode23t_1.png","figure")</f>
        <v>figure</v>
      </c>
      <c r="Q232" t="s">
        <v>15</v>
      </c>
    </row>
    <row r="233" spans="1:17" x14ac:dyDescent="0.25">
      <c r="A233">
        <v>232</v>
      </c>
      <c r="B233">
        <v>171</v>
      </c>
      <c r="C233" t="s">
        <v>45</v>
      </c>
      <c r="D233" t="s">
        <v>17</v>
      </c>
      <c r="E233" t="s">
        <v>72</v>
      </c>
      <c r="F233" t="s">
        <v>19</v>
      </c>
      <c r="G233" t="s">
        <v>26</v>
      </c>
      <c r="H233" t="s">
        <v>21</v>
      </c>
      <c r="I233" t="s">
        <v>77</v>
      </c>
      <c r="J233" t="s">
        <v>148</v>
      </c>
      <c r="K233" t="s">
        <v>23</v>
      </c>
      <c r="L233">
        <v>2999</v>
      </c>
      <c r="M233">
        <v>50.091152899999997</v>
      </c>
      <c r="N233">
        <v>189.26943365075999</v>
      </c>
      <c r="O233">
        <v>6.991388062142171E-4</v>
      </c>
      <c r="P233" s="1" t="str">
        <f>HYPERLINK(".\sm_car_251026_2256\sm_car_251026_2256_232_Ca171TrN_MaZRR_DrSt_ode23t_1.png","figure")</f>
        <v>figure</v>
      </c>
      <c r="Q233" t="s">
        <v>15</v>
      </c>
    </row>
    <row r="234" spans="1:17" x14ac:dyDescent="0.25">
      <c r="A234">
        <v>233</v>
      </c>
      <c r="B234">
        <v>170</v>
      </c>
      <c r="C234" t="s">
        <v>45</v>
      </c>
      <c r="D234" t="s">
        <v>35</v>
      </c>
      <c r="E234" t="s">
        <v>49</v>
      </c>
      <c r="F234" t="s">
        <v>19</v>
      </c>
      <c r="G234" t="s">
        <v>20</v>
      </c>
      <c r="H234" t="s">
        <v>21</v>
      </c>
      <c r="I234" t="s">
        <v>78</v>
      </c>
      <c r="J234" t="s">
        <v>148</v>
      </c>
      <c r="K234" t="s">
        <v>23</v>
      </c>
      <c r="L234">
        <v>6299</v>
      </c>
      <c r="M234">
        <v>22.5475718</v>
      </c>
      <c r="N234">
        <v>-5.9990769165489608</v>
      </c>
      <c r="O234">
        <v>-6.3281538773901072E-3</v>
      </c>
      <c r="P234" s="1" t="str">
        <f>HYPERLINK(".\sm_car_251026_2256\sm_car_251026_2256_233_Ca170TrN_MaCMP_DrSt_ode23t_1.png","figure")</f>
        <v>figure</v>
      </c>
      <c r="Q234" t="s">
        <v>15</v>
      </c>
    </row>
    <row r="235" spans="1:17" x14ac:dyDescent="0.25">
      <c r="A235">
        <v>234</v>
      </c>
      <c r="B235">
        <v>170</v>
      </c>
      <c r="C235" t="s">
        <v>45</v>
      </c>
      <c r="D235" t="s">
        <v>35</v>
      </c>
      <c r="E235" t="s">
        <v>49</v>
      </c>
      <c r="F235" t="s">
        <v>19</v>
      </c>
      <c r="G235" t="s">
        <v>20</v>
      </c>
      <c r="H235" t="s">
        <v>21</v>
      </c>
      <c r="I235" t="s">
        <v>79</v>
      </c>
      <c r="J235" t="s">
        <v>148</v>
      </c>
      <c r="K235" t="s">
        <v>23</v>
      </c>
      <c r="L235">
        <v>1617</v>
      </c>
      <c r="M235">
        <v>11.9226776</v>
      </c>
      <c r="N235">
        <v>-5.9984521082395927</v>
      </c>
      <c r="O235">
        <v>-6.2505413515697456E-3</v>
      </c>
      <c r="P235" s="1" t="str">
        <f>HYPERLINK(".\sm_car_251026_2256\sm_car_251026_2256_234_Ca170TrN_MaCMF_DrSt_ode23t_1.png","figure")</f>
        <v>figure</v>
      </c>
      <c r="Q235" t="s">
        <v>15</v>
      </c>
    </row>
    <row r="236" spans="1:17" x14ac:dyDescent="0.25">
      <c r="A236">
        <v>235</v>
      </c>
      <c r="B236">
        <v>170</v>
      </c>
      <c r="C236" t="s">
        <v>45</v>
      </c>
      <c r="D236" t="s">
        <v>35</v>
      </c>
      <c r="E236" t="s">
        <v>49</v>
      </c>
      <c r="F236" t="s">
        <v>19</v>
      </c>
      <c r="G236" t="s">
        <v>20</v>
      </c>
      <c r="H236" t="s">
        <v>21</v>
      </c>
      <c r="I236" t="s">
        <v>80</v>
      </c>
      <c r="J236" t="s">
        <v>148</v>
      </c>
      <c r="K236" t="s">
        <v>23</v>
      </c>
      <c r="L236">
        <v>5387</v>
      </c>
      <c r="M236">
        <v>42.821162299999997</v>
      </c>
      <c r="N236">
        <v>-216.3668880994052</v>
      </c>
      <c r="O236">
        <v>5.6821992224166484</v>
      </c>
      <c r="P236" s="1" t="str">
        <f>HYPERLINK(".\sm_car_251026_2256\sm_car_251026_2256_235_Ca170TrN_MaMPO_DrSt_ode23t_1.png","figure")</f>
        <v>figure</v>
      </c>
      <c r="Q236" t="s">
        <v>15</v>
      </c>
    </row>
    <row r="237" spans="1:17" x14ac:dyDescent="0.25">
      <c r="A237">
        <v>236</v>
      </c>
      <c r="B237">
        <v>170</v>
      </c>
      <c r="C237" t="s">
        <v>45</v>
      </c>
      <c r="D237" t="s">
        <v>35</v>
      </c>
      <c r="E237" t="s">
        <v>49</v>
      </c>
      <c r="F237" t="s">
        <v>19</v>
      </c>
      <c r="G237" t="s">
        <v>20</v>
      </c>
      <c r="H237" t="s">
        <v>21</v>
      </c>
      <c r="I237" t="s">
        <v>81</v>
      </c>
      <c r="J237" t="s">
        <v>148</v>
      </c>
      <c r="K237" t="s">
        <v>23</v>
      </c>
      <c r="L237">
        <v>1210</v>
      </c>
      <c r="M237">
        <v>19.7690655</v>
      </c>
      <c r="N237">
        <v>-14.23795026576029</v>
      </c>
      <c r="O237">
        <v>-1.214388796117305E-2</v>
      </c>
      <c r="P237" s="1" t="str">
        <f>HYPERLINK(".\sm_car_251026_2256\sm_car_251026_2256_236_Ca170TrN_MaMCI_DrSt_ode23t_1.png","figure")</f>
        <v>figure</v>
      </c>
      <c r="Q237" t="s">
        <v>15</v>
      </c>
    </row>
    <row r="238" spans="1:17" x14ac:dyDescent="0.25">
      <c r="A238">
        <v>237</v>
      </c>
      <c r="B238">
        <v>170</v>
      </c>
      <c r="C238" t="s">
        <v>45</v>
      </c>
      <c r="D238" t="s">
        <v>35</v>
      </c>
      <c r="E238" t="s">
        <v>49</v>
      </c>
      <c r="F238" t="s">
        <v>19</v>
      </c>
      <c r="G238" t="s">
        <v>20</v>
      </c>
      <c r="H238" t="s">
        <v>21</v>
      </c>
      <c r="I238" t="s">
        <v>110</v>
      </c>
      <c r="J238" t="s">
        <v>148</v>
      </c>
      <c r="K238" t="s">
        <v>23</v>
      </c>
      <c r="L238">
        <v>3785</v>
      </c>
      <c r="M238">
        <v>24.1389186</v>
      </c>
      <c r="N238">
        <v>-5.999241063177827</v>
      </c>
      <c r="O238">
        <v>-4.69369769511637E-3</v>
      </c>
      <c r="P238" s="1" t="str">
        <f>HYPERLINK(".\sm_car_251026_2256\sm_car_251026_2256_237_Ca170TrN_MaCHO_DrSt_ode23t_1.png","figure")</f>
        <v>figure</v>
      </c>
      <c r="Q238" t="s">
        <v>15</v>
      </c>
    </row>
    <row r="239" spans="1:17" x14ac:dyDescent="0.25">
      <c r="A239">
        <v>238</v>
      </c>
      <c r="B239">
        <v>170</v>
      </c>
      <c r="C239" t="s">
        <v>45</v>
      </c>
      <c r="D239" t="s">
        <v>35</v>
      </c>
      <c r="E239" t="s">
        <v>49</v>
      </c>
      <c r="F239" t="s">
        <v>19</v>
      </c>
      <c r="G239" t="s">
        <v>20</v>
      </c>
      <c r="H239" t="s">
        <v>21</v>
      </c>
      <c r="I239" t="s">
        <v>111</v>
      </c>
      <c r="J239" t="s">
        <v>148</v>
      </c>
      <c r="K239" t="s">
        <v>23</v>
      </c>
      <c r="L239">
        <v>2641</v>
      </c>
      <c r="M239">
        <v>23.562813899999998</v>
      </c>
      <c r="N239">
        <v>-5.9994017984258488</v>
      </c>
      <c r="O239">
        <v>-4.7390090988919465E-3</v>
      </c>
      <c r="P239" s="1" t="str">
        <f>HYPERLINK(".\sm_car_251026_2256\sm_car_251026_2256_238_Ca170TrN_MaCHF_DrSt_ode23t_1.png","figure")</f>
        <v>figure</v>
      </c>
      <c r="Q239" t="s">
        <v>15</v>
      </c>
    </row>
    <row r="240" spans="1:17" x14ac:dyDescent="0.25">
      <c r="A240">
        <v>239</v>
      </c>
      <c r="B240">
        <v>170</v>
      </c>
      <c r="C240" t="s">
        <v>45</v>
      </c>
      <c r="D240" t="s">
        <v>35</v>
      </c>
      <c r="E240" t="s">
        <v>49</v>
      </c>
      <c r="F240" t="s">
        <v>19</v>
      </c>
      <c r="G240" t="s">
        <v>20</v>
      </c>
      <c r="H240" t="s">
        <v>21</v>
      </c>
      <c r="I240" t="s">
        <v>82</v>
      </c>
      <c r="J240" t="s">
        <v>148</v>
      </c>
      <c r="K240" t="s">
        <v>23</v>
      </c>
      <c r="L240">
        <v>9297</v>
      </c>
      <c r="M240">
        <v>39.520266100000001</v>
      </c>
      <c r="N240">
        <v>-768.71600053891882</v>
      </c>
      <c r="O240">
        <v>638.64313333948121</v>
      </c>
      <c r="P240" s="1" t="str">
        <f>HYPERLINK(".\sm_car_251026_2256\sm_car_251026_2256_239_Ca170TrN_MaCKY_DrSt_ode23t_1.png","figure")</f>
        <v>figure</v>
      </c>
      <c r="Q240" t="s">
        <v>15</v>
      </c>
    </row>
    <row r="241" spans="1:17" x14ac:dyDescent="0.25">
      <c r="A241">
        <v>240</v>
      </c>
      <c r="B241">
        <v>170</v>
      </c>
      <c r="C241" t="s">
        <v>45</v>
      </c>
      <c r="D241" t="s">
        <v>35</v>
      </c>
      <c r="E241" t="s">
        <v>49</v>
      </c>
      <c r="F241" t="s">
        <v>19</v>
      </c>
      <c r="G241" t="s">
        <v>20</v>
      </c>
      <c r="H241" t="s">
        <v>21</v>
      </c>
      <c r="I241" t="s">
        <v>83</v>
      </c>
      <c r="J241" t="s">
        <v>148</v>
      </c>
      <c r="K241" t="s">
        <v>23</v>
      </c>
      <c r="L241">
        <v>1724</v>
      </c>
      <c r="M241">
        <v>14.9113083</v>
      </c>
      <c r="N241">
        <v>-772.67627619643918</v>
      </c>
      <c r="O241">
        <v>640.74522380707151</v>
      </c>
      <c r="P241" s="1" t="str">
        <f>HYPERLINK(".\sm_car_251026_2256\sm_car_251026_2256_240_Ca170TrN_MaCKF_DrSt_ode23t_1.png","figure")</f>
        <v>figure</v>
      </c>
      <c r="Q241" t="s">
        <v>15</v>
      </c>
    </row>
    <row r="242" spans="1:17" x14ac:dyDescent="0.25">
      <c r="A242">
        <v>241</v>
      </c>
      <c r="B242">
        <v>170</v>
      </c>
      <c r="C242" t="s">
        <v>45</v>
      </c>
      <c r="D242" t="s">
        <v>35</v>
      </c>
      <c r="E242" t="s">
        <v>49</v>
      </c>
      <c r="F242" t="s">
        <v>19</v>
      </c>
      <c r="G242" t="s">
        <v>20</v>
      </c>
      <c r="H242" t="s">
        <v>21</v>
      </c>
      <c r="I242" t="s">
        <v>84</v>
      </c>
      <c r="J242" t="s">
        <v>148</v>
      </c>
      <c r="K242" t="s">
        <v>23</v>
      </c>
      <c r="L242">
        <v>2268</v>
      </c>
      <c r="M242">
        <v>28.9748506</v>
      </c>
      <c r="N242">
        <v>189.31356980212755</v>
      </c>
      <c r="O242">
        <v>308.88773790177095</v>
      </c>
      <c r="P242" s="1" t="str">
        <f>HYPERLINK(".\sm_car_251026_2256\sm_car_251026_2256_241_Ca170TrN_MaCNN_DrSt_ode23t_1.png","figure")</f>
        <v>figure</v>
      </c>
      <c r="Q242" t="s">
        <v>15</v>
      </c>
    </row>
    <row r="243" spans="1:17" x14ac:dyDescent="0.25">
      <c r="A243">
        <v>242</v>
      </c>
      <c r="B243">
        <v>170</v>
      </c>
      <c r="C243" t="s">
        <v>45</v>
      </c>
      <c r="D243" t="s">
        <v>35</v>
      </c>
      <c r="E243" t="s">
        <v>49</v>
      </c>
      <c r="F243" t="s">
        <v>19</v>
      </c>
      <c r="G243" t="s">
        <v>20</v>
      </c>
      <c r="H243" t="s">
        <v>21</v>
      </c>
      <c r="I243" t="s">
        <v>85</v>
      </c>
      <c r="J243" t="s">
        <v>148</v>
      </c>
      <c r="K243" t="s">
        <v>23</v>
      </c>
      <c r="L243">
        <v>3557</v>
      </c>
      <c r="M243">
        <v>161.29219399999999</v>
      </c>
      <c r="N243">
        <v>2981.6994285974338</v>
      </c>
      <c r="O243">
        <v>-3077.7705619199373</v>
      </c>
      <c r="P243" s="1" t="str">
        <f>HYPERLINK(".\sm_car_251026_2256\sm_car_251026_2256_242_Ca170TrN_MaCNF_DrSt_ode23t_1.png","figure")</f>
        <v>figure</v>
      </c>
      <c r="Q243" t="s">
        <v>15</v>
      </c>
    </row>
    <row r="244" spans="1:17" x14ac:dyDescent="0.25">
      <c r="A244">
        <v>243</v>
      </c>
      <c r="B244">
        <v>170</v>
      </c>
      <c r="C244" t="s">
        <v>45</v>
      </c>
      <c r="D244" t="s">
        <v>35</v>
      </c>
      <c r="E244" t="s">
        <v>49</v>
      </c>
      <c r="F244" t="s">
        <v>19</v>
      </c>
      <c r="G244" t="s">
        <v>20</v>
      </c>
      <c r="H244" t="s">
        <v>21</v>
      </c>
      <c r="I244" t="s">
        <v>86</v>
      </c>
      <c r="J244" t="s">
        <v>148</v>
      </c>
      <c r="K244" t="s">
        <v>23</v>
      </c>
      <c r="L244">
        <v>3006</v>
      </c>
      <c r="M244">
        <v>23.275653500000001</v>
      </c>
      <c r="N244">
        <v>497.8633130490565</v>
      </c>
      <c r="O244">
        <v>-175.70293786799922</v>
      </c>
      <c r="P244" s="1" t="str">
        <f>HYPERLINK(".\sm_car_251026_2256\sm_car_251026_2256_243_Ca170TrN_MaCSZ_DrSt_ode23t_1.png","figure")</f>
        <v>figure</v>
      </c>
      <c r="Q244" t="s">
        <v>15</v>
      </c>
    </row>
    <row r="245" spans="1:17" x14ac:dyDescent="0.25">
      <c r="A245">
        <v>244</v>
      </c>
      <c r="B245">
        <v>170</v>
      </c>
      <c r="C245" t="s">
        <v>45</v>
      </c>
      <c r="D245" t="s">
        <v>35</v>
      </c>
      <c r="E245" t="s">
        <v>49</v>
      </c>
      <c r="F245" t="s">
        <v>19</v>
      </c>
      <c r="G245" t="s">
        <v>20</v>
      </c>
      <c r="H245" t="s">
        <v>21</v>
      </c>
      <c r="I245" t="s">
        <v>87</v>
      </c>
      <c r="J245" t="s">
        <v>148</v>
      </c>
      <c r="K245" t="s">
        <v>23</v>
      </c>
      <c r="L245">
        <v>5125</v>
      </c>
      <c r="M245">
        <v>124.46420019999999</v>
      </c>
      <c r="N245">
        <v>-8.9787463822973272</v>
      </c>
      <c r="O245">
        <v>8.1265911202612166E-3</v>
      </c>
      <c r="P245" s="1" t="str">
        <f>HYPERLINK(".\sm_car_251026_2256\sm_car_251026_2256_244_Ca170TrN_MaCSF_DrSt_ode23t_1.png","figure")</f>
        <v>figure</v>
      </c>
      <c r="Q245" t="s">
        <v>15</v>
      </c>
    </row>
    <row r="246" spans="1:17" x14ac:dyDescent="0.25">
      <c r="A246">
        <v>245</v>
      </c>
      <c r="B246">
        <v>170</v>
      </c>
      <c r="C246" t="s">
        <v>45</v>
      </c>
      <c r="D246" t="s">
        <v>35</v>
      </c>
      <c r="E246" t="s">
        <v>49</v>
      </c>
      <c r="F246" t="s">
        <v>19</v>
      </c>
      <c r="G246" t="s">
        <v>20</v>
      </c>
      <c r="H246" t="s">
        <v>21</v>
      </c>
      <c r="I246" t="s">
        <v>88</v>
      </c>
      <c r="J246" t="s">
        <v>148</v>
      </c>
      <c r="K246" t="s">
        <v>23</v>
      </c>
      <c r="L246">
        <v>1617</v>
      </c>
      <c r="M246">
        <v>40.813104699999997</v>
      </c>
      <c r="N246">
        <v>247.79328154069458</v>
      </c>
      <c r="O246">
        <v>391.37851350458124</v>
      </c>
      <c r="P246" s="1" t="str">
        <f>HYPERLINK(".\sm_car_251026_2256\sm_car_251026_2256_245_Ca170TrN_MaCPU_DrSt_ode23t_1.png","figure")</f>
        <v>figure</v>
      </c>
      <c r="Q246" t="s">
        <v>15</v>
      </c>
    </row>
    <row r="247" spans="1:17" x14ac:dyDescent="0.25">
      <c r="A247">
        <v>246</v>
      </c>
      <c r="B247">
        <v>170</v>
      </c>
      <c r="C247" t="s">
        <v>45</v>
      </c>
      <c r="D247" t="s">
        <v>35</v>
      </c>
      <c r="E247" t="s">
        <v>49</v>
      </c>
      <c r="F247" t="s">
        <v>19</v>
      </c>
      <c r="G247" t="s">
        <v>20</v>
      </c>
      <c r="H247" t="s">
        <v>21</v>
      </c>
      <c r="I247" t="s">
        <v>89</v>
      </c>
      <c r="J247" t="s">
        <v>148</v>
      </c>
      <c r="K247" t="s">
        <v>23</v>
      </c>
      <c r="L247">
        <v>2466</v>
      </c>
      <c r="M247">
        <v>30.3642802</v>
      </c>
      <c r="N247">
        <v>179.59000234636187</v>
      </c>
      <c r="O247">
        <v>-180.28252161593991</v>
      </c>
      <c r="P247" s="1" t="str">
        <f>HYPERLINK(".\sm_car_251026_2256\sm_car_251026_2256_246_Ca170TrN_MaCPD_DrSt_ode23t_1.png","figure")</f>
        <v>figure</v>
      </c>
      <c r="Q247" t="s">
        <v>15</v>
      </c>
    </row>
    <row r="248" spans="1:17" x14ac:dyDescent="0.25">
      <c r="A248">
        <v>247</v>
      </c>
      <c r="B248">
        <v>202</v>
      </c>
      <c r="C248" t="s">
        <v>45</v>
      </c>
      <c r="D248" t="s">
        <v>35</v>
      </c>
      <c r="E248" t="s">
        <v>107</v>
      </c>
      <c r="F248" t="s">
        <v>19</v>
      </c>
      <c r="G248" t="s">
        <v>20</v>
      </c>
      <c r="H248" t="s">
        <v>21</v>
      </c>
      <c r="I248" t="s">
        <v>79</v>
      </c>
      <c r="J248" t="s">
        <v>148</v>
      </c>
      <c r="K248" t="s">
        <v>23</v>
      </c>
      <c r="L248">
        <v>1635</v>
      </c>
      <c r="M248">
        <v>5.6630906999999997</v>
      </c>
      <c r="N248">
        <v>-5.9991130369005505</v>
      </c>
      <c r="O248">
        <v>-6.174553701024787E-3</v>
      </c>
      <c r="P248" s="1" t="str">
        <f>HYPERLINK(".\sm_car_251026_2256\sm_car_251026_2256_247_Ca202TrN_MaCMF_DrSt_ode23t_1.png","figure")</f>
        <v>figure</v>
      </c>
      <c r="Q248" t="s">
        <v>15</v>
      </c>
    </row>
    <row r="249" spans="1:17" x14ac:dyDescent="0.25">
      <c r="A249">
        <v>248</v>
      </c>
      <c r="B249">
        <v>202</v>
      </c>
      <c r="C249" t="s">
        <v>45</v>
      </c>
      <c r="D249" t="s">
        <v>35</v>
      </c>
      <c r="E249" t="s">
        <v>107</v>
      </c>
      <c r="F249" t="s">
        <v>19</v>
      </c>
      <c r="G249" t="s">
        <v>20</v>
      </c>
      <c r="H249" t="s">
        <v>21</v>
      </c>
      <c r="I249" t="s">
        <v>80</v>
      </c>
      <c r="J249" t="s">
        <v>148</v>
      </c>
      <c r="K249" t="s">
        <v>23</v>
      </c>
      <c r="L249">
        <v>5367</v>
      </c>
      <c r="M249">
        <v>31.09329</v>
      </c>
      <c r="N249">
        <v>-217.49333607968032</v>
      </c>
      <c r="O249">
        <v>5.8591981140250748</v>
      </c>
      <c r="P249" s="1" t="str">
        <f>HYPERLINK(".\sm_car_251026_2256\sm_car_251026_2256_248_Ca202TrN_MaMPO_DrSt_ode23t_1.png","figure")</f>
        <v>figure</v>
      </c>
      <c r="Q249" t="s">
        <v>15</v>
      </c>
    </row>
    <row r="250" spans="1:17" x14ac:dyDescent="0.25">
      <c r="A250">
        <v>249</v>
      </c>
      <c r="B250">
        <v>202</v>
      </c>
      <c r="C250" t="s">
        <v>45</v>
      </c>
      <c r="D250" t="s">
        <v>35</v>
      </c>
      <c r="E250" t="s">
        <v>107</v>
      </c>
      <c r="F250" t="s">
        <v>19</v>
      </c>
      <c r="G250" t="s">
        <v>20</v>
      </c>
      <c r="H250" t="s">
        <v>21</v>
      </c>
      <c r="I250" t="s">
        <v>81</v>
      </c>
      <c r="J250" t="s">
        <v>148</v>
      </c>
      <c r="K250" t="s">
        <v>23</v>
      </c>
      <c r="L250">
        <v>1195</v>
      </c>
      <c r="M250">
        <v>12.301967700000001</v>
      </c>
      <c r="N250">
        <v>-14.230475054048874</v>
      </c>
      <c r="O250">
        <v>-6.6785544601657421E-3</v>
      </c>
      <c r="P250" s="1" t="str">
        <f>HYPERLINK(".\sm_car_251026_2256\sm_car_251026_2256_249_Ca202TrN_MaMCI_DrSt_ode23t_1.png","figure")</f>
        <v>figure</v>
      </c>
      <c r="Q250" t="s">
        <v>15</v>
      </c>
    </row>
    <row r="251" spans="1:17" x14ac:dyDescent="0.25">
      <c r="A251">
        <v>250</v>
      </c>
      <c r="B251">
        <v>202</v>
      </c>
      <c r="C251" t="s">
        <v>45</v>
      </c>
      <c r="D251" t="s">
        <v>35</v>
      </c>
      <c r="E251" t="s">
        <v>107</v>
      </c>
      <c r="F251" t="s">
        <v>19</v>
      </c>
      <c r="G251" t="s">
        <v>20</v>
      </c>
      <c r="H251" t="s">
        <v>21</v>
      </c>
      <c r="I251" t="s">
        <v>83</v>
      </c>
      <c r="J251" t="s">
        <v>148</v>
      </c>
      <c r="K251" t="s">
        <v>23</v>
      </c>
      <c r="L251">
        <v>2876</v>
      </c>
      <c r="M251">
        <v>11.9066341</v>
      </c>
      <c r="N251">
        <v>-5.9967599757358716</v>
      </c>
      <c r="O251">
        <v>-2.6152970750457961E-2</v>
      </c>
      <c r="P251" s="1" t="str">
        <f>HYPERLINK(".\sm_car_251026_2256\sm_car_251026_2256_250_Ca202TrN_MaCKF_DrSt_ode23t_1.png","figure")</f>
        <v>figure</v>
      </c>
      <c r="Q251" t="s">
        <v>15</v>
      </c>
    </row>
    <row r="252" spans="1:17" x14ac:dyDescent="0.25">
      <c r="A252">
        <v>251</v>
      </c>
      <c r="B252">
        <v>202</v>
      </c>
      <c r="C252" t="s">
        <v>45</v>
      </c>
      <c r="D252" t="s">
        <v>35</v>
      </c>
      <c r="E252" t="s">
        <v>107</v>
      </c>
      <c r="F252" t="s">
        <v>19</v>
      </c>
      <c r="G252" t="s">
        <v>20</v>
      </c>
      <c r="H252" t="s">
        <v>21</v>
      </c>
      <c r="I252" t="s">
        <v>85</v>
      </c>
      <c r="J252" t="s">
        <v>148</v>
      </c>
      <c r="K252" t="s">
        <v>23</v>
      </c>
      <c r="L252">
        <v>8360</v>
      </c>
      <c r="M252">
        <v>231.90250599999999</v>
      </c>
      <c r="N252">
        <v>-8.9781757971358171</v>
      </c>
      <c r="O252">
        <v>2.3794324531505762E-2</v>
      </c>
      <c r="P252" s="1" t="str">
        <f>HYPERLINK(".\sm_car_251026_2256\sm_car_251026_2256_251_Ca202TrN_MaCNF_DrSt_ode23t_1.png","figure")</f>
        <v>figure</v>
      </c>
      <c r="Q252" t="s">
        <v>15</v>
      </c>
    </row>
    <row r="253" spans="1:17" x14ac:dyDescent="0.25">
      <c r="A253">
        <v>252</v>
      </c>
      <c r="B253">
        <v>202</v>
      </c>
      <c r="C253" t="s">
        <v>45</v>
      </c>
      <c r="D253" t="s">
        <v>35</v>
      </c>
      <c r="E253" t="s">
        <v>107</v>
      </c>
      <c r="F253" t="s">
        <v>19</v>
      </c>
      <c r="G253" t="s">
        <v>20</v>
      </c>
      <c r="H253" t="s">
        <v>21</v>
      </c>
      <c r="I253" t="s">
        <v>87</v>
      </c>
      <c r="J253" t="s">
        <v>148</v>
      </c>
      <c r="K253" t="s">
        <v>23</v>
      </c>
      <c r="L253">
        <v>5157</v>
      </c>
      <c r="M253">
        <v>65.215928199999993</v>
      </c>
      <c r="N253">
        <v>-8.9900981534315569</v>
      </c>
      <c r="O253">
        <v>8.180138961622483E-3</v>
      </c>
      <c r="P253" s="1" t="str">
        <f>HYPERLINK(".\sm_car_251026_2256\sm_car_251026_2256_252_Ca202TrN_MaCSF_DrSt_ode23t_1.png","figure")</f>
        <v>figure</v>
      </c>
      <c r="Q253" t="s">
        <v>15</v>
      </c>
    </row>
    <row r="254" spans="1:17" x14ac:dyDescent="0.25">
      <c r="A254">
        <v>253</v>
      </c>
      <c r="B254">
        <v>202</v>
      </c>
      <c r="C254" t="s">
        <v>45</v>
      </c>
      <c r="D254" t="s">
        <v>35</v>
      </c>
      <c r="E254" t="s">
        <v>107</v>
      </c>
      <c r="F254" t="s">
        <v>19</v>
      </c>
      <c r="G254" t="s">
        <v>20</v>
      </c>
      <c r="H254" t="s">
        <v>21</v>
      </c>
      <c r="I254" t="s">
        <v>78</v>
      </c>
      <c r="J254" t="s">
        <v>148</v>
      </c>
      <c r="K254" t="s">
        <v>23</v>
      </c>
      <c r="L254">
        <v>7199</v>
      </c>
      <c r="M254">
        <v>25.105418100000001</v>
      </c>
      <c r="N254">
        <v>-5.9988907716602711</v>
      </c>
      <c r="O254">
        <v>-6.2432342963856073E-3</v>
      </c>
      <c r="P254" s="1" t="str">
        <f>HYPERLINK(".\sm_car_251026_2256\sm_car_251026_2256_253_Ca202TrN_MaCMP_DrSt_ode23t_1.png","figure")</f>
        <v>figure</v>
      </c>
      <c r="Q254" t="s">
        <v>15</v>
      </c>
    </row>
    <row r="255" spans="1:17" x14ac:dyDescent="0.25">
      <c r="A255">
        <v>254</v>
      </c>
      <c r="B255">
        <v>202</v>
      </c>
      <c r="C255" t="s">
        <v>45</v>
      </c>
      <c r="D255" t="s">
        <v>35</v>
      </c>
      <c r="E255" t="s">
        <v>107</v>
      </c>
      <c r="F255" t="s">
        <v>19</v>
      </c>
      <c r="G255" t="s">
        <v>20</v>
      </c>
      <c r="H255" t="s">
        <v>21</v>
      </c>
      <c r="I255" t="s">
        <v>82</v>
      </c>
      <c r="J255" t="s">
        <v>148</v>
      </c>
      <c r="K255" t="s">
        <v>23</v>
      </c>
      <c r="L255">
        <v>20050</v>
      </c>
      <c r="M255">
        <v>77.776707599999995</v>
      </c>
      <c r="N255">
        <v>-5.9994553843777556</v>
      </c>
      <c r="O255">
        <v>-2.79228268452241E-2</v>
      </c>
      <c r="P255" s="1" t="str">
        <f>HYPERLINK(".\sm_car_251026_2256\sm_car_251026_2256_254_Ca202TrN_MaCKY_DrSt_ode23t_1.png","figure")</f>
        <v>figure</v>
      </c>
      <c r="Q255" t="s">
        <v>15</v>
      </c>
    </row>
    <row r="256" spans="1:17" x14ac:dyDescent="0.25">
      <c r="A256">
        <v>255</v>
      </c>
      <c r="B256">
        <v>202</v>
      </c>
      <c r="C256" t="s">
        <v>45</v>
      </c>
      <c r="D256" t="s">
        <v>35</v>
      </c>
      <c r="E256" t="s">
        <v>107</v>
      </c>
      <c r="F256" t="s">
        <v>19</v>
      </c>
      <c r="G256" t="s">
        <v>20</v>
      </c>
      <c r="H256" t="s">
        <v>21</v>
      </c>
      <c r="I256" t="s">
        <v>75</v>
      </c>
      <c r="J256" t="s">
        <v>148</v>
      </c>
      <c r="K256" t="s">
        <v>23</v>
      </c>
      <c r="L256">
        <v>474</v>
      </c>
      <c r="M256">
        <v>2.5392880999999998</v>
      </c>
      <c r="N256">
        <v>380.66458331191734</v>
      </c>
      <c r="O256">
        <v>0.33255620780143091</v>
      </c>
      <c r="P256" s="1" t="str">
        <f>HYPERLINK(".\sm_car_251026_2256\sm_car_251026_2256_255_Ca202TrN_MaCPL_DrSt_ode23t_1.png","figure")</f>
        <v>figure</v>
      </c>
      <c r="Q256" t="s">
        <v>15</v>
      </c>
    </row>
    <row r="257" spans="1:17" x14ac:dyDescent="0.25">
      <c r="A257">
        <v>256</v>
      </c>
      <c r="B257">
        <v>140</v>
      </c>
      <c r="C257" t="s">
        <v>45</v>
      </c>
      <c r="D257" t="s">
        <v>17</v>
      </c>
      <c r="E257" t="s">
        <v>49</v>
      </c>
      <c r="F257" t="s">
        <v>19</v>
      </c>
      <c r="G257" t="s">
        <v>26</v>
      </c>
      <c r="H257" t="s">
        <v>21</v>
      </c>
      <c r="I257" t="s">
        <v>112</v>
      </c>
      <c r="J257" t="s">
        <v>148</v>
      </c>
      <c r="K257" t="s">
        <v>23</v>
      </c>
      <c r="L257">
        <v>2630</v>
      </c>
      <c r="M257">
        <v>37.619611499999998</v>
      </c>
      <c r="N257">
        <v>189.15430692663318</v>
      </c>
      <c r="O257">
        <v>7.1084805641706528E-4</v>
      </c>
      <c r="P257" s="1" t="str">
        <f>HYPERLINK(".\sm_car_251026_2256\sm_car_251026_2256_256_Ca140TrN_MaCRR_DrSt_ode23t_1.png","figure")</f>
        <v>figure</v>
      </c>
      <c r="Q257" t="s">
        <v>15</v>
      </c>
    </row>
    <row r="258" spans="1:17" x14ac:dyDescent="0.25">
      <c r="A258">
        <v>257</v>
      </c>
      <c r="B258">
        <v>189</v>
      </c>
      <c r="C258" t="s">
        <v>45</v>
      </c>
      <c r="D258" t="s">
        <v>17</v>
      </c>
      <c r="E258" t="s">
        <v>107</v>
      </c>
      <c r="F258" t="s">
        <v>19</v>
      </c>
      <c r="G258" t="s">
        <v>26</v>
      </c>
      <c r="H258" t="s">
        <v>21</v>
      </c>
      <c r="I258" t="s">
        <v>112</v>
      </c>
      <c r="J258" t="s">
        <v>148</v>
      </c>
      <c r="K258" t="s">
        <v>23</v>
      </c>
      <c r="L258">
        <v>3270</v>
      </c>
      <c r="M258">
        <v>33.784649700000003</v>
      </c>
      <c r="N258">
        <v>189.18372021564034</v>
      </c>
      <c r="O258">
        <v>7.1209952192259011E-4</v>
      </c>
      <c r="P258" s="1" t="str">
        <f>HYPERLINK(".\sm_car_251026_2256\sm_car_251026_2256_257_Ca189TrN_MaCRR_DrSt_ode23t_1.png","figure")</f>
        <v>figure</v>
      </c>
      <c r="Q258" t="s">
        <v>15</v>
      </c>
    </row>
    <row r="259" spans="1:17" x14ac:dyDescent="0.25">
      <c r="A259">
        <v>258</v>
      </c>
      <c r="B259">
        <v>173</v>
      </c>
      <c r="C259" t="s">
        <v>45</v>
      </c>
      <c r="D259" t="s">
        <v>35</v>
      </c>
      <c r="E259" t="s">
        <v>49</v>
      </c>
      <c r="F259" t="s">
        <v>19</v>
      </c>
      <c r="G259" t="s">
        <v>90</v>
      </c>
      <c r="H259" t="s">
        <v>21</v>
      </c>
      <c r="I259" t="s">
        <v>91</v>
      </c>
      <c r="J259" t="s">
        <v>148</v>
      </c>
      <c r="K259" t="s">
        <v>92</v>
      </c>
      <c r="L259">
        <v>1585</v>
      </c>
      <c r="M259">
        <v>58.2320159</v>
      </c>
      <c r="N259">
        <v>51.299534188168501</v>
      </c>
      <c r="O259">
        <v>9.1604319329928793E-3</v>
      </c>
      <c r="P259" s="1" t="str">
        <f>HYPERLINK(".\sm_car_251026_2256\sm_car_251026_2256_258_Ca173TrN_MaDCA_DrSt_daessc_1.png","figure")</f>
        <v>figure</v>
      </c>
      <c r="Q259" t="s">
        <v>15</v>
      </c>
    </row>
    <row r="260" spans="1:17" x14ac:dyDescent="0.25">
      <c r="A260">
        <v>259</v>
      </c>
      <c r="B260">
        <v>173</v>
      </c>
      <c r="C260" t="s">
        <v>45</v>
      </c>
      <c r="D260" t="s">
        <v>35</v>
      </c>
      <c r="E260" t="s">
        <v>49</v>
      </c>
      <c r="F260" t="s">
        <v>19</v>
      </c>
      <c r="G260" t="s">
        <v>90</v>
      </c>
      <c r="H260" t="s">
        <v>21</v>
      </c>
      <c r="I260" t="s">
        <v>93</v>
      </c>
      <c r="J260" t="s">
        <v>148</v>
      </c>
      <c r="K260" t="s">
        <v>92</v>
      </c>
      <c r="L260">
        <v>4058</v>
      </c>
      <c r="M260">
        <v>97.350533499999997</v>
      </c>
      <c r="N260">
        <v>980.46354871327242</v>
      </c>
      <c r="O260">
        <v>0.73484804721980235</v>
      </c>
      <c r="P260" s="1" t="str">
        <f>HYPERLINK(".\sm_car_251026_2256\sm_car_251026_2256_259_Ca173TrN_MaDC1_DrSt_daessc_1.png","figure")</f>
        <v>figure</v>
      </c>
      <c r="Q260" t="s">
        <v>15</v>
      </c>
    </row>
    <row r="261" spans="1:17" x14ac:dyDescent="0.25">
      <c r="A261">
        <v>260</v>
      </c>
      <c r="B261">
        <v>165</v>
      </c>
      <c r="C261" t="s">
        <v>45</v>
      </c>
      <c r="D261" t="s">
        <v>35</v>
      </c>
      <c r="E261" t="s">
        <v>49</v>
      </c>
      <c r="F261" t="s">
        <v>19</v>
      </c>
      <c r="G261" t="s">
        <v>26</v>
      </c>
      <c r="H261" t="s">
        <v>21</v>
      </c>
      <c r="I261" t="s">
        <v>91</v>
      </c>
      <c r="J261" t="s">
        <v>148</v>
      </c>
      <c r="K261" t="s">
        <v>23</v>
      </c>
      <c r="L261">
        <v>319</v>
      </c>
      <c r="M261">
        <v>3.8728294999999999</v>
      </c>
      <c r="N261">
        <v>53.507825797210131</v>
      </c>
      <c r="O261">
        <v>1.0033383643930281E-2</v>
      </c>
      <c r="P261" s="1" t="str">
        <f>HYPERLINK(".\sm_car_251026_2256\sm_car_251026_2256_260_Ca165TrN_MaDCA_DrSt_ode23t_1.png","figure")</f>
        <v>figure</v>
      </c>
      <c r="Q261" t="s">
        <v>15</v>
      </c>
    </row>
    <row r="262" spans="1:17" x14ac:dyDescent="0.25">
      <c r="A262">
        <v>261</v>
      </c>
      <c r="B262">
        <v>165</v>
      </c>
      <c r="C262" t="s">
        <v>45</v>
      </c>
      <c r="D262" t="s">
        <v>35</v>
      </c>
      <c r="E262" t="s">
        <v>49</v>
      </c>
      <c r="F262" t="s">
        <v>19</v>
      </c>
      <c r="G262" t="s">
        <v>26</v>
      </c>
      <c r="H262" t="s">
        <v>21</v>
      </c>
      <c r="I262" t="s">
        <v>93</v>
      </c>
      <c r="J262" t="s">
        <v>148</v>
      </c>
      <c r="K262" t="s">
        <v>23</v>
      </c>
      <c r="L262">
        <v>1181</v>
      </c>
      <c r="M262">
        <v>8.1605963999999993</v>
      </c>
      <c r="N262">
        <v>992.65468347954788</v>
      </c>
      <c r="O262">
        <v>0.75102150374971532</v>
      </c>
      <c r="P262" s="1" t="str">
        <f>HYPERLINK(".\sm_car_251026_2256\sm_car_251026_2256_261_Ca165TrN_MaDC1_DrSt_ode23t_1.png","figure")</f>
        <v>figure</v>
      </c>
      <c r="Q262" t="s">
        <v>15</v>
      </c>
    </row>
    <row r="263" spans="1:17" x14ac:dyDescent="0.25">
      <c r="A263">
        <v>262</v>
      </c>
      <c r="B263">
        <v>196</v>
      </c>
      <c r="C263" t="s">
        <v>45</v>
      </c>
      <c r="D263" t="s">
        <v>35</v>
      </c>
      <c r="E263" t="s">
        <v>107</v>
      </c>
      <c r="F263" t="s">
        <v>19</v>
      </c>
      <c r="G263" t="s">
        <v>90</v>
      </c>
      <c r="H263" t="s">
        <v>21</v>
      </c>
      <c r="I263" t="s">
        <v>93</v>
      </c>
      <c r="J263" t="s">
        <v>148</v>
      </c>
      <c r="K263" t="s">
        <v>92</v>
      </c>
      <c r="L263">
        <v>4137</v>
      </c>
      <c r="M263">
        <v>51.706545800000001</v>
      </c>
      <c r="N263">
        <v>980.46102738336697</v>
      </c>
      <c r="O263">
        <v>0.73496340483276612</v>
      </c>
      <c r="P263" s="1" t="str">
        <f>HYPERLINK(".\sm_car_251026_2256\sm_car_251026_2256_262_Ca196TrN_MaDC1_DrSt_daessc_1.png","figure")</f>
        <v>figure</v>
      </c>
      <c r="Q263" t="s">
        <v>15</v>
      </c>
    </row>
    <row r="264" spans="1:17" x14ac:dyDescent="0.25">
      <c r="A264">
        <v>263</v>
      </c>
      <c r="B264">
        <v>179</v>
      </c>
      <c r="C264" t="s">
        <v>45</v>
      </c>
      <c r="D264" t="s">
        <v>57</v>
      </c>
      <c r="E264" t="s">
        <v>18</v>
      </c>
      <c r="F264" t="s">
        <v>19</v>
      </c>
      <c r="G264" t="s">
        <v>26</v>
      </c>
      <c r="H264" t="s">
        <v>21</v>
      </c>
      <c r="I264" t="s">
        <v>22</v>
      </c>
      <c r="J264" t="s">
        <v>148</v>
      </c>
      <c r="K264" t="s">
        <v>23</v>
      </c>
      <c r="L264">
        <v>472</v>
      </c>
      <c r="M264">
        <v>4.9090854000000004</v>
      </c>
      <c r="N264">
        <v>147.8279830863714</v>
      </c>
      <c r="O264">
        <v>9.6517179348681786E-2</v>
      </c>
      <c r="P264" s="1" t="str">
        <f>HYPERLINK(".\sm_car_251026_2256\sm_car_251026_2256_263_Ca179TrN_MaWOT_DrSt_ode23t_1.png","figure")</f>
        <v>figure</v>
      </c>
      <c r="Q264" t="s">
        <v>15</v>
      </c>
    </row>
    <row r="265" spans="1:17" x14ac:dyDescent="0.25">
      <c r="A265">
        <v>264</v>
      </c>
      <c r="B265">
        <v>180</v>
      </c>
      <c r="C265" t="s">
        <v>45</v>
      </c>
      <c r="D265" t="s">
        <v>57</v>
      </c>
      <c r="E265" t="s">
        <v>49</v>
      </c>
      <c r="F265" t="s">
        <v>19</v>
      </c>
      <c r="G265" t="s">
        <v>26</v>
      </c>
      <c r="H265" t="s">
        <v>21</v>
      </c>
      <c r="I265" t="s">
        <v>22</v>
      </c>
      <c r="J265" t="s">
        <v>148</v>
      </c>
      <c r="K265" t="s">
        <v>23</v>
      </c>
      <c r="L265">
        <v>500</v>
      </c>
      <c r="M265">
        <v>7.5067339999999998</v>
      </c>
      <c r="N265">
        <v>147.84844268974945</v>
      </c>
      <c r="O265">
        <v>9.6069647223881741E-2</v>
      </c>
      <c r="P265" s="1" t="str">
        <f>HYPERLINK(".\sm_car_251026_2256\sm_car_251026_2256_264_Ca180TrN_MaWOT_DrSt_ode23t_1.png","figure")</f>
        <v>figure</v>
      </c>
      <c r="Q265" t="s">
        <v>15</v>
      </c>
    </row>
    <row r="266" spans="1:17" x14ac:dyDescent="0.25">
      <c r="A266">
        <v>265</v>
      </c>
      <c r="B266">
        <v>197</v>
      </c>
      <c r="C266" t="s">
        <v>45</v>
      </c>
      <c r="D266" t="s">
        <v>57</v>
      </c>
      <c r="E266" t="s">
        <v>107</v>
      </c>
      <c r="F266" t="s">
        <v>19</v>
      </c>
      <c r="G266" t="s">
        <v>26</v>
      </c>
      <c r="H266" t="s">
        <v>21</v>
      </c>
      <c r="I266" t="s">
        <v>22</v>
      </c>
      <c r="J266" t="s">
        <v>148</v>
      </c>
      <c r="K266" t="s">
        <v>23</v>
      </c>
      <c r="L266">
        <v>448</v>
      </c>
      <c r="M266">
        <v>2.2057001999999999</v>
      </c>
      <c r="N266">
        <v>147.81373644097047</v>
      </c>
      <c r="O266">
        <v>9.599315531772544E-2</v>
      </c>
      <c r="P266" s="1" t="str">
        <f>HYPERLINK(".\sm_car_251026_2256\sm_car_251026_2256_265_Ca197TrN_MaWOT_DrSt_ode23t_1.png","figure")</f>
        <v>figure</v>
      </c>
      <c r="Q266" t="s">
        <v>15</v>
      </c>
    </row>
    <row r="267" spans="1:17" x14ac:dyDescent="0.25">
      <c r="A267">
        <v>266</v>
      </c>
      <c r="B267">
        <v>182</v>
      </c>
      <c r="C267" t="s">
        <v>45</v>
      </c>
      <c r="D267" t="s">
        <v>17</v>
      </c>
      <c r="E267" t="s">
        <v>49</v>
      </c>
      <c r="F267" t="s">
        <v>19</v>
      </c>
      <c r="G267" t="s">
        <v>26</v>
      </c>
      <c r="H267" t="s">
        <v>21</v>
      </c>
      <c r="I267" t="s">
        <v>64</v>
      </c>
      <c r="J267" t="s">
        <v>148</v>
      </c>
      <c r="K267" t="s">
        <v>23</v>
      </c>
      <c r="L267">
        <v>425</v>
      </c>
      <c r="M267">
        <v>13.282408200000001</v>
      </c>
      <c r="N267">
        <v>61.843650858857856</v>
      </c>
      <c r="O267">
        <v>-24.157975329121015</v>
      </c>
      <c r="P267" s="1" t="str">
        <f>HYPERLINK(".\sm_car_251026_2256\sm_car_251026_2256_266_Ca182TrN_MaTUR_DrSt_ode23t_1.png","figure")</f>
        <v>figure</v>
      </c>
      <c r="Q267" t="s">
        <v>15</v>
      </c>
    </row>
    <row r="268" spans="1:17" x14ac:dyDescent="0.25">
      <c r="A268">
        <v>267</v>
      </c>
      <c r="B268">
        <v>203</v>
      </c>
      <c r="C268" t="s">
        <v>45</v>
      </c>
      <c r="D268" t="s">
        <v>17</v>
      </c>
      <c r="E268" t="s">
        <v>107</v>
      </c>
      <c r="F268" t="s">
        <v>19</v>
      </c>
      <c r="G268" t="s">
        <v>26</v>
      </c>
      <c r="H268" t="s">
        <v>21</v>
      </c>
      <c r="I268" t="s">
        <v>64</v>
      </c>
      <c r="J268" t="s">
        <v>148</v>
      </c>
      <c r="K268" t="s">
        <v>23</v>
      </c>
      <c r="L268">
        <v>377</v>
      </c>
      <c r="M268">
        <v>4.3499891999999996</v>
      </c>
      <c r="N268">
        <v>61.845585844015361</v>
      </c>
      <c r="O268">
        <v>-24.168117234201031</v>
      </c>
      <c r="P268" s="1" t="str">
        <f>HYPERLINK(".\sm_car_251026_2256\sm_car_251026_2256_267_Ca203TrN_MaTUR_DrSt_ode23t_1.png","figure")</f>
        <v>figure</v>
      </c>
      <c r="Q268" t="s">
        <v>15</v>
      </c>
    </row>
    <row r="269" spans="1:17" x14ac:dyDescent="0.25">
      <c r="A269">
        <v>268</v>
      </c>
      <c r="B269">
        <v>185</v>
      </c>
      <c r="C269" t="s">
        <v>45</v>
      </c>
      <c r="D269" t="s">
        <v>17</v>
      </c>
      <c r="E269" t="s">
        <v>18</v>
      </c>
      <c r="F269" t="s">
        <v>19</v>
      </c>
      <c r="G269" t="s">
        <v>26</v>
      </c>
      <c r="H269" t="s">
        <v>21</v>
      </c>
      <c r="I269" t="s">
        <v>64</v>
      </c>
      <c r="J269" t="s">
        <v>148</v>
      </c>
      <c r="K269" t="s">
        <v>23</v>
      </c>
      <c r="L269">
        <v>528</v>
      </c>
      <c r="M269">
        <v>21.085263399999999</v>
      </c>
      <c r="N269">
        <v>111.93721477114244</v>
      </c>
      <c r="O269">
        <v>-78.480709647680641</v>
      </c>
      <c r="P269" s="1" t="str">
        <f>HYPERLINK(".\sm_car_251026_2256\sm_car_251026_2256_268_Ca185TrN_MaTUR_DrSt_ode23t_1.png","figure")</f>
        <v>figure</v>
      </c>
      <c r="Q269" t="s">
        <v>15</v>
      </c>
    </row>
    <row r="270" spans="1:17" x14ac:dyDescent="0.25">
      <c r="A270">
        <v>269</v>
      </c>
      <c r="B270">
        <v>188</v>
      </c>
      <c r="C270" t="s">
        <v>45</v>
      </c>
      <c r="D270" t="s">
        <v>113</v>
      </c>
      <c r="E270" t="s">
        <v>49</v>
      </c>
      <c r="F270" t="s">
        <v>19</v>
      </c>
      <c r="G270" t="s">
        <v>26</v>
      </c>
      <c r="H270" t="s">
        <v>21</v>
      </c>
      <c r="I270" t="s">
        <v>64</v>
      </c>
      <c r="J270" t="s">
        <v>148</v>
      </c>
      <c r="K270" t="s">
        <v>23</v>
      </c>
      <c r="L270">
        <v>541</v>
      </c>
      <c r="M270">
        <v>7.8641228999999999</v>
      </c>
      <c r="N270">
        <v>140.60132805198188</v>
      </c>
      <c r="O270">
        <v>-71.733836583307166</v>
      </c>
      <c r="P270" s="1" t="str">
        <f>HYPERLINK(".\sm_car_251026_2256\sm_car_251026_2256_269_Ca188TrN_MaTUR_DrSt_ode23t_1.png","figure")</f>
        <v>figure</v>
      </c>
      <c r="Q270" t="s">
        <v>15</v>
      </c>
    </row>
    <row r="271" spans="1:17" x14ac:dyDescent="0.25">
      <c r="A271">
        <v>270</v>
      </c>
      <c r="B271" t="s">
        <v>94</v>
      </c>
      <c r="C271" t="s">
        <v>95</v>
      </c>
      <c r="D271" t="s">
        <v>35</v>
      </c>
      <c r="E271" t="s">
        <v>18</v>
      </c>
      <c r="F271" t="s">
        <v>19</v>
      </c>
      <c r="G271" t="s">
        <v>96</v>
      </c>
      <c r="H271" t="s">
        <v>21</v>
      </c>
      <c r="I271" t="s">
        <v>22</v>
      </c>
      <c r="J271" t="s">
        <v>148</v>
      </c>
      <c r="K271" t="s">
        <v>23</v>
      </c>
      <c r="L271">
        <v>441</v>
      </c>
      <c r="M271">
        <v>12.550443700000001</v>
      </c>
      <c r="N271">
        <v>79.220922629445354</v>
      </c>
      <c r="O271">
        <v>-0.33365900389598846</v>
      </c>
      <c r="P271" s="1" t="str">
        <f>HYPERLINK(".\sm_car_251026_2256\sm_car_Axle3_251026_2256_270_CaAxle3_000TrN_MaWOT_DrSt_ode23t_1.png","figure")</f>
        <v>figure</v>
      </c>
      <c r="Q271" t="s">
        <v>15</v>
      </c>
    </row>
    <row r="272" spans="1:17" x14ac:dyDescent="0.25">
      <c r="A272">
        <v>271</v>
      </c>
      <c r="B272" t="s">
        <v>99</v>
      </c>
      <c r="C272" t="s">
        <v>100</v>
      </c>
      <c r="D272" t="s">
        <v>35</v>
      </c>
      <c r="E272" t="s">
        <v>18</v>
      </c>
      <c r="F272" t="s">
        <v>19</v>
      </c>
      <c r="G272" t="s">
        <v>96</v>
      </c>
      <c r="H272" t="s">
        <v>21</v>
      </c>
      <c r="I272" t="s">
        <v>22</v>
      </c>
      <c r="J272" t="s">
        <v>148</v>
      </c>
      <c r="K272" t="s">
        <v>23</v>
      </c>
      <c r="L272">
        <v>548</v>
      </c>
      <c r="M272">
        <v>13.9634052</v>
      </c>
      <c r="N272">
        <v>61.776462913405382</v>
      </c>
      <c r="O272">
        <v>-7.8931686155575068E-2</v>
      </c>
      <c r="P272" s="1" t="str">
        <f>HYPERLINK(".\sm_car_251026_2256\sm_car_Axle3_251026_2256_271_CaAxle3_008TrN_MaWOT_DrSt_ode23t_1.png","figure")</f>
        <v>figure</v>
      </c>
      <c r="Q272" t="s">
        <v>15</v>
      </c>
    </row>
    <row r="273" spans="1:17" x14ac:dyDescent="0.25">
      <c r="A273">
        <v>272</v>
      </c>
      <c r="B273" t="s">
        <v>97</v>
      </c>
      <c r="C273" t="s">
        <v>95</v>
      </c>
      <c r="D273" t="s">
        <v>35</v>
      </c>
      <c r="E273" t="s">
        <v>49</v>
      </c>
      <c r="F273" t="s">
        <v>19</v>
      </c>
      <c r="G273" t="s">
        <v>98</v>
      </c>
      <c r="H273" t="s">
        <v>21</v>
      </c>
      <c r="I273" t="s">
        <v>22</v>
      </c>
      <c r="J273" t="s">
        <v>148</v>
      </c>
      <c r="K273" t="s">
        <v>23</v>
      </c>
      <c r="L273">
        <v>439</v>
      </c>
      <c r="M273">
        <v>14.2841439</v>
      </c>
      <c r="N273">
        <v>79.281432921803997</v>
      </c>
      <c r="O273">
        <v>-0.31341065770001952</v>
      </c>
      <c r="P273" s="1" t="str">
        <f>HYPERLINK(".\sm_car_251026_2256\sm_car_Axle3_251026_2256_272_CaAxle3_003TrN_MaWOT_DrSt_ode23t_1.png","figure")</f>
        <v>figure</v>
      </c>
      <c r="Q273" t="s">
        <v>15</v>
      </c>
    </row>
    <row r="274" spans="1:17" x14ac:dyDescent="0.25">
      <c r="A274">
        <v>273</v>
      </c>
      <c r="B274" t="s">
        <v>114</v>
      </c>
      <c r="C274" t="s">
        <v>95</v>
      </c>
      <c r="D274" t="s">
        <v>35</v>
      </c>
      <c r="E274" t="s">
        <v>107</v>
      </c>
      <c r="F274" t="s">
        <v>19</v>
      </c>
      <c r="G274" t="s">
        <v>98</v>
      </c>
      <c r="H274" t="s">
        <v>21</v>
      </c>
      <c r="I274" t="s">
        <v>22</v>
      </c>
      <c r="J274" t="s">
        <v>148</v>
      </c>
      <c r="K274" t="s">
        <v>23</v>
      </c>
      <c r="L274">
        <v>433</v>
      </c>
      <c r="M274">
        <v>2.1112554000000001</v>
      </c>
      <c r="N274">
        <v>80.12500224794988</v>
      </c>
      <c r="O274">
        <v>-0.31922959923305844</v>
      </c>
      <c r="P274" s="1" t="str">
        <f>HYPERLINK(".\sm_car_251026_2256\sm_car_Axle3_251026_2256_273_CaAxle3_017TrN_MaWOT_DrSt_ode23t_1.png","figure")</f>
        <v>figure</v>
      </c>
      <c r="Q274" t="s">
        <v>15</v>
      </c>
    </row>
    <row r="275" spans="1:17" x14ac:dyDescent="0.25">
      <c r="A275">
        <v>274</v>
      </c>
      <c r="B275" t="s">
        <v>101</v>
      </c>
      <c r="C275" t="s">
        <v>100</v>
      </c>
      <c r="D275" t="s">
        <v>35</v>
      </c>
      <c r="E275" t="s">
        <v>49</v>
      </c>
      <c r="F275" t="s">
        <v>19</v>
      </c>
      <c r="G275" t="s">
        <v>96</v>
      </c>
      <c r="H275" t="s">
        <v>102</v>
      </c>
      <c r="I275" t="s">
        <v>22</v>
      </c>
      <c r="J275" t="s">
        <v>148</v>
      </c>
      <c r="K275" t="s">
        <v>23</v>
      </c>
      <c r="L275">
        <v>393</v>
      </c>
      <c r="M275">
        <v>35.269099900000001</v>
      </c>
      <c r="N275">
        <v>44.215687554524308</v>
      </c>
      <c r="O275">
        <v>2.2703787046339734E-2</v>
      </c>
      <c r="P275" s="1" t="str">
        <f>HYPERLINK(".\sm_car_251026_2256\sm_car_Axle3_251026_2256_274_CaAxle3_010TrK_MaWOT_DrSt_ode23t_1.png","figure")</f>
        <v>figure</v>
      </c>
      <c r="Q275" t="s">
        <v>15</v>
      </c>
    </row>
    <row r="276" spans="1:17" x14ac:dyDescent="0.25">
      <c r="A276">
        <v>275</v>
      </c>
      <c r="B276" t="s">
        <v>101</v>
      </c>
      <c r="C276" t="s">
        <v>100</v>
      </c>
      <c r="D276" t="s">
        <v>35</v>
      </c>
      <c r="E276" t="s">
        <v>49</v>
      </c>
      <c r="F276" t="s">
        <v>19</v>
      </c>
      <c r="G276" t="s">
        <v>96</v>
      </c>
      <c r="H276" t="s">
        <v>102</v>
      </c>
      <c r="I276" t="s">
        <v>22</v>
      </c>
      <c r="J276" t="s">
        <v>148</v>
      </c>
      <c r="K276" t="s">
        <v>23</v>
      </c>
      <c r="L276">
        <v>402</v>
      </c>
      <c r="M276">
        <v>35.1935407</v>
      </c>
      <c r="N276">
        <v>44.31339413331979</v>
      </c>
      <c r="O276">
        <v>2.2830870894219764E-2</v>
      </c>
      <c r="P276" s="1" t="str">
        <f>HYPERLINK(".\sm_car_251026_2256\sm_car_Axle3_251026_2256_275_CaAxle3_010TrK_MaWOT_DrSt_ode23t_1.png","figure")</f>
        <v>figure</v>
      </c>
      <c r="Q276" t="s">
        <v>15</v>
      </c>
    </row>
    <row r="277" spans="1:17" x14ac:dyDescent="0.25">
      <c r="A277">
        <v>276</v>
      </c>
      <c r="B277" t="s">
        <v>115</v>
      </c>
      <c r="C277" t="s">
        <v>100</v>
      </c>
      <c r="D277" t="s">
        <v>35</v>
      </c>
      <c r="E277" t="s">
        <v>107</v>
      </c>
      <c r="F277" t="s">
        <v>19</v>
      </c>
      <c r="G277" t="s">
        <v>96</v>
      </c>
      <c r="H277" t="s">
        <v>102</v>
      </c>
      <c r="I277" t="s">
        <v>22</v>
      </c>
      <c r="J277" t="s">
        <v>148</v>
      </c>
      <c r="K277" t="s">
        <v>23</v>
      </c>
      <c r="L277">
        <v>398</v>
      </c>
      <c r="M277">
        <v>3.1285620000000001</v>
      </c>
      <c r="N277">
        <v>48.183420826901461</v>
      </c>
      <c r="O277">
        <v>2.6474356974634905E-2</v>
      </c>
      <c r="P277" s="1" t="str">
        <f>HYPERLINK(".\sm_car_251026_2256\sm_car_Axle3_251026_2256_276_CaAxle3_019TrK_MaWOT_DrSt_ode23t_1.png","figure")</f>
        <v>figure</v>
      </c>
      <c r="Q277" t="s">
        <v>15</v>
      </c>
    </row>
    <row r="278" spans="1:17" x14ac:dyDescent="0.25">
      <c r="A278">
        <v>277</v>
      </c>
      <c r="B278" t="s">
        <v>115</v>
      </c>
      <c r="C278" t="s">
        <v>100</v>
      </c>
      <c r="D278" t="s">
        <v>35</v>
      </c>
      <c r="E278" t="s">
        <v>107</v>
      </c>
      <c r="F278" t="s">
        <v>19</v>
      </c>
      <c r="G278" t="s">
        <v>96</v>
      </c>
      <c r="H278" t="s">
        <v>102</v>
      </c>
      <c r="I278" t="s">
        <v>22</v>
      </c>
      <c r="J278" t="s">
        <v>148</v>
      </c>
      <c r="K278" t="s">
        <v>23</v>
      </c>
      <c r="L278">
        <v>401</v>
      </c>
      <c r="M278">
        <v>2.9986869</v>
      </c>
      <c r="N278">
        <v>48.113113783471292</v>
      </c>
      <c r="O278">
        <v>2.6374438268491313E-2</v>
      </c>
      <c r="P278" s="1" t="str">
        <f>HYPERLINK(".\sm_car_251026_2256\sm_car_Axle3_251026_2256_277_CaAxle3_019TrK_MaWOT_DrSt_ode23t_1.png","figure")</f>
        <v>figure</v>
      </c>
      <c r="Q278" t="s">
        <v>15</v>
      </c>
    </row>
    <row r="279" spans="1:17" x14ac:dyDescent="0.25">
      <c r="A279">
        <v>278</v>
      </c>
      <c r="B279" t="s">
        <v>115</v>
      </c>
      <c r="C279" t="s">
        <v>100</v>
      </c>
      <c r="D279" t="s">
        <v>35</v>
      </c>
      <c r="E279" t="s">
        <v>107</v>
      </c>
      <c r="F279" t="s">
        <v>19</v>
      </c>
      <c r="G279" t="s">
        <v>96</v>
      </c>
      <c r="H279" t="s">
        <v>102</v>
      </c>
      <c r="I279" t="s">
        <v>53</v>
      </c>
      <c r="J279" t="s">
        <v>148</v>
      </c>
      <c r="K279" t="s">
        <v>23</v>
      </c>
      <c r="L279">
        <v>634</v>
      </c>
      <c r="M279">
        <v>4.5110406000000003</v>
      </c>
      <c r="N279">
        <v>253.81375203076374</v>
      </c>
      <c r="O279">
        <v>-0.1113162992113188</v>
      </c>
      <c r="P279" s="1" t="str">
        <f>HYPERLINK(".\sm_car_251026_2256\sm_car_Axle3_251026_2256_278_CaAxle3_019TrK_MaDLC_DrSt_ode23t_1.png","figure")</f>
        <v>figure</v>
      </c>
      <c r="Q279" t="s">
        <v>15</v>
      </c>
    </row>
    <row r="280" spans="1:17" x14ac:dyDescent="0.25">
      <c r="A280">
        <v>279</v>
      </c>
      <c r="B280" t="s">
        <v>115</v>
      </c>
      <c r="C280" t="s">
        <v>100</v>
      </c>
      <c r="D280" t="s">
        <v>35</v>
      </c>
      <c r="E280" t="s">
        <v>107</v>
      </c>
      <c r="F280" t="s">
        <v>19</v>
      </c>
      <c r="G280" t="s">
        <v>96</v>
      </c>
      <c r="H280" t="s">
        <v>102</v>
      </c>
      <c r="I280" t="s">
        <v>53</v>
      </c>
      <c r="J280" t="s">
        <v>148</v>
      </c>
      <c r="K280" t="s">
        <v>23</v>
      </c>
      <c r="L280">
        <v>785</v>
      </c>
      <c r="M280">
        <v>4.5704015</v>
      </c>
      <c r="N280">
        <v>254.03601523462567</v>
      </c>
      <c r="O280">
        <v>-0.1146153743590399</v>
      </c>
      <c r="P280" s="1" t="str">
        <f>HYPERLINK(".\sm_car_251026_2256\sm_car_Axle3_251026_2256_279_CaAxle3_019TrK_MaDLC_DrSt_ode23t_1.png","figure")</f>
        <v>figure</v>
      </c>
      <c r="Q280" t="s">
        <v>15</v>
      </c>
    </row>
    <row r="281" spans="1:17" x14ac:dyDescent="0.25">
      <c r="A281">
        <v>280</v>
      </c>
      <c r="B281" t="s">
        <v>115</v>
      </c>
      <c r="C281" t="s">
        <v>100</v>
      </c>
      <c r="D281" t="s">
        <v>35</v>
      </c>
      <c r="E281" t="s">
        <v>107</v>
      </c>
      <c r="F281" t="s">
        <v>19</v>
      </c>
      <c r="G281" t="s">
        <v>96</v>
      </c>
      <c r="H281" t="s">
        <v>102</v>
      </c>
      <c r="I281" t="s">
        <v>53</v>
      </c>
      <c r="J281" t="s">
        <v>148</v>
      </c>
      <c r="K281" t="s">
        <v>23</v>
      </c>
      <c r="L281">
        <v>625</v>
      </c>
      <c r="M281">
        <v>4.4268152000000001</v>
      </c>
      <c r="N281">
        <v>255.71764765836349</v>
      </c>
      <c r="O281">
        <v>-0.11670289195009032</v>
      </c>
      <c r="P281" s="1" t="str">
        <f>HYPERLINK(".\sm_car_251026_2256\sm_car_Axle3_251026_2256_280_CaAxle3_019TrK_MaDLC_DrSt_ode23t_1.png","figure")</f>
        <v>figure</v>
      </c>
      <c r="Q281" t="s">
        <v>15</v>
      </c>
    </row>
    <row r="282" spans="1:17" x14ac:dyDescent="0.25">
      <c r="A282">
        <v>281</v>
      </c>
      <c r="B282" t="s">
        <v>115</v>
      </c>
      <c r="C282" t="s">
        <v>100</v>
      </c>
      <c r="D282" t="s">
        <v>35</v>
      </c>
      <c r="E282" t="s">
        <v>107</v>
      </c>
      <c r="F282" t="s">
        <v>19</v>
      </c>
      <c r="G282" t="s">
        <v>96</v>
      </c>
      <c r="H282" t="s">
        <v>102</v>
      </c>
      <c r="I282" t="s">
        <v>53</v>
      </c>
      <c r="J282" t="s">
        <v>148</v>
      </c>
      <c r="K282" t="s">
        <v>23</v>
      </c>
      <c r="L282">
        <v>825</v>
      </c>
      <c r="M282">
        <v>5.1456552999999996</v>
      </c>
      <c r="N282">
        <v>254.0285480911528</v>
      </c>
      <c r="O282">
        <v>-0.10722049678317669</v>
      </c>
      <c r="P282" s="1" t="str">
        <f>HYPERLINK(".\sm_car_251026_2256\sm_car_Axle3_251026_2256_281_CaAxle3_019TrK_MaDLC_DrSt_ode23t_1.png","figure")</f>
        <v>figure</v>
      </c>
      <c r="Q282" t="s">
        <v>15</v>
      </c>
    </row>
    <row r="283" spans="1:17" x14ac:dyDescent="0.25">
      <c r="A283">
        <v>282</v>
      </c>
      <c r="B283" t="s">
        <v>138</v>
      </c>
      <c r="C283" t="s">
        <v>139</v>
      </c>
      <c r="D283" t="s">
        <v>35</v>
      </c>
      <c r="E283" t="s">
        <v>49</v>
      </c>
      <c r="F283" t="s">
        <v>19</v>
      </c>
      <c r="G283" t="s">
        <v>96</v>
      </c>
      <c r="H283" t="s">
        <v>102</v>
      </c>
      <c r="I283" t="s">
        <v>22</v>
      </c>
      <c r="J283" t="s">
        <v>148</v>
      </c>
      <c r="K283" t="s">
        <v>23</v>
      </c>
      <c r="L283">
        <v>375</v>
      </c>
      <c r="M283">
        <v>2.9631321000000002</v>
      </c>
      <c r="N283">
        <v>136.83258912458388</v>
      </c>
      <c r="O283">
        <v>0.19637023921135666</v>
      </c>
      <c r="P283" s="1" t="str">
        <f>HYPERLINK(".\sm_car_251026_2256\sm_car_Axle3_251026_2256_282_CaAxle3_023TrK_MaWOT_DrSt_ode23t_1.png","figure")</f>
        <v>figure</v>
      </c>
      <c r="Q283" t="s">
        <v>15</v>
      </c>
    </row>
  </sheetData>
  <autoFilter ref="A1:Q283" xr:uid="{19BB017B-B0E2-4B86-85CF-1EBEEC961F96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9376-E14F-4A00-9488-89EF91C9082E}">
  <dimension ref="A1:W283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6.7109375" bestFit="1" customWidth="1"/>
    <col min="2" max="2" width="10" bestFit="1" customWidth="1"/>
    <col min="3" max="3" width="14" bestFit="1" customWidth="1"/>
    <col min="4" max="4" width="12.7109375" bestFit="1" customWidth="1"/>
    <col min="5" max="5" width="11.85546875" bestFit="1" customWidth="1"/>
    <col min="6" max="6" width="11.42578125" bestFit="1" customWidth="1"/>
    <col min="7" max="7" width="18.7109375" bestFit="1" customWidth="1"/>
    <col min="8" max="8" width="8.5703125" bestFit="1" customWidth="1"/>
    <col min="9" max="9" width="27.140625" bestFit="1" customWidth="1"/>
    <col min="10" max="10" width="12.42578125" bestFit="1" customWidth="1"/>
    <col min="11" max="11" width="7.140625" bestFit="1" customWidth="1"/>
    <col min="12" max="12" width="9.5703125" bestFit="1" customWidth="1"/>
    <col min="13" max="13" width="7.7109375" bestFit="1" customWidth="1"/>
    <col min="14" max="14" width="8.5703125" bestFit="1" customWidth="1"/>
    <col min="15" max="15" width="9.28515625" bestFit="1" customWidth="1"/>
    <col min="16" max="16" width="8.85546875" bestFit="1" customWidth="1"/>
    <col min="17" max="17" width="7.140625" bestFit="1" customWidth="1"/>
  </cols>
  <sheetData>
    <row r="1" spans="1:2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6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S1" s="2" t="s">
        <v>189</v>
      </c>
    </row>
    <row r="2" spans="1:23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188</v>
      </c>
      <c r="H2" t="s">
        <v>21</v>
      </c>
      <c r="I2" t="s">
        <v>22</v>
      </c>
      <c r="J2" t="s">
        <v>148</v>
      </c>
      <c r="K2" t="s">
        <v>23</v>
      </c>
      <c r="L2">
        <v>415</v>
      </c>
      <c r="M2" s="4">
        <v>6.3162890000000003</v>
      </c>
      <c r="N2" s="4">
        <v>230.06110401850631</v>
      </c>
      <c r="O2" s="4">
        <v>-7.7390488127199323E-3</v>
      </c>
      <c r="P2" s="1" t="str">
        <f>HYPERLINK(".\sm_car_251116_2258\sm_car_251116_2258_001_Ca000TrN_MaWOT_DrSt_ode23t.png","figure")</f>
        <v>figure</v>
      </c>
      <c r="Q2" t="s">
        <v>15</v>
      </c>
      <c r="S2" s="2" t="s">
        <v>116</v>
      </c>
      <c r="W2" s="4">
        <f>M2-'2022a_251026_2256'!M2</f>
        <v>-0.85401419999999995</v>
      </c>
    </row>
    <row r="3" spans="1:23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188</v>
      </c>
      <c r="H3" t="s">
        <v>21</v>
      </c>
      <c r="I3" t="s">
        <v>24</v>
      </c>
      <c r="J3" t="s">
        <v>148</v>
      </c>
      <c r="K3" t="s">
        <v>23</v>
      </c>
      <c r="L3">
        <v>518</v>
      </c>
      <c r="M3" s="4">
        <v>7.8437229999999998</v>
      </c>
      <c r="N3" s="4">
        <v>70.867045635634994</v>
      </c>
      <c r="O3" s="4">
        <v>-0.53370171597824634</v>
      </c>
      <c r="P3" s="1" t="str">
        <f>HYPERLINK(".\sm_car_251116_2258\sm_car_251116_2258_002_Ca000TrN_MaLSS_DrSt_ode23t.png","figure")</f>
        <v>figure</v>
      </c>
      <c r="Q3" t="s">
        <v>15</v>
      </c>
      <c r="S3" s="2" t="s">
        <v>117</v>
      </c>
      <c r="W3" s="4">
        <f>M3-'2022a_251026_2256'!M3</f>
        <v>0.2604514</v>
      </c>
    </row>
    <row r="4" spans="1:23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188</v>
      </c>
      <c r="H4" t="s">
        <v>21</v>
      </c>
      <c r="I4" t="s">
        <v>22</v>
      </c>
      <c r="J4" t="s">
        <v>148</v>
      </c>
      <c r="K4" t="s">
        <v>23</v>
      </c>
      <c r="L4">
        <v>410</v>
      </c>
      <c r="M4" s="4">
        <v>7.1392987000000003</v>
      </c>
      <c r="N4" s="4">
        <v>228.77428506320737</v>
      </c>
      <c r="O4" s="4">
        <v>-1.9777422833945978E-2</v>
      </c>
      <c r="P4" s="1" t="str">
        <f>HYPERLINK(".\sm_car_251116_2258\sm_car_251116_2258_003_Ca001TrN_MaWOT_DrSt_ode23t.png","figure")</f>
        <v>figure</v>
      </c>
      <c r="Q4" t="s">
        <v>15</v>
      </c>
      <c r="S4" s="2" t="s">
        <v>164</v>
      </c>
      <c r="W4" s="4">
        <f>M4-'2022a_251026_2256'!M4</f>
        <v>-0.97364569999999961</v>
      </c>
    </row>
    <row r="5" spans="1:23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188</v>
      </c>
      <c r="H5" t="s">
        <v>21</v>
      </c>
      <c r="I5" t="s">
        <v>24</v>
      </c>
      <c r="J5" t="s">
        <v>148</v>
      </c>
      <c r="K5" t="s">
        <v>23</v>
      </c>
      <c r="L5">
        <v>528</v>
      </c>
      <c r="M5" s="4">
        <v>8.3815810000000006</v>
      </c>
      <c r="N5" s="4">
        <v>70.586466470151947</v>
      </c>
      <c r="O5" s="4">
        <v>-0.53087055111701098</v>
      </c>
      <c r="P5" s="1" t="str">
        <f>HYPERLINK(".\sm_car_251116_2258\sm_car_251116_2258_004_Ca001TrN_MaLSS_DrSt_ode23t.png","figure")</f>
        <v>figure</v>
      </c>
      <c r="Q5" t="s">
        <v>15</v>
      </c>
      <c r="S5" t="s">
        <v>190</v>
      </c>
      <c r="W5" s="4">
        <f>M5-'2022a_251026_2256'!M5</f>
        <v>-0.80708999999999875</v>
      </c>
    </row>
    <row r="6" spans="1:23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188</v>
      </c>
      <c r="H6" t="s">
        <v>21</v>
      </c>
      <c r="I6" t="s">
        <v>22</v>
      </c>
      <c r="J6" t="s">
        <v>148</v>
      </c>
      <c r="K6" t="s">
        <v>23</v>
      </c>
      <c r="L6">
        <v>439</v>
      </c>
      <c r="M6" s="4">
        <v>11.225181299999999</v>
      </c>
      <c r="N6" s="4">
        <v>228.93402025770467</v>
      </c>
      <c r="O6" s="4">
        <v>5.6920897343149569E-2</v>
      </c>
      <c r="P6" s="1" t="str">
        <f>HYPERLINK(".\sm_car_251116_2258\sm_car_251116_2258_005_Ca002TrN_MaWOT_DrSt_ode23t.png","figure")</f>
        <v>figure</v>
      </c>
      <c r="Q6" t="s">
        <v>15</v>
      </c>
      <c r="W6" s="4">
        <f>M6-'2022a_251026_2256'!M6</f>
        <v>-0.50393810000000094</v>
      </c>
    </row>
    <row r="7" spans="1:23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188</v>
      </c>
      <c r="H7" t="s">
        <v>21</v>
      </c>
      <c r="I7" t="s">
        <v>24</v>
      </c>
      <c r="J7" t="s">
        <v>148</v>
      </c>
      <c r="K7" t="s">
        <v>23</v>
      </c>
      <c r="L7">
        <v>532</v>
      </c>
      <c r="M7" s="4">
        <v>10.966702</v>
      </c>
      <c r="N7" s="4">
        <v>70.588788888565816</v>
      </c>
      <c r="O7" s="4">
        <v>-0.52471149581115906</v>
      </c>
      <c r="P7" s="1" t="str">
        <f>HYPERLINK(".\sm_car_251116_2258\sm_car_251116_2258_006_Ca002TrN_MaLSS_DrSt_ode23t.png","figure")</f>
        <v>figure</v>
      </c>
      <c r="Q7" t="s">
        <v>15</v>
      </c>
      <c r="W7" s="4">
        <f>M7-'2022a_251026_2256'!M7</f>
        <v>-1.0749942000000008</v>
      </c>
    </row>
    <row r="8" spans="1:23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188</v>
      </c>
      <c r="H8" t="s">
        <v>21</v>
      </c>
      <c r="I8" t="s">
        <v>22</v>
      </c>
      <c r="J8" t="s">
        <v>148</v>
      </c>
      <c r="K8" t="s">
        <v>23</v>
      </c>
      <c r="L8">
        <v>472</v>
      </c>
      <c r="M8" s="4">
        <v>11.048163000000001</v>
      </c>
      <c r="N8" s="4">
        <v>228.54310365413795</v>
      </c>
      <c r="O8" s="4">
        <v>4.704235494030732E-2</v>
      </c>
      <c r="P8" s="1" t="str">
        <f>HYPERLINK(".\sm_car_251116_2258\sm_car_251116_2258_007_Ca003TrN_MaWOT_DrSt_ode23t.png","figure")</f>
        <v>figure</v>
      </c>
      <c r="Q8" t="s">
        <v>15</v>
      </c>
      <c r="W8" s="4">
        <f>M8-'2022a_251026_2256'!M8</f>
        <v>-1.6614281000000002</v>
      </c>
    </row>
    <row r="9" spans="1:23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188</v>
      </c>
      <c r="H9" t="s">
        <v>21</v>
      </c>
      <c r="I9" t="s">
        <v>24</v>
      </c>
      <c r="J9" t="s">
        <v>148</v>
      </c>
      <c r="K9" t="s">
        <v>23</v>
      </c>
      <c r="L9">
        <v>554</v>
      </c>
      <c r="M9" s="4">
        <v>11.389484299999999</v>
      </c>
      <c r="N9" s="4">
        <v>70.450780285840978</v>
      </c>
      <c r="O9" s="4">
        <v>-0.51956463908084738</v>
      </c>
      <c r="P9" s="1" t="str">
        <f>HYPERLINK(".\sm_car_251116_2258\sm_car_251116_2258_008_Ca003TrN_MaLSS_DrSt_ode23t.png","figure")</f>
        <v>figure</v>
      </c>
      <c r="Q9" t="s">
        <v>15</v>
      </c>
      <c r="W9" s="4">
        <f>M9-'2022a_251026_2256'!M9</f>
        <v>-3.5718581</v>
      </c>
    </row>
    <row r="10" spans="1:23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188</v>
      </c>
      <c r="H10" t="s">
        <v>21</v>
      </c>
      <c r="I10" t="s">
        <v>22</v>
      </c>
      <c r="J10" t="s">
        <v>148</v>
      </c>
      <c r="K10" t="s">
        <v>23</v>
      </c>
      <c r="L10">
        <v>1109</v>
      </c>
      <c r="M10" s="4">
        <v>10.4833757</v>
      </c>
      <c r="N10" s="4">
        <v>230.10462016195655</v>
      </c>
      <c r="O10" s="4">
        <v>-8.093147685615254E-3</v>
      </c>
      <c r="P10" s="1" t="str">
        <f>HYPERLINK(".\sm_car_251116_2258\sm_car_251116_2258_009_Ca004TrN_MaWOT_DrSt_ode23t.png","figure")</f>
        <v>figure</v>
      </c>
      <c r="Q10" t="s">
        <v>15</v>
      </c>
      <c r="W10" s="4">
        <f>M10-'2022a_251026_2256'!M10</f>
        <v>-2.4666917000000002</v>
      </c>
    </row>
    <row r="11" spans="1:23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188</v>
      </c>
      <c r="H11" t="s">
        <v>21</v>
      </c>
      <c r="I11" t="s">
        <v>24</v>
      </c>
      <c r="J11" t="s">
        <v>148</v>
      </c>
      <c r="K11" t="s">
        <v>23</v>
      </c>
      <c r="L11">
        <v>1235</v>
      </c>
      <c r="M11" s="4">
        <v>12.0976596</v>
      </c>
      <c r="N11" s="4">
        <v>70.878885401069837</v>
      </c>
      <c r="O11" s="4">
        <v>-0.53647311138677611</v>
      </c>
      <c r="P11" s="1" t="str">
        <f>HYPERLINK(".\sm_car_251116_2258\sm_car_251116_2258_010_Ca004TrN_MaLSS_DrSt_ode23t.png","figure")</f>
        <v>figure</v>
      </c>
      <c r="Q11" t="s">
        <v>15</v>
      </c>
      <c r="W11" s="4">
        <f>M11-'2022a_251026_2256'!M11</f>
        <v>-1.8755021000000003</v>
      </c>
    </row>
    <row r="12" spans="1:23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188</v>
      </c>
      <c r="H12" t="s">
        <v>21</v>
      </c>
      <c r="I12" t="s">
        <v>22</v>
      </c>
      <c r="J12" t="s">
        <v>148</v>
      </c>
      <c r="K12" t="s">
        <v>23</v>
      </c>
      <c r="L12">
        <v>1087</v>
      </c>
      <c r="M12" s="4">
        <v>11.7219924</v>
      </c>
      <c r="N12" s="4">
        <v>229.06609425795125</v>
      </c>
      <c r="O12" s="4">
        <v>-1.7284026526695306E-2</v>
      </c>
      <c r="P12" s="1" t="str">
        <f>HYPERLINK(".\sm_car_251116_2258\sm_car_251116_2258_011_Ca005TrN_MaWOT_DrSt_ode23t.png","figure")</f>
        <v>figure</v>
      </c>
      <c r="Q12" t="s">
        <v>15</v>
      </c>
      <c r="W12" s="4">
        <f>M12-'2022a_251026_2256'!M12</f>
        <v>-1.5290293000000013</v>
      </c>
    </row>
    <row r="13" spans="1:23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188</v>
      </c>
      <c r="H13" t="s">
        <v>21</v>
      </c>
      <c r="I13" t="s">
        <v>24</v>
      </c>
      <c r="J13" t="s">
        <v>148</v>
      </c>
      <c r="K13" t="s">
        <v>23</v>
      </c>
      <c r="L13">
        <v>1227</v>
      </c>
      <c r="M13" s="4">
        <v>12.6218044</v>
      </c>
      <c r="N13" s="4">
        <v>70.595644045533476</v>
      </c>
      <c r="O13" s="4">
        <v>-0.53019226207293912</v>
      </c>
      <c r="P13" s="1" t="str">
        <f>HYPERLINK(".\sm_car_251116_2258\sm_car_251116_2258_012_Ca005TrN_MaLSS_DrSt_ode23t.png","figure")</f>
        <v>figure</v>
      </c>
      <c r="Q13" t="s">
        <v>15</v>
      </c>
      <c r="W13" s="4">
        <f>M13-'2022a_251026_2256'!M13</f>
        <v>-1.5289556999999991</v>
      </c>
    </row>
    <row r="14" spans="1:23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188</v>
      </c>
      <c r="H14" t="s">
        <v>21</v>
      </c>
      <c r="I14" t="s">
        <v>22</v>
      </c>
      <c r="J14" t="s">
        <v>148</v>
      </c>
      <c r="K14" t="s">
        <v>23</v>
      </c>
      <c r="L14">
        <v>1224</v>
      </c>
      <c r="M14" s="4">
        <v>15.369141300000001</v>
      </c>
      <c r="N14" s="4">
        <v>229.11758298274381</v>
      </c>
      <c r="O14" s="4">
        <v>4.9145361772143667E-2</v>
      </c>
      <c r="P14" s="1" t="str">
        <f>HYPERLINK(".\sm_car_251116_2258\sm_car_251116_2258_013_Ca006TrN_MaWOT_DrSt_ode23t.png","figure")</f>
        <v>figure</v>
      </c>
      <c r="Q14" t="s">
        <v>15</v>
      </c>
      <c r="W14" s="4">
        <f>M14-'2022a_251026_2256'!M14</f>
        <v>-2.9053689000000009</v>
      </c>
    </row>
    <row r="15" spans="1:23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188</v>
      </c>
      <c r="H15" t="s">
        <v>21</v>
      </c>
      <c r="I15" t="s">
        <v>24</v>
      </c>
      <c r="J15" t="s">
        <v>148</v>
      </c>
      <c r="K15" t="s">
        <v>23</v>
      </c>
      <c r="L15">
        <v>1287</v>
      </c>
      <c r="M15" s="4">
        <v>16.396109800000001</v>
      </c>
      <c r="N15" s="4">
        <v>70.596391206591534</v>
      </c>
      <c r="O15" s="4">
        <v>-0.52558803119192132</v>
      </c>
      <c r="P15" s="1" t="str">
        <f>HYPERLINK(".\sm_car_251116_2258\sm_car_251116_2258_014_Ca006TrN_MaLSS_DrSt_ode23t.png","figure")</f>
        <v>figure</v>
      </c>
      <c r="Q15" t="s">
        <v>15</v>
      </c>
      <c r="W15" s="4">
        <f>M15-'2022a_251026_2256'!M15</f>
        <v>-1.1521913999999995</v>
      </c>
    </row>
    <row r="16" spans="1:23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188</v>
      </c>
      <c r="H16" t="s">
        <v>21</v>
      </c>
      <c r="I16" t="s">
        <v>22</v>
      </c>
      <c r="J16" t="s">
        <v>148</v>
      </c>
      <c r="K16" t="s">
        <v>23</v>
      </c>
      <c r="L16">
        <v>1221</v>
      </c>
      <c r="M16" s="4">
        <v>20.626163200000001</v>
      </c>
      <c r="N16" s="4">
        <v>228.62754676822274</v>
      </c>
      <c r="O16" s="4">
        <v>5.147924498758661E-2</v>
      </c>
      <c r="P16" s="1" t="str">
        <f>HYPERLINK(".\sm_car_251116_2258\sm_car_251116_2258_015_Ca007TrN_MaWOT_DrSt_ode23t.png","figure")</f>
        <v>figure</v>
      </c>
      <c r="Q16" t="s">
        <v>15</v>
      </c>
      <c r="W16" s="4">
        <f>M16-'2022a_251026_2256'!M16</f>
        <v>0.68626910000000052</v>
      </c>
    </row>
    <row r="17" spans="1:23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188</v>
      </c>
      <c r="H17" t="s">
        <v>21</v>
      </c>
      <c r="I17" t="s">
        <v>24</v>
      </c>
      <c r="J17" t="s">
        <v>148</v>
      </c>
      <c r="K17" t="s">
        <v>23</v>
      </c>
      <c r="L17">
        <v>1277</v>
      </c>
      <c r="M17" s="4">
        <v>17.944033399999999</v>
      </c>
      <c r="N17" s="4">
        <v>70.463131375285599</v>
      </c>
      <c r="O17" s="4">
        <v>-0.52348046337971199</v>
      </c>
      <c r="P17" s="1" t="str">
        <f>HYPERLINK(".\sm_car_251116_2258\sm_car_251116_2258_016_Ca007TrN_MaLSS_DrSt_ode23t.png","figure")</f>
        <v>figure</v>
      </c>
      <c r="Q17" t="s">
        <v>15</v>
      </c>
      <c r="W17" s="4">
        <f>M17-'2022a_251026_2256'!M17</f>
        <v>1.4584516999999977</v>
      </c>
    </row>
    <row r="18" spans="1:23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188</v>
      </c>
      <c r="H18" t="s">
        <v>21</v>
      </c>
      <c r="I18" t="s">
        <v>22</v>
      </c>
      <c r="J18" t="s">
        <v>148</v>
      </c>
      <c r="K18" t="s">
        <v>23</v>
      </c>
      <c r="L18">
        <v>426</v>
      </c>
      <c r="M18" s="4">
        <v>6.4292524999999996</v>
      </c>
      <c r="N18" s="4">
        <v>230.68439542009924</v>
      </c>
      <c r="O18" s="4">
        <v>-7.6640821119501587E-2</v>
      </c>
      <c r="P18" s="1" t="str">
        <f>HYPERLINK(".\sm_car_251116_2258\sm_car_251116_2258_017_Ca016TrN_MaWOT_DrSt_ode23t.png","figure")</f>
        <v>figure</v>
      </c>
      <c r="Q18" t="s">
        <v>15</v>
      </c>
      <c r="W18" s="4">
        <f>M18-'2022a_251026_2256'!M18</f>
        <v>0.14889109999999928</v>
      </c>
    </row>
    <row r="19" spans="1:23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188</v>
      </c>
      <c r="H19" t="s">
        <v>21</v>
      </c>
      <c r="I19" t="s">
        <v>24</v>
      </c>
      <c r="J19" t="s">
        <v>148</v>
      </c>
      <c r="K19" t="s">
        <v>23</v>
      </c>
      <c r="L19">
        <v>497</v>
      </c>
      <c r="M19" s="4">
        <v>5.8558922000000004</v>
      </c>
      <c r="N19" s="4">
        <v>71.140415761923705</v>
      </c>
      <c r="O19" s="4">
        <v>-2.1722636958163385E-2</v>
      </c>
      <c r="P19" s="1" t="str">
        <f>HYPERLINK(".\sm_car_251116_2258\sm_car_251116_2258_018_Ca016TrN_MaLSS_DrSt_ode23t.png","figure")</f>
        <v>figure</v>
      </c>
      <c r="Q19" t="s">
        <v>15</v>
      </c>
      <c r="W19" s="4">
        <f>M19-'2022a_251026_2256'!M19</f>
        <v>-0.69067299999999943</v>
      </c>
    </row>
    <row r="20" spans="1:23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188</v>
      </c>
      <c r="H20" t="s">
        <v>21</v>
      </c>
      <c r="I20" t="s">
        <v>22</v>
      </c>
      <c r="J20" t="s">
        <v>148</v>
      </c>
      <c r="K20" t="s">
        <v>23</v>
      </c>
      <c r="L20">
        <v>417</v>
      </c>
      <c r="M20" s="4">
        <v>7.5064311000000004</v>
      </c>
      <c r="N20" s="4">
        <v>229.99843320463484</v>
      </c>
      <c r="O20" s="4">
        <v>3.2226905071039896E-2</v>
      </c>
      <c r="P20" s="1" t="str">
        <f>HYPERLINK(".\sm_car_251116_2258\sm_car_251116_2258_019_Ca032TrN_MaWOT_DrSt_ode23t.png","figure")</f>
        <v>figure</v>
      </c>
      <c r="Q20" t="s">
        <v>15</v>
      </c>
      <c r="W20" s="4">
        <f>M20-'2022a_251026_2256'!M20</f>
        <v>-0.93766789999999922</v>
      </c>
    </row>
    <row r="21" spans="1:23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188</v>
      </c>
      <c r="H21" t="s">
        <v>21</v>
      </c>
      <c r="I21" t="s">
        <v>24</v>
      </c>
      <c r="J21" t="s">
        <v>148</v>
      </c>
      <c r="K21" t="s">
        <v>23</v>
      </c>
      <c r="L21">
        <v>520</v>
      </c>
      <c r="M21" s="4">
        <v>7.9174376000000004</v>
      </c>
      <c r="N21" s="4">
        <v>70.887713259785215</v>
      </c>
      <c r="O21" s="4">
        <v>-0.51627078539884252</v>
      </c>
      <c r="P21" s="1" t="str">
        <f>HYPERLINK(".\sm_car_251116_2258\sm_car_251116_2258_020_Ca032TrN_MaLSS_DrSt_ode23t.png","figure")</f>
        <v>figure</v>
      </c>
      <c r="Q21" t="s">
        <v>15</v>
      </c>
      <c r="W21" s="4">
        <f>M21-'2022a_251026_2256'!M21</f>
        <v>-1.2325566999999991</v>
      </c>
    </row>
    <row r="22" spans="1:23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188</v>
      </c>
      <c r="H22" t="s">
        <v>21</v>
      </c>
      <c r="I22" t="s">
        <v>22</v>
      </c>
      <c r="J22" t="s">
        <v>148</v>
      </c>
      <c r="K22" t="s">
        <v>23</v>
      </c>
      <c r="L22">
        <v>415</v>
      </c>
      <c r="M22" s="4">
        <v>7.7213497999999996</v>
      </c>
      <c r="N22" s="4">
        <v>230.02652145202666</v>
      </c>
      <c r="O22" s="4">
        <v>-2.0186740564017418E-2</v>
      </c>
      <c r="P22" s="1" t="str">
        <f>HYPERLINK(".\sm_car_251116_2258\sm_car_251116_2258_021_Ca048TrN_MaWOT_DrSt_ode23t.png","figure")</f>
        <v>figure</v>
      </c>
      <c r="Q22" t="s">
        <v>15</v>
      </c>
      <c r="W22" s="4">
        <f>M22-'2022a_251026_2256'!M22</f>
        <v>-0.64813800000000032</v>
      </c>
    </row>
    <row r="23" spans="1:23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188</v>
      </c>
      <c r="H23" t="s">
        <v>21</v>
      </c>
      <c r="I23" t="s">
        <v>24</v>
      </c>
      <c r="J23" t="s">
        <v>148</v>
      </c>
      <c r="K23" t="s">
        <v>23</v>
      </c>
      <c r="L23">
        <v>542</v>
      </c>
      <c r="M23" s="4">
        <v>8.8397146000000006</v>
      </c>
      <c r="N23" s="4">
        <v>70.879905994443504</v>
      </c>
      <c r="O23" s="4">
        <v>-0.52555182070837725</v>
      </c>
      <c r="P23" s="1" t="str">
        <f>HYPERLINK(".\sm_car_251116_2258\sm_car_251116_2258_022_Ca048TrN_MaLSS_DrSt_ode23t.png","figure")</f>
        <v>figure</v>
      </c>
      <c r="Q23" t="s">
        <v>15</v>
      </c>
      <c r="W23" s="4">
        <f>M23-'2022a_251026_2256'!M23</f>
        <v>-0.48206809999999933</v>
      </c>
    </row>
    <row r="24" spans="1:23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188</v>
      </c>
      <c r="H24" t="s">
        <v>21</v>
      </c>
      <c r="I24" t="s">
        <v>22</v>
      </c>
      <c r="J24" t="s">
        <v>148</v>
      </c>
      <c r="K24" t="s">
        <v>23</v>
      </c>
      <c r="L24">
        <v>406</v>
      </c>
      <c r="M24" s="4">
        <v>8.4084333999999998</v>
      </c>
      <c r="N24" s="4">
        <v>230.20418825486104</v>
      </c>
      <c r="O24" s="4">
        <v>7.1719658950238144E-3</v>
      </c>
      <c r="P24" s="1" t="str">
        <f>HYPERLINK(".\sm_car_251116_2258\sm_car_251116_2258_023_Ca064TrN_MaWOT_DrSt_ode23t.png","figure")</f>
        <v>figure</v>
      </c>
      <c r="Q24" t="s">
        <v>15</v>
      </c>
      <c r="W24" s="4">
        <f>M24-'2022a_251026_2256'!M24</f>
        <v>-0.37923029999999969</v>
      </c>
    </row>
    <row r="25" spans="1:23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188</v>
      </c>
      <c r="H25" t="s">
        <v>21</v>
      </c>
      <c r="I25" t="s">
        <v>24</v>
      </c>
      <c r="J25" t="s">
        <v>148</v>
      </c>
      <c r="K25" t="s">
        <v>23</v>
      </c>
      <c r="L25">
        <v>511</v>
      </c>
      <c r="M25" s="4">
        <v>8.4174161999999999</v>
      </c>
      <c r="N25" s="4">
        <v>70.899515165016282</v>
      </c>
      <c r="O25" s="4">
        <v>-0.51134468671030042</v>
      </c>
      <c r="P25" s="1" t="str">
        <f>HYPERLINK(".\sm_car_251116_2258\sm_car_251116_2258_024_Ca064TrN_MaLSS_DrSt_ode23t.png","figure")</f>
        <v>figure</v>
      </c>
      <c r="Q25" t="s">
        <v>15</v>
      </c>
      <c r="W25" s="4">
        <f>M25-'2022a_251026_2256'!M25</f>
        <v>0.1128619999999998</v>
      </c>
    </row>
    <row r="26" spans="1:23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188</v>
      </c>
      <c r="H26" t="s">
        <v>21</v>
      </c>
      <c r="I26" t="s">
        <v>22</v>
      </c>
      <c r="J26" t="s">
        <v>148</v>
      </c>
      <c r="K26" t="s">
        <v>23</v>
      </c>
      <c r="L26">
        <v>420</v>
      </c>
      <c r="M26" s="4">
        <v>8.9458421000000001</v>
      </c>
      <c r="N26" s="4">
        <v>230.12134023461186</v>
      </c>
      <c r="O26" s="4">
        <v>-2.4421235909832032E-2</v>
      </c>
      <c r="P26" s="1" t="str">
        <f>HYPERLINK(".\sm_car_251116_2258\sm_car_251116_2258_025_Ca080TrN_MaWOT_DrSt_ode23t.png","figure")</f>
        <v>figure</v>
      </c>
      <c r="Q26" t="s">
        <v>15</v>
      </c>
      <c r="W26" s="4">
        <f>M26-'2022a_251026_2256'!M26</f>
        <v>0.20951849999999972</v>
      </c>
    </row>
    <row r="27" spans="1:23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188</v>
      </c>
      <c r="H27" t="s">
        <v>21</v>
      </c>
      <c r="I27" t="s">
        <v>24</v>
      </c>
      <c r="J27" t="s">
        <v>148</v>
      </c>
      <c r="K27" t="s">
        <v>23</v>
      </c>
      <c r="L27">
        <v>518</v>
      </c>
      <c r="M27" s="4">
        <v>9.0794777999999994</v>
      </c>
      <c r="N27" s="4">
        <v>70.870706382377591</v>
      </c>
      <c r="O27" s="4">
        <v>-0.51777564224164296</v>
      </c>
      <c r="P27" s="1" t="str">
        <f>HYPERLINK(".\sm_car_251116_2258\sm_car_251116_2258_026_Ca080TrN_MaLSS_DrSt_ode23t.png","figure")</f>
        <v>figure</v>
      </c>
      <c r="Q27" t="s">
        <v>15</v>
      </c>
      <c r="W27" s="4">
        <f>M27-'2022a_251026_2256'!M27</f>
        <v>0.56420729999999963</v>
      </c>
    </row>
    <row r="28" spans="1:23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188</v>
      </c>
      <c r="H28" t="s">
        <v>21</v>
      </c>
      <c r="I28" t="s">
        <v>22</v>
      </c>
      <c r="J28" t="s">
        <v>148</v>
      </c>
      <c r="K28" t="s">
        <v>23</v>
      </c>
      <c r="L28">
        <v>417</v>
      </c>
      <c r="M28" s="4">
        <v>6.4876354999999997</v>
      </c>
      <c r="N28" s="4">
        <v>231.7985002108002</v>
      </c>
      <c r="O28" s="4">
        <v>1.6875847262352944E-2</v>
      </c>
      <c r="P28" s="1" t="str">
        <f>HYPERLINK(".\sm_car_251116_2258\sm_car_251116_2258_027_Ca096TrN_MaWOT_DrSt_ode23t.png","figure")</f>
        <v>figure</v>
      </c>
      <c r="Q28" t="s">
        <v>15</v>
      </c>
      <c r="W28" s="4">
        <f>M28-'2022a_251026_2256'!M28</f>
        <v>-0.30802590000000052</v>
      </c>
    </row>
    <row r="29" spans="1:23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188</v>
      </c>
      <c r="H29" t="s">
        <v>21</v>
      </c>
      <c r="I29" t="s">
        <v>24</v>
      </c>
      <c r="J29" t="s">
        <v>148</v>
      </c>
      <c r="K29" t="s">
        <v>23</v>
      </c>
      <c r="L29">
        <v>514</v>
      </c>
      <c r="M29" s="4">
        <v>6.7436096000000001</v>
      </c>
      <c r="N29" s="4">
        <v>71.375005676338304</v>
      </c>
      <c r="O29" s="4">
        <v>-0.52112412540679565</v>
      </c>
      <c r="P29" s="1" t="str">
        <f>HYPERLINK(".\sm_car_251116_2258\sm_car_251116_2258_028_Ca096TrN_MaLSS_DrSt_ode23t.png","figure")</f>
        <v>figure</v>
      </c>
      <c r="Q29" t="s">
        <v>15</v>
      </c>
      <c r="W29" s="4">
        <f>M29-'2022a_251026_2256'!M29</f>
        <v>-2.290800000000015E-2</v>
      </c>
    </row>
    <row r="30" spans="1:23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188</v>
      </c>
      <c r="H30" t="s">
        <v>21</v>
      </c>
      <c r="I30" t="s">
        <v>22</v>
      </c>
      <c r="J30" t="s">
        <v>148</v>
      </c>
      <c r="K30" t="s">
        <v>23</v>
      </c>
      <c r="L30">
        <v>365</v>
      </c>
      <c r="M30" s="4">
        <v>2.4013795</v>
      </c>
      <c r="N30" s="4">
        <v>242.64090794805801</v>
      </c>
      <c r="O30" s="4">
        <v>0.23544464733340575</v>
      </c>
      <c r="P30" s="1" t="str">
        <f>HYPERLINK(".\sm_car_251116_2258\sm_car_251116_2258_029_Ca112TrN_MaWOT_DrSt_ode23t.png","figure")</f>
        <v>figure</v>
      </c>
      <c r="Q30" t="s">
        <v>15</v>
      </c>
      <c r="W30" s="4">
        <f>M30-'2022a_251026_2256'!M30</f>
        <v>-0.4988402999999999</v>
      </c>
    </row>
    <row r="31" spans="1:23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188</v>
      </c>
      <c r="H31" t="s">
        <v>21</v>
      </c>
      <c r="I31" t="s">
        <v>24</v>
      </c>
      <c r="J31" t="s">
        <v>148</v>
      </c>
      <c r="K31" t="s">
        <v>23</v>
      </c>
      <c r="L31">
        <v>476</v>
      </c>
      <c r="M31" s="4">
        <v>2.726931</v>
      </c>
      <c r="N31" s="4">
        <v>74.667588393919033</v>
      </c>
      <c r="O31" s="4">
        <v>-0.33772162877955775</v>
      </c>
      <c r="P31" s="1" t="str">
        <f>HYPERLINK(".\sm_car_251116_2258\sm_car_251116_2258_030_Ca112TrN_MaLSS_DrSt_ode23t.png","figure")</f>
        <v>figure</v>
      </c>
      <c r="Q31" t="s">
        <v>15</v>
      </c>
      <c r="W31" s="4">
        <f>M31-'2022a_251026_2256'!M31</f>
        <v>-0.28188719999999989</v>
      </c>
    </row>
    <row r="32" spans="1:23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188</v>
      </c>
      <c r="H32" t="s">
        <v>21</v>
      </c>
      <c r="I32" t="s">
        <v>22</v>
      </c>
      <c r="J32" t="s">
        <v>148</v>
      </c>
      <c r="K32" t="s">
        <v>23</v>
      </c>
      <c r="L32">
        <v>367</v>
      </c>
      <c r="M32" s="4">
        <v>2.6934347000000001</v>
      </c>
      <c r="N32" s="4">
        <v>241.54505842659276</v>
      </c>
      <c r="O32" s="4">
        <v>0.23184453949807429</v>
      </c>
      <c r="P32" s="1" t="str">
        <f>HYPERLINK(".\sm_car_251116_2258\sm_car_251116_2258_031_Ca113TrN_MaWOT_DrSt_ode23t.png","figure")</f>
        <v>figure</v>
      </c>
      <c r="Q32" t="s">
        <v>15</v>
      </c>
      <c r="W32" s="4">
        <f>M32-'2022a_251026_2256'!M32</f>
        <v>-0.52215480000000003</v>
      </c>
    </row>
    <row r="33" spans="1:23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188</v>
      </c>
      <c r="H33" t="s">
        <v>21</v>
      </c>
      <c r="I33" t="s">
        <v>24</v>
      </c>
      <c r="J33" t="s">
        <v>148</v>
      </c>
      <c r="K33" t="s">
        <v>23</v>
      </c>
      <c r="L33">
        <v>467</v>
      </c>
      <c r="M33" s="4">
        <v>3.0718082999999998</v>
      </c>
      <c r="N33" s="4">
        <v>74.340358610634311</v>
      </c>
      <c r="O33" s="4">
        <v>-0.33386107964305717</v>
      </c>
      <c r="P33" s="1" t="str">
        <f>HYPERLINK(".\sm_car_251116_2258\sm_car_251116_2258_032_Ca113TrN_MaLSS_DrSt_ode23t.png","figure")</f>
        <v>figure</v>
      </c>
      <c r="Q33" t="s">
        <v>15</v>
      </c>
      <c r="W33" s="4">
        <f>M33-'2022a_251026_2256'!M33</f>
        <v>-0.1484905000000003</v>
      </c>
    </row>
    <row r="34" spans="1:23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188</v>
      </c>
      <c r="H34" t="s">
        <v>21</v>
      </c>
      <c r="I34" t="s">
        <v>22</v>
      </c>
      <c r="J34" t="s">
        <v>148</v>
      </c>
      <c r="K34" t="s">
        <v>23</v>
      </c>
      <c r="L34">
        <v>372</v>
      </c>
      <c r="M34" s="4">
        <v>3.2413365999999999</v>
      </c>
      <c r="N34" s="4">
        <v>241.6446469423573</v>
      </c>
      <c r="O34" s="4">
        <v>0.23218745247863617</v>
      </c>
      <c r="P34" s="1" t="str">
        <f>HYPERLINK(".\sm_car_251116_2258\sm_car_251116_2258_033_Ca114TrN_MaWOT_DrSt_ode23t.png","figure")</f>
        <v>figure</v>
      </c>
      <c r="Q34" t="s">
        <v>15</v>
      </c>
      <c r="W34" s="4">
        <f>M34-'2022a_251026_2256'!M34</f>
        <v>-0.22043280000000021</v>
      </c>
    </row>
    <row r="35" spans="1:23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188</v>
      </c>
      <c r="H35" t="s">
        <v>21</v>
      </c>
      <c r="I35" t="s">
        <v>24</v>
      </c>
      <c r="J35" t="s">
        <v>148</v>
      </c>
      <c r="K35" t="s">
        <v>23</v>
      </c>
      <c r="L35">
        <v>492</v>
      </c>
      <c r="M35" s="4">
        <v>3.4687692000000001</v>
      </c>
      <c r="N35" s="4">
        <v>74.360211744873126</v>
      </c>
      <c r="O35" s="4">
        <v>-0.33370776952216763</v>
      </c>
      <c r="P35" s="1" t="str">
        <f>HYPERLINK(".\sm_car_251116_2258\sm_car_251116_2258_034_Ca114TrN_MaLSS_DrSt_ode23t.png","figure")</f>
        <v>figure</v>
      </c>
      <c r="Q35" t="s">
        <v>15</v>
      </c>
      <c r="W35" s="4">
        <f>M35-'2022a_251026_2256'!M35</f>
        <v>-0.14178019999999991</v>
      </c>
    </row>
    <row r="36" spans="1:23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188</v>
      </c>
      <c r="H36" t="s">
        <v>21</v>
      </c>
      <c r="I36" t="s">
        <v>22</v>
      </c>
      <c r="J36" t="s">
        <v>148</v>
      </c>
      <c r="K36" t="s">
        <v>23</v>
      </c>
      <c r="L36">
        <v>389</v>
      </c>
      <c r="M36" s="4">
        <v>3.2577359000000001</v>
      </c>
      <c r="N36" s="4">
        <v>241.07143146060912</v>
      </c>
      <c r="O36" s="4">
        <v>0.23011237889560884</v>
      </c>
      <c r="P36" s="1" t="str">
        <f>HYPERLINK(".\sm_car_251116_2258\sm_car_251116_2258_035_Ca115TrN_MaWOT_DrSt_ode23t.png","figure")</f>
        <v>figure</v>
      </c>
      <c r="Q36" t="s">
        <v>15</v>
      </c>
      <c r="W36" s="4">
        <f>M36-'2022a_251026_2256'!M36</f>
        <v>-0.40037839999999969</v>
      </c>
    </row>
    <row r="37" spans="1:23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188</v>
      </c>
      <c r="H37" t="s">
        <v>21</v>
      </c>
      <c r="I37" t="s">
        <v>24</v>
      </c>
      <c r="J37" t="s">
        <v>148</v>
      </c>
      <c r="K37" t="s">
        <v>23</v>
      </c>
      <c r="L37">
        <v>499</v>
      </c>
      <c r="M37" s="4">
        <v>3.3393411</v>
      </c>
      <c r="N37" s="4">
        <v>74.217887416291447</v>
      </c>
      <c r="O37" s="4">
        <v>-0.33193129183089248</v>
      </c>
      <c r="P37" s="1" t="str">
        <f>HYPERLINK(".\sm_car_251116_2258\sm_car_251116_2258_036_Ca115TrN_MaLSS_DrSt_ode23t.png","figure")</f>
        <v>figure</v>
      </c>
      <c r="Q37" t="s">
        <v>15</v>
      </c>
      <c r="W37" s="4">
        <f>M37-'2022a_251026_2256'!M37</f>
        <v>-0.38078480000000026</v>
      </c>
    </row>
    <row r="38" spans="1:23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188</v>
      </c>
      <c r="H38" t="s">
        <v>21</v>
      </c>
      <c r="I38" t="s">
        <v>22</v>
      </c>
      <c r="J38" t="s">
        <v>148</v>
      </c>
      <c r="K38" t="s">
        <v>23</v>
      </c>
      <c r="L38">
        <v>916</v>
      </c>
      <c r="M38" s="4">
        <v>4.1242238000000002</v>
      </c>
      <c r="N38" s="4">
        <v>242.64549059435888</v>
      </c>
      <c r="O38" s="4">
        <v>0.236089609359078</v>
      </c>
      <c r="P38" s="1" t="str">
        <f>HYPERLINK(".\sm_car_251116_2258\sm_car_251116_2258_037_Ca116TrN_MaWOT_DrSt_ode23t.png","figure")</f>
        <v>figure</v>
      </c>
      <c r="Q38" t="s">
        <v>15</v>
      </c>
      <c r="W38" s="4">
        <f>M38-'2022a_251026_2256'!M38</f>
        <v>-0.71561079999999944</v>
      </c>
    </row>
    <row r="39" spans="1:23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188</v>
      </c>
      <c r="H39" t="s">
        <v>21</v>
      </c>
      <c r="I39" t="s">
        <v>24</v>
      </c>
      <c r="J39" t="s">
        <v>148</v>
      </c>
      <c r="K39" t="s">
        <v>23</v>
      </c>
      <c r="L39">
        <v>1051</v>
      </c>
      <c r="M39" s="4">
        <v>5.0148733999999999</v>
      </c>
      <c r="N39" s="4">
        <v>74.663070453655536</v>
      </c>
      <c r="O39" s="4">
        <v>-0.34031737401294726</v>
      </c>
      <c r="P39" s="1" t="str">
        <f>HYPERLINK(".\sm_car_251116_2258\sm_car_251116_2258_038_Ca116TrN_MaLSS_DrSt_ode23t.png","figure")</f>
        <v>figure</v>
      </c>
      <c r="Q39" t="s">
        <v>15</v>
      </c>
      <c r="W39" s="4">
        <f>M39-'2022a_251026_2256'!M39</f>
        <v>-0.52790669999999995</v>
      </c>
    </row>
    <row r="40" spans="1:23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188</v>
      </c>
      <c r="H40" t="s">
        <v>21</v>
      </c>
      <c r="I40" t="s">
        <v>22</v>
      </c>
      <c r="J40" t="s">
        <v>148</v>
      </c>
      <c r="K40" t="s">
        <v>23</v>
      </c>
      <c r="L40">
        <v>955</v>
      </c>
      <c r="M40" s="4">
        <v>4.9550535</v>
      </c>
      <c r="N40" s="4">
        <v>241.5848703404221</v>
      </c>
      <c r="O40" s="4">
        <v>0.23553735536986353</v>
      </c>
      <c r="P40" s="1" t="str">
        <f>HYPERLINK(".\sm_car_251116_2258\sm_car_251116_2258_039_Ca117TrN_MaWOT_DrSt_ode23t.png","figure")</f>
        <v>figure</v>
      </c>
      <c r="Q40" t="s">
        <v>15</v>
      </c>
      <c r="W40" s="4">
        <f>M40-'2022a_251026_2256'!M40</f>
        <v>-0.53285930000000015</v>
      </c>
    </row>
    <row r="41" spans="1:23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188</v>
      </c>
      <c r="H41" t="s">
        <v>21</v>
      </c>
      <c r="I41" t="s">
        <v>24</v>
      </c>
      <c r="J41" t="s">
        <v>148</v>
      </c>
      <c r="K41" t="s">
        <v>23</v>
      </c>
      <c r="L41">
        <v>1070</v>
      </c>
      <c r="M41" s="4">
        <v>5.7330281999999997</v>
      </c>
      <c r="N41" s="4">
        <v>74.339257262781246</v>
      </c>
      <c r="O41" s="4">
        <v>-0.3376426054111249</v>
      </c>
      <c r="P41" s="1" t="str">
        <f>HYPERLINK(".\sm_car_251116_2258\sm_car_251116_2258_040_Ca117TrN_MaLSS_DrSt_ode23t.png","figure")</f>
        <v>figure</v>
      </c>
      <c r="Q41" t="s">
        <v>15</v>
      </c>
      <c r="W41" s="4">
        <f>M41-'2022a_251026_2256'!M41</f>
        <v>-5.8465599999999895E-2</v>
      </c>
    </row>
    <row r="42" spans="1:23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188</v>
      </c>
      <c r="H42" t="s">
        <v>21</v>
      </c>
      <c r="I42" t="s">
        <v>22</v>
      </c>
      <c r="J42" t="s">
        <v>148</v>
      </c>
      <c r="K42" t="s">
        <v>23</v>
      </c>
      <c r="L42">
        <v>958</v>
      </c>
      <c r="M42" s="4">
        <v>5.2231870999999996</v>
      </c>
      <c r="N42" s="4">
        <v>241.48394046474721</v>
      </c>
      <c r="O42" s="4">
        <v>0.23145405335478506</v>
      </c>
      <c r="P42" s="1" t="str">
        <f>HYPERLINK(".\sm_car_251116_2258\sm_car_251116_2258_041_Ca118TrN_MaWOT_DrSt_ode23t.png","figure")</f>
        <v>figure</v>
      </c>
      <c r="Q42" t="s">
        <v>15</v>
      </c>
      <c r="W42" s="4">
        <f>M42-'2022a_251026_2256'!M42</f>
        <v>-1.1450173000000001</v>
      </c>
    </row>
    <row r="43" spans="1:23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188</v>
      </c>
      <c r="H43" t="s">
        <v>21</v>
      </c>
      <c r="I43" t="s">
        <v>24</v>
      </c>
      <c r="J43" t="s">
        <v>148</v>
      </c>
      <c r="K43" t="s">
        <v>23</v>
      </c>
      <c r="L43">
        <v>1075</v>
      </c>
      <c r="M43" s="4">
        <v>6.0098567000000003</v>
      </c>
      <c r="N43" s="4">
        <v>74.337072450793386</v>
      </c>
      <c r="O43" s="4">
        <v>-0.33687031955886054</v>
      </c>
      <c r="P43" s="1" t="str">
        <f>HYPERLINK(".\sm_car_251116_2258\sm_car_251116_2258_042_Ca118TrN_MaLSS_DrSt_ode23t.png","figure")</f>
        <v>figure</v>
      </c>
      <c r="Q43" t="s">
        <v>15</v>
      </c>
      <c r="W43" s="4">
        <f>M43-'2022a_251026_2256'!M43</f>
        <v>-0.33397260000000006</v>
      </c>
    </row>
    <row r="44" spans="1:23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188</v>
      </c>
      <c r="H44" t="s">
        <v>21</v>
      </c>
      <c r="I44" t="s">
        <v>22</v>
      </c>
      <c r="J44" t="s">
        <v>148</v>
      </c>
      <c r="K44" t="s">
        <v>23</v>
      </c>
      <c r="L44">
        <v>993</v>
      </c>
      <c r="M44" s="4">
        <v>5.3203718999999996</v>
      </c>
      <c r="N44" s="4">
        <v>241.08972228109897</v>
      </c>
      <c r="O44" s="4">
        <v>0.23128206344287633</v>
      </c>
      <c r="P44" s="1" t="str">
        <f>HYPERLINK(".\sm_car_251116_2258\sm_car_251116_2258_043_Ca119TrN_MaWOT_DrSt_ode23t.png","figure")</f>
        <v>figure</v>
      </c>
      <c r="Q44" t="s">
        <v>15</v>
      </c>
      <c r="W44" s="4">
        <f>M44-'2022a_251026_2256'!M44</f>
        <v>-0.6453982000000007</v>
      </c>
    </row>
    <row r="45" spans="1:23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188</v>
      </c>
      <c r="H45" t="s">
        <v>21</v>
      </c>
      <c r="I45" t="s">
        <v>24</v>
      </c>
      <c r="J45" t="s">
        <v>148</v>
      </c>
      <c r="K45" t="s">
        <v>23</v>
      </c>
      <c r="L45">
        <v>1128</v>
      </c>
      <c r="M45" s="4">
        <v>6.5763826999999999</v>
      </c>
      <c r="N45" s="4">
        <v>74.194784389335069</v>
      </c>
      <c r="O45" s="4">
        <v>-0.33360872242755052</v>
      </c>
      <c r="P45" s="1" t="str">
        <f>HYPERLINK(".\sm_car_251116_2258\sm_car_251116_2258_044_Ca119TrN_MaLSS_DrSt_ode23t.png","figure")</f>
        <v>figure</v>
      </c>
      <c r="Q45" t="s">
        <v>15</v>
      </c>
      <c r="W45" s="4">
        <f>M45-'2022a_251026_2256'!M45</f>
        <v>-6.0967100000000052E-2</v>
      </c>
    </row>
    <row r="46" spans="1:23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148</v>
      </c>
      <c r="K46" t="s">
        <v>23</v>
      </c>
      <c r="L46">
        <v>321</v>
      </c>
      <c r="M46" s="4">
        <v>6.0937524999999999</v>
      </c>
      <c r="N46" s="4">
        <v>98.918539975820963</v>
      </c>
      <c r="O46" s="4">
        <v>-1.6701988756554535E-2</v>
      </c>
      <c r="P46" s="1" t="str">
        <f>HYPERLINK(".\sm_car_251116_2258\sm_car_251116_2258_045_Ca128TrN_MaWOT_DrSt_ode23t.png","figure")</f>
        <v>figure</v>
      </c>
      <c r="Q46" t="s">
        <v>15</v>
      </c>
      <c r="W46" s="4">
        <f>M46-'2022a_251026_2256'!M46</f>
        <v>-1.4916000000004814E-3</v>
      </c>
    </row>
    <row r="47" spans="1:23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148</v>
      </c>
      <c r="K47" t="s">
        <v>23</v>
      </c>
      <c r="L47">
        <v>455</v>
      </c>
      <c r="M47" s="4">
        <v>7.2588615000000001</v>
      </c>
      <c r="N47" s="4">
        <v>36.705114013660321</v>
      </c>
      <c r="O47" s="4">
        <v>-0.12754974092840965</v>
      </c>
      <c r="P47" s="1" t="str">
        <f>HYPERLINK(".\sm_car_251116_2258\sm_car_251116_2258_046_Ca128TrN_MaLSS_DrSt_ode23t.png","figure")</f>
        <v>figure</v>
      </c>
      <c r="Q47" t="s">
        <v>15</v>
      </c>
      <c r="W47" s="4">
        <f>M47-'2022a_251026_2256'!M47</f>
        <v>0.45379090000000044</v>
      </c>
    </row>
    <row r="48" spans="1:23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148</v>
      </c>
      <c r="K48" t="s">
        <v>23</v>
      </c>
      <c r="L48">
        <v>336</v>
      </c>
      <c r="M48" s="4">
        <v>7.1575642999999998</v>
      </c>
      <c r="N48" s="4">
        <v>228.35393195992447</v>
      </c>
      <c r="O48" s="4">
        <v>5.3959076798602429E-2</v>
      </c>
      <c r="P48" s="1" t="str">
        <f>HYPERLINK(".\sm_car_251116_2258\sm_car_251116_2258_047_Ca129TrN_MaWOT_DrSt_ode23t.png","figure")</f>
        <v>figure</v>
      </c>
      <c r="Q48" t="s">
        <v>15</v>
      </c>
      <c r="W48" s="4">
        <f>M48-'2022a_251026_2256'!M48</f>
        <v>0.89524769999999965</v>
      </c>
    </row>
    <row r="49" spans="1:23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148</v>
      </c>
      <c r="K49" t="s">
        <v>23</v>
      </c>
      <c r="L49">
        <v>481</v>
      </c>
      <c r="M49" s="4">
        <v>7.7459296999999996</v>
      </c>
      <c r="N49" s="4">
        <v>70.402598331771216</v>
      </c>
      <c r="O49" s="4">
        <v>-0.52206307247038541</v>
      </c>
      <c r="P49" s="1" t="str">
        <f>HYPERLINK(".\sm_car_251116_2258\sm_car_251116_2258_048_Ca129TrN_MaLSS_DrSt_ode23t.png","figure")</f>
        <v>figure</v>
      </c>
      <c r="Q49" t="s">
        <v>15</v>
      </c>
      <c r="W49" s="4">
        <f>M49-'2022a_251026_2256'!M49</f>
        <v>-0.21805800000000009</v>
      </c>
    </row>
    <row r="50" spans="1:23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148</v>
      </c>
      <c r="K50" t="s">
        <v>23</v>
      </c>
      <c r="L50">
        <v>793</v>
      </c>
      <c r="M50" s="4">
        <v>22.8301038</v>
      </c>
      <c r="N50" s="4">
        <v>215.46708702121191</v>
      </c>
      <c r="O50" s="4">
        <v>-1.5893520343721217</v>
      </c>
      <c r="P50" s="1" t="str">
        <f>HYPERLINK(".\sm_car_251116_2258\sm_car_251116_2258_049_Ca130TrN_MaWOT_DrSt_ode23t.png","figure")</f>
        <v>figure</v>
      </c>
      <c r="Q50" t="s">
        <v>15</v>
      </c>
      <c r="W50" s="4">
        <f>M50-'2022a_251026_2256'!M50</f>
        <v>1.9479605000000006</v>
      </c>
    </row>
    <row r="51" spans="1:23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148</v>
      </c>
      <c r="K51" t="s">
        <v>23</v>
      </c>
      <c r="L51">
        <v>759</v>
      </c>
      <c r="M51" s="4">
        <v>19.6338352</v>
      </c>
      <c r="N51" s="4">
        <v>68.402844217850088</v>
      </c>
      <c r="O51" s="4">
        <v>-0.54009809441192047</v>
      </c>
      <c r="P51" s="1" t="str">
        <f>HYPERLINK(".\sm_car_251116_2258\sm_car_251116_2258_050_Ca130TrN_MaLSS_DrSt_ode23t.png","figure")</f>
        <v>figure</v>
      </c>
      <c r="Q51" t="s">
        <v>15</v>
      </c>
      <c r="W51" s="4">
        <f>M51-'2022a_251026_2256'!M51</f>
        <v>1.2544140000000006</v>
      </c>
    </row>
    <row r="52" spans="1:23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148</v>
      </c>
      <c r="K52" t="s">
        <v>23</v>
      </c>
      <c r="L52">
        <v>371</v>
      </c>
      <c r="M52" s="4">
        <v>4.7129038999999997</v>
      </c>
      <c r="N52" s="4">
        <v>229.17712449125187</v>
      </c>
      <c r="O52" s="4">
        <v>-4.6544069045343556E-2</v>
      </c>
      <c r="P52" s="1" t="str">
        <f>HYPERLINK(".\sm_car_251116_2258\sm_car_251116_2258_051_Ca131TrN_MaWOT_DrSt_ode23t.png","figure")</f>
        <v>figure</v>
      </c>
      <c r="Q52" t="s">
        <v>15</v>
      </c>
      <c r="W52" s="4">
        <f>M52-'2022a_251026_2256'!M52</f>
        <v>2.5800999999999519E-2</v>
      </c>
    </row>
    <row r="53" spans="1:23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148</v>
      </c>
      <c r="K53" t="s">
        <v>23</v>
      </c>
      <c r="L53">
        <v>496</v>
      </c>
      <c r="M53" s="4">
        <v>5.7297468</v>
      </c>
      <c r="N53" s="4">
        <v>70.601598403849664</v>
      </c>
      <c r="O53" s="4">
        <v>-0.52626048358629474</v>
      </c>
      <c r="P53" s="1" t="str">
        <f>HYPERLINK(".\sm_car_251116_2258\sm_car_251116_2258_052_Ca131TrN_MaLSS_DrSt_ode23t.png","figure")</f>
        <v>figure</v>
      </c>
      <c r="Q53" t="s">
        <v>15</v>
      </c>
      <c r="W53" s="4">
        <f>M53-'2022a_251026_2256'!M53</f>
        <v>0.36753310000000017</v>
      </c>
    </row>
    <row r="54" spans="1:23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148</v>
      </c>
      <c r="K54" t="s">
        <v>23</v>
      </c>
      <c r="L54">
        <v>352</v>
      </c>
      <c r="M54" s="4">
        <v>4.7973182000000003</v>
      </c>
      <c r="N54" s="4">
        <v>229.21116541638659</v>
      </c>
      <c r="O54" s="4">
        <v>-1.2054538546592329E-2</v>
      </c>
      <c r="P54" s="1" t="str">
        <f>HYPERLINK(".\sm_car_251116_2258\sm_car_251116_2258_053_Ca132TrN_MaWOT_DrSt_ode23t.png","figure")</f>
        <v>figure</v>
      </c>
      <c r="Q54" t="s">
        <v>15</v>
      </c>
      <c r="W54" s="4">
        <f>M54-'2022a_251026_2256'!M54</f>
        <v>0.58123609999999992</v>
      </c>
    </row>
    <row r="55" spans="1:23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148</v>
      </c>
      <c r="K55" t="s">
        <v>23</v>
      </c>
      <c r="L55">
        <v>487</v>
      </c>
      <c r="M55" s="4">
        <v>5.6365565999999996</v>
      </c>
      <c r="N55" s="4">
        <v>70.622038448231962</v>
      </c>
      <c r="O55" s="4">
        <v>-0.52745665715290146</v>
      </c>
      <c r="P55" s="1" t="str">
        <f>HYPERLINK(".\sm_car_251116_2258\sm_car_251116_2258_054_Ca132TrN_MaLSS_DrSt_ode23t.png","figure")</f>
        <v>figure</v>
      </c>
      <c r="Q55" t="s">
        <v>15</v>
      </c>
      <c r="W55" s="4">
        <f>M55-'2022a_251026_2256'!M55</f>
        <v>0.77360679999999959</v>
      </c>
    </row>
    <row r="56" spans="1:23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148</v>
      </c>
      <c r="K56" t="s">
        <v>23</v>
      </c>
      <c r="L56">
        <v>366</v>
      </c>
      <c r="M56" s="4">
        <v>4.8404642000000004</v>
      </c>
      <c r="N56" s="4">
        <v>229.07987265446846</v>
      </c>
      <c r="O56" s="4">
        <v>-1.7921192940353058E-2</v>
      </c>
      <c r="P56" s="1" t="str">
        <f>HYPERLINK(".\sm_car_251116_2258\sm_car_251116_2258_055_Ca133TrN_MaWOT_DrSt_ode23t.png","figure")</f>
        <v>figure</v>
      </c>
      <c r="Q56" t="s">
        <v>15</v>
      </c>
      <c r="W56" s="4">
        <f>M56-'2022a_251026_2256'!M56</f>
        <v>0.41742110000000032</v>
      </c>
    </row>
    <row r="57" spans="1:23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148</v>
      </c>
      <c r="K57" t="s">
        <v>23</v>
      </c>
      <c r="L57">
        <v>495</v>
      </c>
      <c r="M57" s="4">
        <v>5.4989882000000003</v>
      </c>
      <c r="N57" s="4">
        <v>70.60822868171617</v>
      </c>
      <c r="O57" s="4">
        <v>-0.52738708544992507</v>
      </c>
      <c r="P57" s="1" t="str">
        <f>HYPERLINK(".\sm_car_251116_2258\sm_car_251116_2258_056_Ca133TrN_MaLSS_DrSt_ode23t.png","figure")</f>
        <v>figure</v>
      </c>
      <c r="Q57" t="s">
        <v>15</v>
      </c>
      <c r="W57" s="4">
        <f>M57-'2022a_251026_2256'!M57</f>
        <v>0.44421580000000027</v>
      </c>
    </row>
    <row r="58" spans="1:23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148</v>
      </c>
      <c r="K58" t="s">
        <v>23</v>
      </c>
      <c r="L58">
        <v>345</v>
      </c>
      <c r="M58" s="4">
        <v>4.6121968999999998</v>
      </c>
      <c r="N58" s="4">
        <v>229.18867135093504</v>
      </c>
      <c r="O58" s="4">
        <v>-1.4580949923013625E-2</v>
      </c>
      <c r="P58" s="1" t="str">
        <f>HYPERLINK(".\sm_car_251116_2258\sm_car_251116_2258_057_Ca134TrN_MaWOT_DrSt_ode23t.png","figure")</f>
        <v>figure</v>
      </c>
      <c r="Q58" t="s">
        <v>15</v>
      </c>
      <c r="W58" s="4">
        <f>M58-'2022a_251026_2256'!M58</f>
        <v>-0.12750220000000034</v>
      </c>
    </row>
    <row r="59" spans="1:23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148</v>
      </c>
      <c r="K59" t="s">
        <v>23</v>
      </c>
      <c r="L59">
        <v>490</v>
      </c>
      <c r="M59" s="4">
        <v>5.6046560999999997</v>
      </c>
      <c r="N59" s="4">
        <v>70.607384412148065</v>
      </c>
      <c r="O59" s="4">
        <v>-0.52532890318401892</v>
      </c>
      <c r="P59" s="1" t="str">
        <f>HYPERLINK(".\sm_car_251116_2258\sm_car_251116_2258_058_Ca134TrN_MaLSS_DrSt_ode23t.png","figure")</f>
        <v>figure</v>
      </c>
      <c r="Q59" t="s">
        <v>15</v>
      </c>
      <c r="W59" s="4">
        <f>M59-'2022a_251026_2256'!M59</f>
        <v>-0.29324180000000055</v>
      </c>
    </row>
    <row r="60" spans="1:23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148</v>
      </c>
      <c r="K60" t="s">
        <v>23</v>
      </c>
      <c r="L60">
        <v>345</v>
      </c>
      <c r="M60" s="4">
        <v>5.2402524000000001</v>
      </c>
      <c r="N60" s="4">
        <v>229.09599133929149</v>
      </c>
      <c r="O60" s="4">
        <v>-1.6143134829401096E-2</v>
      </c>
      <c r="P60" s="1" t="str">
        <f>HYPERLINK(".\sm_car_251116_2258\sm_car_251116_2258_059_Ca135TrN_MaWOT_DrSt_ode23t.png","figure")</f>
        <v>figure</v>
      </c>
      <c r="Q60" t="s">
        <v>15</v>
      </c>
      <c r="W60" s="4">
        <f>M60-'2022a_251026_2256'!M60</f>
        <v>0.21373560000000058</v>
      </c>
    </row>
    <row r="61" spans="1:23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148</v>
      </c>
      <c r="K61" t="s">
        <v>23</v>
      </c>
      <c r="L61">
        <v>495</v>
      </c>
      <c r="M61" s="4">
        <v>5.3652426999999996</v>
      </c>
      <c r="N61" s="4">
        <v>70.602838134615041</v>
      </c>
      <c r="O61" s="4">
        <v>-0.509420980304365</v>
      </c>
      <c r="P61" s="1" t="str">
        <f>HYPERLINK(".\sm_car_251116_2258\sm_car_251116_2258_060_Ca135TrN_MaLSS_DrSt_ode23t.png","figure")</f>
        <v>figure</v>
      </c>
      <c r="Q61" t="s">
        <v>15</v>
      </c>
      <c r="W61" s="4">
        <f>M61-'2022a_251026_2256'!M61</f>
        <v>-0.64055770000000045</v>
      </c>
    </row>
    <row r="62" spans="1:23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148</v>
      </c>
      <c r="K62" t="s">
        <v>23</v>
      </c>
      <c r="L62">
        <v>392</v>
      </c>
      <c r="M62" s="4">
        <v>6.2067348999999998</v>
      </c>
      <c r="N62" s="4">
        <v>229.18127303553271</v>
      </c>
      <c r="O62" s="4">
        <v>5.0203433599056595E-2</v>
      </c>
      <c r="P62" s="1" t="str">
        <f>HYPERLINK(".\sm_car_251116_2258\sm_car_251116_2258_061_Ca136TrN_MaWOT_DrSt_ode23t.png","figure")</f>
        <v>figure</v>
      </c>
      <c r="Q62" t="s">
        <v>15</v>
      </c>
      <c r="W62" s="4">
        <f>M62-'2022a_251026_2256'!M62</f>
        <v>-6.7329400000000206E-2</v>
      </c>
    </row>
    <row r="63" spans="1:23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148</v>
      </c>
      <c r="K63" t="s">
        <v>23</v>
      </c>
      <c r="L63">
        <v>522</v>
      </c>
      <c r="M63" s="4">
        <v>7.0532424999999996</v>
      </c>
      <c r="N63" s="4">
        <v>70.609619678820778</v>
      </c>
      <c r="O63" s="4">
        <v>-0.52239920949967211</v>
      </c>
      <c r="P63" s="1" t="str">
        <f>HYPERLINK(".\sm_car_251116_2258\sm_car_251116_2258_062_Ca136TrN_MaLSS_DrSt_ode23t.png","figure")</f>
        <v>figure</v>
      </c>
      <c r="Q63" t="s">
        <v>15</v>
      </c>
      <c r="W63" s="4">
        <f>M63-'2022a_251026_2256'!M63</f>
        <v>-0.84278460000000077</v>
      </c>
    </row>
    <row r="64" spans="1:23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148</v>
      </c>
      <c r="K64" t="s">
        <v>23</v>
      </c>
      <c r="L64">
        <v>328</v>
      </c>
      <c r="M64" s="4">
        <v>3.8524484999999999</v>
      </c>
      <c r="N64" s="4">
        <v>229.95650595380968</v>
      </c>
      <c r="O64" s="4">
        <v>0.13771493433258289</v>
      </c>
      <c r="P64" s="1" t="str">
        <f>HYPERLINK(".\sm_car_251116_2258\sm_car_251116_2258_063_Ca137TrN_MaWOT_DrSt_ode23t.png","figure")</f>
        <v>figure</v>
      </c>
      <c r="Q64" t="s">
        <v>15</v>
      </c>
      <c r="W64" s="4">
        <f>M64-'2022a_251026_2256'!M64</f>
        <v>-0.37929129999999978</v>
      </c>
    </row>
    <row r="65" spans="1:23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148</v>
      </c>
      <c r="K65" t="s">
        <v>23</v>
      </c>
      <c r="L65">
        <v>490</v>
      </c>
      <c r="M65" s="4">
        <v>4.6466462999999996</v>
      </c>
      <c r="N65" s="4">
        <v>70.869123996066364</v>
      </c>
      <c r="O65" s="4">
        <v>-0.50520070010073559</v>
      </c>
      <c r="P65" s="1" t="str">
        <f>HYPERLINK(".\sm_car_251116_2258\sm_car_251116_2258_064_Ca137TrN_MaLSS_DrSt_ode23t.png","figure")</f>
        <v>figure</v>
      </c>
      <c r="Q65" t="s">
        <v>15</v>
      </c>
      <c r="W65" s="4">
        <f>M65-'2022a_251026_2256'!M65</f>
        <v>-0.54997440000000086</v>
      </c>
    </row>
    <row r="66" spans="1:23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148</v>
      </c>
      <c r="K66" t="s">
        <v>23</v>
      </c>
      <c r="L66">
        <v>334</v>
      </c>
      <c r="M66" s="4">
        <v>5.3620612999999997</v>
      </c>
      <c r="N66" s="4">
        <v>230.06157010523327</v>
      </c>
      <c r="O66" s="4">
        <v>0.14728370369953839</v>
      </c>
      <c r="P66" s="1" t="str">
        <f>HYPERLINK(".\sm_car_251116_2258\sm_car_251116_2258_065_Ca138TrN_MaWOT_DrSt_ode23t.png","figure")</f>
        <v>figure</v>
      </c>
      <c r="Q66" t="s">
        <v>15</v>
      </c>
      <c r="W66" s="4">
        <f>M66-'2022a_251026_2256'!M66</f>
        <v>-0.56745350000000006</v>
      </c>
    </row>
    <row r="67" spans="1:23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148</v>
      </c>
      <c r="K67" t="s">
        <v>23</v>
      </c>
      <c r="L67">
        <v>488</v>
      </c>
      <c r="M67" s="4">
        <v>6.8289185999999997</v>
      </c>
      <c r="N67" s="4">
        <v>70.766369241475488</v>
      </c>
      <c r="O67" s="4">
        <v>-0.81689728060981193</v>
      </c>
      <c r="P67" s="1" t="str">
        <f>HYPERLINK(".\sm_car_251116_2258\sm_car_251116_2258_066_Ca138TrN_MaLSS_DrSt_ode23t.png","figure")</f>
        <v>figure</v>
      </c>
      <c r="Q67" t="s">
        <v>15</v>
      </c>
      <c r="W67" s="4">
        <f>M67-'2022a_251026_2256'!M67</f>
        <v>-0.53366019999999992</v>
      </c>
    </row>
    <row r="68" spans="1:23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148</v>
      </c>
      <c r="K68" t="s">
        <v>23</v>
      </c>
      <c r="L68">
        <v>685</v>
      </c>
      <c r="M68" s="4">
        <v>26.832111900000001</v>
      </c>
      <c r="N68" s="4">
        <v>402.12993141309806</v>
      </c>
      <c r="O68" s="4">
        <v>1.5949226577022686</v>
      </c>
      <c r="P68" s="1" t="str">
        <f>HYPERLINK(".\sm_car_251116_2258\sm_car_251116_2258_067_Ca139TrN_MaWOT_DrSt_ode23t.png","figure")</f>
        <v>figure</v>
      </c>
      <c r="Q68" t="s">
        <v>15</v>
      </c>
      <c r="W68" s="4">
        <f>M68-'2022a_251026_2256'!M68</f>
        <v>1.7594927000000027</v>
      </c>
    </row>
    <row r="69" spans="1:23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148</v>
      </c>
      <c r="K69" t="s">
        <v>23</v>
      </c>
      <c r="L69">
        <v>631</v>
      </c>
      <c r="M69" s="4">
        <v>16.239500199999998</v>
      </c>
      <c r="N69" s="4">
        <v>153.01603907425562</v>
      </c>
      <c r="O69" s="4">
        <v>-0.57453266708719131</v>
      </c>
      <c r="P69" s="1" t="str">
        <f>HYPERLINK(".\sm_car_251116_2258\sm_car_251116_2258_068_Ca139TrN_MaLSS_DrSt_ode23t.png","figure")</f>
        <v>figure</v>
      </c>
      <c r="Q69" t="s">
        <v>15</v>
      </c>
      <c r="W69" s="4">
        <f>M69-'2022a_251026_2256'!M69</f>
        <v>0.69022649999999786</v>
      </c>
    </row>
    <row r="70" spans="1:23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148</v>
      </c>
      <c r="K70" t="s">
        <v>23</v>
      </c>
      <c r="L70">
        <v>2008</v>
      </c>
      <c r="M70" s="4">
        <v>39.614114299999997</v>
      </c>
      <c r="N70" s="4">
        <v>402.33574061600365</v>
      </c>
      <c r="O70" s="4">
        <v>1.6353972441956002</v>
      </c>
      <c r="P70" s="1" t="str">
        <f>HYPERLINK(".\sm_car_251116_2258\sm_car_251116_2258_069_Ca141TrN_MaWOT_DrSt_ode23t.png","figure")</f>
        <v>figure</v>
      </c>
      <c r="Q70" t="s">
        <v>15</v>
      </c>
      <c r="W70" s="4">
        <f>M70-'2022a_251026_2256'!M70</f>
        <v>2.5340344999999971</v>
      </c>
    </row>
    <row r="71" spans="1:23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148</v>
      </c>
      <c r="K71" t="s">
        <v>23</v>
      </c>
      <c r="L71">
        <v>1881</v>
      </c>
      <c r="M71" s="4">
        <v>25.406935099999998</v>
      </c>
      <c r="N71" s="4">
        <v>153.11247522255815</v>
      </c>
      <c r="O71" s="4">
        <v>-0.57070470402489804</v>
      </c>
      <c r="P71" s="1" t="str">
        <f>HYPERLINK(".\sm_car_251116_2258\sm_car_251116_2258_070_Ca141TrN_MaLSS_DrSt_ode23t.png","figure")</f>
        <v>figure</v>
      </c>
      <c r="Q71" t="s">
        <v>15</v>
      </c>
      <c r="W71" s="4">
        <f>M71-'2022a_251026_2256'!M71</f>
        <v>1.9177934999999984</v>
      </c>
    </row>
    <row r="72" spans="1:23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148</v>
      </c>
      <c r="K72" t="s">
        <v>23</v>
      </c>
      <c r="L72">
        <v>347</v>
      </c>
      <c r="M72" s="4">
        <v>14.247610699999999</v>
      </c>
      <c r="N72" s="4">
        <v>62.427200926843909</v>
      </c>
      <c r="O72" s="4">
        <v>1.9557665878516185E-2</v>
      </c>
      <c r="P72" s="1" t="str">
        <f>HYPERLINK(".\sm_car_251116_2258\sm_car_251116_2258_071_Ca143TrN_MaWOT_DrSt_ode23t.png","figure")</f>
        <v>figure</v>
      </c>
      <c r="Q72" t="s">
        <v>15</v>
      </c>
      <c r="W72" s="4">
        <f>M72-'2022a_251026_2256'!M72</f>
        <v>3.0164957999999995</v>
      </c>
    </row>
    <row r="73" spans="1:23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148</v>
      </c>
      <c r="K73" t="s">
        <v>23</v>
      </c>
      <c r="L73">
        <v>453</v>
      </c>
      <c r="M73" s="4">
        <v>17.838779899999999</v>
      </c>
      <c r="N73" s="4">
        <v>24.932035837279081</v>
      </c>
      <c r="O73" s="4">
        <v>-5.2454260308705716E-2</v>
      </c>
      <c r="P73" s="1" t="str">
        <f>HYPERLINK(".\sm_car_251116_2258\sm_car_251116_2258_072_Ca143TrN_MaLSS_DrSt_ode23t.png","figure")</f>
        <v>figure</v>
      </c>
      <c r="Q73" t="s">
        <v>15</v>
      </c>
      <c r="W73" s="4">
        <f>M73-'2022a_251026_2256'!M73</f>
        <v>3.472340299999999</v>
      </c>
    </row>
    <row r="74" spans="1:23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148</v>
      </c>
      <c r="K74" t="s">
        <v>23</v>
      </c>
      <c r="L74">
        <v>339</v>
      </c>
      <c r="M74" s="4">
        <v>11.0766796</v>
      </c>
      <c r="N74" s="4">
        <v>76.994178729888674</v>
      </c>
      <c r="O74" s="4">
        <v>0.24514502240043784</v>
      </c>
      <c r="P74" s="1" t="str">
        <f>HYPERLINK(".\sm_car_251116_2258\sm_car_251116_2258_073_Ca144TrN_MaWOT_DrSt_ode23t.png","figure")</f>
        <v>figure</v>
      </c>
      <c r="Q74" t="s">
        <v>15</v>
      </c>
      <c r="W74" s="4">
        <f>M74-'2022a_251026_2256'!M74</f>
        <v>2.7348055000000002</v>
      </c>
    </row>
    <row r="75" spans="1:23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148</v>
      </c>
      <c r="K75" t="s">
        <v>23</v>
      </c>
      <c r="L75">
        <v>464</v>
      </c>
      <c r="M75" s="4">
        <v>12.979199599999999</v>
      </c>
      <c r="N75" s="4">
        <v>35.471694898419194</v>
      </c>
      <c r="O75" s="4">
        <v>-3.1939703991985723E-2</v>
      </c>
      <c r="P75" s="1" t="str">
        <f>HYPERLINK(".\sm_car_251116_2258\sm_car_251116_2258_074_Ca144TrN_MaLSS_DrSt_ode23t.png","figure")</f>
        <v>figure</v>
      </c>
      <c r="Q75" t="s">
        <v>15</v>
      </c>
      <c r="W75" s="4">
        <f>M75-'2022a_251026_2256'!M75</f>
        <v>2.4822431999999992</v>
      </c>
    </row>
    <row r="76" spans="1:23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148</v>
      </c>
      <c r="K76" t="s">
        <v>23</v>
      </c>
      <c r="L76">
        <v>2414</v>
      </c>
      <c r="M76" s="4">
        <v>28.536338600000001</v>
      </c>
      <c r="N76" s="4">
        <v>396.64559986578161</v>
      </c>
      <c r="O76" s="4">
        <v>-14.213653807317943</v>
      </c>
      <c r="P76" s="1" t="str">
        <f>HYPERLINK(".\sm_car_251116_2258\sm_car_251116_2258_075_Ca147TrN_MaWOT_DrSt_ode23t.png","figure")</f>
        <v>figure</v>
      </c>
      <c r="Q76" t="s">
        <v>15</v>
      </c>
      <c r="W76" s="4">
        <f>M76-'2022a_251026_2256'!M76</f>
        <v>1.6526145999999997</v>
      </c>
    </row>
    <row r="77" spans="1:23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148</v>
      </c>
      <c r="K77" t="s">
        <v>23</v>
      </c>
      <c r="L77">
        <v>1287</v>
      </c>
      <c r="M77" s="4">
        <v>17.889469900000002</v>
      </c>
      <c r="N77" s="4">
        <v>150.42398432897861</v>
      </c>
      <c r="O77" s="4">
        <v>-2.2091528889316785</v>
      </c>
      <c r="P77" s="1" t="str">
        <f>HYPERLINK(".\sm_car_251116_2258\sm_car_251116_2258_076_Ca147TrN_MaLSS_DrSt_ode23t.png","figure")</f>
        <v>figure</v>
      </c>
      <c r="Q77" t="s">
        <v>15</v>
      </c>
      <c r="W77" s="4">
        <f>M77-'2022a_251026_2256'!M77</f>
        <v>0.49347090000000193</v>
      </c>
    </row>
    <row r="78" spans="1:23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148</v>
      </c>
      <c r="K78" t="s">
        <v>23</v>
      </c>
      <c r="L78">
        <v>286</v>
      </c>
      <c r="M78" s="4">
        <v>6.3827743000000003</v>
      </c>
      <c r="N78" s="4">
        <v>135.67636625089395</v>
      </c>
      <c r="O78" s="4">
        <v>1.6423226037668248E-3</v>
      </c>
      <c r="P78" s="1" t="str">
        <f>HYPERLINK(".\sm_car_251116_2258\sm_car_251116_2258_077_Ca215TrN_MaWOT_DrSt_ode23t.png","figure")</f>
        <v>figure</v>
      </c>
      <c r="Q78" t="s">
        <v>15</v>
      </c>
      <c r="W78" s="4">
        <f>M78-'2022a_251026_2256'!M78</f>
        <v>-1.5531442999999996</v>
      </c>
    </row>
    <row r="79" spans="1:23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148</v>
      </c>
      <c r="K79" t="s">
        <v>23</v>
      </c>
      <c r="L79">
        <v>452</v>
      </c>
      <c r="M79" s="4">
        <v>7.6393312</v>
      </c>
      <c r="N79" s="4">
        <v>50.381882440086144</v>
      </c>
      <c r="O79" s="4">
        <v>-0.1145246546592999</v>
      </c>
      <c r="P79" s="1" t="str">
        <f>HYPERLINK(".\sm_car_251116_2258\sm_car_251116_2258_078_Ca215TrN_MaLSS_DrSt_ode23t.png","figure")</f>
        <v>figure</v>
      </c>
      <c r="Q79" t="s">
        <v>15</v>
      </c>
      <c r="W79" s="4">
        <f>M79-'2022a_251026_2256'!M79</f>
        <v>-0.1828833999999997</v>
      </c>
    </row>
    <row r="80" spans="1:23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188</v>
      </c>
      <c r="H80" t="s">
        <v>21</v>
      </c>
      <c r="I80" t="s">
        <v>22</v>
      </c>
      <c r="J80" t="s">
        <v>148</v>
      </c>
      <c r="K80" t="s">
        <v>23</v>
      </c>
      <c r="L80">
        <v>352</v>
      </c>
      <c r="M80" s="4">
        <v>4.6061562</v>
      </c>
      <c r="N80" s="4">
        <v>229.6356425739686</v>
      </c>
      <c r="O80" s="4">
        <v>0.16304046719262766</v>
      </c>
      <c r="P80" s="1" t="str">
        <f>HYPERLINK(".\sm_car_251116_2258\sm_car_251116_2258_079_Ca218TrN_MaWOT_DrSt_ode23t.png","figure")</f>
        <v>figure</v>
      </c>
      <c r="Q80" t="s">
        <v>15</v>
      </c>
      <c r="W80" s="4">
        <f>M80-'2022a_251026_2256'!M80</f>
        <v>0.26800509999999989</v>
      </c>
    </row>
    <row r="81" spans="1:23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188</v>
      </c>
      <c r="H81" t="s">
        <v>21</v>
      </c>
      <c r="I81" t="s">
        <v>24</v>
      </c>
      <c r="J81" t="s">
        <v>148</v>
      </c>
      <c r="K81" t="s">
        <v>23</v>
      </c>
      <c r="L81">
        <v>497</v>
      </c>
      <c r="M81" s="4">
        <v>5.5196313999999997</v>
      </c>
      <c r="N81" s="4">
        <v>70.78161274458806</v>
      </c>
      <c r="O81" s="4">
        <v>-0.53325912832460654</v>
      </c>
      <c r="P81" s="1" t="str">
        <f>HYPERLINK(".\sm_car_251116_2258\sm_car_251116_2258_080_Ca218TrN_MaLSS_DrSt_ode23t.png","figure")</f>
        <v>figure</v>
      </c>
      <c r="Q81" t="s">
        <v>15</v>
      </c>
      <c r="W81" s="4">
        <f>M81-'2022a_251026_2256'!M81</f>
        <v>-0.26005810000000018</v>
      </c>
    </row>
    <row r="82" spans="1:23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188</v>
      </c>
      <c r="H82" t="s">
        <v>21</v>
      </c>
      <c r="I82" t="s">
        <v>22</v>
      </c>
      <c r="J82" t="s">
        <v>148</v>
      </c>
      <c r="K82" t="s">
        <v>23</v>
      </c>
      <c r="L82">
        <v>389</v>
      </c>
      <c r="M82" s="4">
        <v>7.1417380000000001</v>
      </c>
      <c r="N82" s="4">
        <v>228.99845249453119</v>
      </c>
      <c r="O82" s="4">
        <v>0.17248672129507667</v>
      </c>
      <c r="P82" s="1" t="str">
        <f>HYPERLINK(".\sm_car_251116_2258\sm_car_251116_2258_081_Ca219TrN_MaWOT_DrSt_ode23t.png","figure")</f>
        <v>figure</v>
      </c>
      <c r="Q82" t="s">
        <v>15</v>
      </c>
      <c r="W82" s="4">
        <f>M82-'2022a_251026_2256'!M82</f>
        <v>0.25673100000000026</v>
      </c>
    </row>
    <row r="83" spans="1:23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188</v>
      </c>
      <c r="H83" t="s">
        <v>21</v>
      </c>
      <c r="I83" t="s">
        <v>24</v>
      </c>
      <c r="J83" t="s">
        <v>148</v>
      </c>
      <c r="K83" t="s">
        <v>23</v>
      </c>
      <c r="L83">
        <v>505</v>
      </c>
      <c r="M83" s="4">
        <v>7.8219729999999998</v>
      </c>
      <c r="N83" s="4">
        <v>70.602452378068946</v>
      </c>
      <c r="O83" s="4">
        <v>-0.55682481805216755</v>
      </c>
      <c r="P83" s="1" t="str">
        <f>HYPERLINK(".\sm_car_251116_2258\sm_car_251116_2258_082_Ca219TrN_MaLSS_DrSt_ode23t.png","figure")</f>
        <v>figure</v>
      </c>
      <c r="Q83" t="s">
        <v>15</v>
      </c>
      <c r="W83" s="4">
        <f>M83-'2022a_251026_2256'!M83</f>
        <v>-0.30152400000000057</v>
      </c>
    </row>
    <row r="84" spans="1:23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188</v>
      </c>
      <c r="H84" t="s">
        <v>21</v>
      </c>
      <c r="I84" t="s">
        <v>22</v>
      </c>
      <c r="J84" t="s">
        <v>148</v>
      </c>
      <c r="K84" t="s">
        <v>23</v>
      </c>
      <c r="L84">
        <v>922</v>
      </c>
      <c r="M84" s="4">
        <v>35.603382600000003</v>
      </c>
      <c r="N84" s="4">
        <v>223.2077440529828</v>
      </c>
      <c r="O84" s="4">
        <v>-1.1922507310377282</v>
      </c>
      <c r="P84" s="1" t="str">
        <f>HYPERLINK(".\sm_car_251116_2258\sm_car_251116_2258_083_Ca220TrN_MaWOT_DrSt_ode23t.png","figure")</f>
        <v>figure</v>
      </c>
      <c r="Q84" t="s">
        <v>15</v>
      </c>
      <c r="W84" s="4">
        <f>M84-'2022a_251026_2256'!M84</f>
        <v>2.8410979000000012</v>
      </c>
    </row>
    <row r="85" spans="1:23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188</v>
      </c>
      <c r="H85" t="s">
        <v>21</v>
      </c>
      <c r="I85" t="s">
        <v>24</v>
      </c>
      <c r="J85" t="s">
        <v>148</v>
      </c>
      <c r="K85" t="s">
        <v>23</v>
      </c>
      <c r="L85">
        <v>1068</v>
      </c>
      <c r="M85" s="4">
        <v>46.085665400000003</v>
      </c>
      <c r="N85" s="4">
        <v>69.294814861881648</v>
      </c>
      <c r="O85" s="4">
        <v>-1.497001626126309</v>
      </c>
      <c r="P85" s="1" t="str">
        <f>HYPERLINK(".\sm_car_251116_2258\sm_car_251116_2258_084_Ca220TrN_MaLSS_DrSt_ode23t.png","figure")</f>
        <v>figure</v>
      </c>
      <c r="Q85" t="s">
        <v>15</v>
      </c>
      <c r="W85" s="4">
        <f>M85-'2022a_251026_2256'!M85</f>
        <v>9.133326100000005</v>
      </c>
    </row>
    <row r="86" spans="1:23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148</v>
      </c>
      <c r="K86" t="s">
        <v>23</v>
      </c>
      <c r="L86">
        <v>462</v>
      </c>
      <c r="M86" s="4">
        <v>7.6608792000000001</v>
      </c>
      <c r="N86" s="4">
        <v>293.77955369786952</v>
      </c>
      <c r="O86" s="4">
        <v>-3.1314827975771235E-4</v>
      </c>
      <c r="P86" s="1" t="str">
        <f>HYPERLINK(".\sm_car_251116_2258\sm_car_251116_2258_085_Ca223TrN_MaWOT_DrSt_ode23t.png","figure")</f>
        <v>figure</v>
      </c>
      <c r="Q86" t="s">
        <v>15</v>
      </c>
      <c r="W86" s="4">
        <f>M86-'2022a_251026_2256'!M86</f>
        <v>-0.12818590000000007</v>
      </c>
    </row>
    <row r="87" spans="1:23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148</v>
      </c>
      <c r="K87" t="s">
        <v>23</v>
      </c>
      <c r="L87">
        <v>639</v>
      </c>
      <c r="M87" s="4">
        <v>6.9856802</v>
      </c>
      <c r="N87" s="4">
        <v>103.82427138938752</v>
      </c>
      <c r="O87" s="4">
        <v>-0.16061104775016852</v>
      </c>
      <c r="P87" s="1" t="str">
        <f>HYPERLINK(".\sm_car_251116_2258\sm_car_251116_2258_086_Ca223TrN_MaLSS_DrSt_ode23t.png","figure")</f>
        <v>figure</v>
      </c>
      <c r="Q87" t="s">
        <v>15</v>
      </c>
      <c r="W87" s="4">
        <f>M87-'2022a_251026_2256'!M87</f>
        <v>-7.8833600000000281E-2</v>
      </c>
    </row>
    <row r="88" spans="1:23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148</v>
      </c>
      <c r="K88" t="s">
        <v>23</v>
      </c>
      <c r="L88">
        <v>744</v>
      </c>
      <c r="M88" s="4">
        <v>22.266403799999999</v>
      </c>
      <c r="N88" s="4">
        <v>405.70384404578772</v>
      </c>
      <c r="O88" s="4">
        <v>-12.262028347594129</v>
      </c>
      <c r="P88" s="1" t="str">
        <f>HYPERLINK(".\sm_car_251116_2258\sm_car_251116_2258_087_Ca227TrN_MaWOT_DrSt_ode23t.png","figure")</f>
        <v>figure</v>
      </c>
      <c r="Q88" t="s">
        <v>15</v>
      </c>
      <c r="W88" s="4">
        <f>M88-'2022a_251026_2256'!M88</f>
        <v>-0.7129429000000016</v>
      </c>
    </row>
    <row r="89" spans="1:23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148</v>
      </c>
      <c r="K89" t="s">
        <v>23</v>
      </c>
      <c r="L89">
        <v>723</v>
      </c>
      <c r="M89" s="4">
        <v>16.615042500000001</v>
      </c>
      <c r="N89" s="4">
        <v>154.53148914280129</v>
      </c>
      <c r="O89" s="4">
        <v>-2.8604828973064071</v>
      </c>
      <c r="P89" s="1" t="str">
        <f>HYPERLINK(".\sm_car_251116_2258\sm_car_251116_2258_088_Ca227TrN_MaLSS_DrSt_ode23t.png","figure")</f>
        <v>figure</v>
      </c>
      <c r="Q89" t="s">
        <v>15</v>
      </c>
      <c r="W89" s="4">
        <f>M89-'2022a_251026_2256'!M89</f>
        <v>2.128623000000001</v>
      </c>
    </row>
    <row r="90" spans="1:23" x14ac:dyDescent="0.25">
      <c r="A90">
        <v>89</v>
      </c>
      <c r="B90">
        <v>8</v>
      </c>
      <c r="C90" t="s">
        <v>16</v>
      </c>
      <c r="D90" t="s">
        <v>17</v>
      </c>
      <c r="E90" t="s">
        <v>49</v>
      </c>
      <c r="F90" t="s">
        <v>19</v>
      </c>
      <c r="G90" t="s">
        <v>188</v>
      </c>
      <c r="H90" t="s">
        <v>21</v>
      </c>
      <c r="I90" t="s">
        <v>22</v>
      </c>
      <c r="J90" t="s">
        <v>148</v>
      </c>
      <c r="K90" t="s">
        <v>23</v>
      </c>
      <c r="L90">
        <v>381</v>
      </c>
      <c r="M90" s="4">
        <v>10.585510899999999</v>
      </c>
      <c r="N90" s="4">
        <v>229.8953243687495</v>
      </c>
      <c r="O90" s="4">
        <v>-8.3732968694704736E-3</v>
      </c>
      <c r="P90" s="1" t="str">
        <f>HYPERLINK(".\sm_car_251116_2258\sm_car_251116_2258_089_Ca008TrN_MaWOT_DrSt_ode23t_1.png","figure")</f>
        <v>figure</v>
      </c>
      <c r="Q90" t="s">
        <v>15</v>
      </c>
      <c r="W90" s="4">
        <f>M90-'2022a_251026_2256'!M90</f>
        <v>0.55693529999999924</v>
      </c>
    </row>
    <row r="91" spans="1:23" x14ac:dyDescent="0.25">
      <c r="A91">
        <v>90</v>
      </c>
      <c r="B91">
        <v>8</v>
      </c>
      <c r="C91" t="s">
        <v>16</v>
      </c>
      <c r="D91" t="s">
        <v>17</v>
      </c>
      <c r="E91" t="s">
        <v>49</v>
      </c>
      <c r="F91" t="s">
        <v>19</v>
      </c>
      <c r="G91" t="s">
        <v>188</v>
      </c>
      <c r="H91" t="s">
        <v>21</v>
      </c>
      <c r="I91" t="s">
        <v>24</v>
      </c>
      <c r="J91" t="s">
        <v>148</v>
      </c>
      <c r="K91" t="s">
        <v>23</v>
      </c>
      <c r="L91">
        <v>541</v>
      </c>
      <c r="M91" s="4">
        <v>12.0883822</v>
      </c>
      <c r="N91" s="4">
        <v>70.880635927346717</v>
      </c>
      <c r="O91" s="4">
        <v>-0.52520952740531734</v>
      </c>
      <c r="P91" s="1" t="str">
        <f>HYPERLINK(".\sm_car_251116_2258\sm_car_251116_2258_090_Ca008TrN_MaLSS_DrSt_ode23t_1.png","figure")</f>
        <v>figure</v>
      </c>
      <c r="Q91" t="s">
        <v>15</v>
      </c>
      <c r="W91" s="4">
        <f>M91-'2022a_251026_2256'!M91</f>
        <v>0.10189429999999966</v>
      </c>
    </row>
    <row r="92" spans="1:23" x14ac:dyDescent="0.25">
      <c r="A92">
        <v>91</v>
      </c>
      <c r="B92">
        <v>13</v>
      </c>
      <c r="C92" t="s">
        <v>16</v>
      </c>
      <c r="D92" t="s">
        <v>17</v>
      </c>
      <c r="E92" t="s">
        <v>49</v>
      </c>
      <c r="F92" t="s">
        <v>28</v>
      </c>
      <c r="G92" t="s">
        <v>188</v>
      </c>
      <c r="H92" t="s">
        <v>21</v>
      </c>
      <c r="I92" t="s">
        <v>22</v>
      </c>
      <c r="J92" t="s">
        <v>148</v>
      </c>
      <c r="K92" t="s">
        <v>23</v>
      </c>
      <c r="L92">
        <v>840</v>
      </c>
      <c r="M92" s="4">
        <v>12.9001818</v>
      </c>
      <c r="N92" s="4">
        <v>228.88389884226396</v>
      </c>
      <c r="O92" s="4">
        <v>-1.6576860183832798E-2</v>
      </c>
      <c r="P92" s="1" t="str">
        <f>HYPERLINK(".\sm_car_251116_2258\sm_car_251116_2258_091_Ca013TrN_MaWOT_DrSt_ode23t_1.png","figure")</f>
        <v>figure</v>
      </c>
      <c r="Q92" t="s">
        <v>15</v>
      </c>
      <c r="W92" s="4">
        <f>M92-'2022a_251026_2256'!M92</f>
        <v>0.5773444000000012</v>
      </c>
    </row>
    <row r="93" spans="1:23" x14ac:dyDescent="0.25">
      <c r="A93">
        <v>92</v>
      </c>
      <c r="B93">
        <v>13</v>
      </c>
      <c r="C93" t="s">
        <v>16</v>
      </c>
      <c r="D93" t="s">
        <v>17</v>
      </c>
      <c r="E93" t="s">
        <v>49</v>
      </c>
      <c r="F93" t="s">
        <v>28</v>
      </c>
      <c r="G93" t="s">
        <v>188</v>
      </c>
      <c r="H93" t="s">
        <v>21</v>
      </c>
      <c r="I93" t="s">
        <v>24</v>
      </c>
      <c r="J93" t="s">
        <v>148</v>
      </c>
      <c r="K93" t="s">
        <v>23</v>
      </c>
      <c r="L93">
        <v>989</v>
      </c>
      <c r="M93" s="4">
        <v>13.333503200000001</v>
      </c>
      <c r="N93" s="4">
        <v>70.590336184527388</v>
      </c>
      <c r="O93" s="4">
        <v>-0.53175606539168108</v>
      </c>
      <c r="P93" s="1" t="str">
        <f>HYPERLINK(".\sm_car_251116_2258\sm_car_251116_2258_092_Ca013TrN_MaLSS_DrSt_ode23t_1.png","figure")</f>
        <v>figure</v>
      </c>
      <c r="Q93" t="s">
        <v>15</v>
      </c>
      <c r="W93" s="4">
        <f>M93-'2022a_251026_2256'!M93</f>
        <v>-1.5677368999999999</v>
      </c>
    </row>
    <row r="94" spans="1:23" x14ac:dyDescent="0.25">
      <c r="A94">
        <v>93</v>
      </c>
      <c r="B94">
        <v>120</v>
      </c>
      <c r="C94" t="s">
        <v>16</v>
      </c>
      <c r="D94" t="s">
        <v>35</v>
      </c>
      <c r="E94" t="s">
        <v>49</v>
      </c>
      <c r="F94" t="s">
        <v>19</v>
      </c>
      <c r="G94" t="s">
        <v>188</v>
      </c>
      <c r="H94" t="s">
        <v>21</v>
      </c>
      <c r="I94" t="s">
        <v>22</v>
      </c>
      <c r="J94" t="s">
        <v>148</v>
      </c>
      <c r="K94" t="s">
        <v>23</v>
      </c>
      <c r="L94">
        <v>416</v>
      </c>
      <c r="M94" s="4">
        <v>3.7305247000000001</v>
      </c>
      <c r="N94" s="4">
        <v>242.69169978057366</v>
      </c>
      <c r="O94" s="4">
        <v>0.23529584198330764</v>
      </c>
      <c r="P94" s="1" t="str">
        <f>HYPERLINK(".\sm_car_251116_2258\sm_car_251116_2258_093_Ca120TrN_MaWOT_DrSt_ode23t_1.png","figure")</f>
        <v>figure</v>
      </c>
      <c r="Q94" t="s">
        <v>15</v>
      </c>
      <c r="W94" s="4">
        <f>M94-'2022a_251026_2256'!M94</f>
        <v>0.13439420000000002</v>
      </c>
    </row>
    <row r="95" spans="1:23" x14ac:dyDescent="0.25">
      <c r="A95">
        <v>94</v>
      </c>
      <c r="B95">
        <v>120</v>
      </c>
      <c r="C95" t="s">
        <v>16</v>
      </c>
      <c r="D95" t="s">
        <v>35</v>
      </c>
      <c r="E95" t="s">
        <v>49</v>
      </c>
      <c r="F95" t="s">
        <v>19</v>
      </c>
      <c r="G95" t="s">
        <v>188</v>
      </c>
      <c r="H95" t="s">
        <v>21</v>
      </c>
      <c r="I95" t="s">
        <v>24</v>
      </c>
      <c r="J95" t="s">
        <v>148</v>
      </c>
      <c r="K95" t="s">
        <v>23</v>
      </c>
      <c r="L95">
        <v>534</v>
      </c>
      <c r="M95" s="4">
        <v>4.1413101000000001</v>
      </c>
      <c r="N95" s="4">
        <v>74.671860856427401</v>
      </c>
      <c r="O95" s="4">
        <v>-0.33802521123174667</v>
      </c>
      <c r="P95" s="1" t="str">
        <f>HYPERLINK(".\sm_car_251116_2258\sm_car_251116_2258_094_Ca120TrN_MaLSS_DrSt_ode23t_1.png","figure")</f>
        <v>figure</v>
      </c>
      <c r="Q95" t="s">
        <v>15</v>
      </c>
      <c r="W95" s="4">
        <f>M95-'2022a_251026_2256'!M95</f>
        <v>-3.9998100000000036E-2</v>
      </c>
    </row>
    <row r="96" spans="1:23" x14ac:dyDescent="0.25">
      <c r="A96">
        <v>95</v>
      </c>
      <c r="B96">
        <v>126</v>
      </c>
      <c r="C96" t="s">
        <v>16</v>
      </c>
      <c r="D96" t="s">
        <v>35</v>
      </c>
      <c r="E96" t="s">
        <v>49</v>
      </c>
      <c r="F96" t="s">
        <v>28</v>
      </c>
      <c r="G96" t="s">
        <v>188</v>
      </c>
      <c r="H96" t="s">
        <v>21</v>
      </c>
      <c r="I96" t="s">
        <v>22</v>
      </c>
      <c r="J96" t="s">
        <v>148</v>
      </c>
      <c r="K96" t="s">
        <v>23</v>
      </c>
      <c r="L96">
        <v>1035</v>
      </c>
      <c r="M96" s="4">
        <v>6.1925717999999996</v>
      </c>
      <c r="N96" s="4">
        <v>241.42399753971631</v>
      </c>
      <c r="O96" s="4">
        <v>0.23236574999704743</v>
      </c>
      <c r="P96" s="1" t="str">
        <f>HYPERLINK(".\sm_car_251116_2258\sm_car_251116_2258_095_Ca126TrN_MaWOT_DrSt_ode23t_1.png","figure")</f>
        <v>figure</v>
      </c>
      <c r="Q96" t="s">
        <v>15</v>
      </c>
      <c r="W96" s="4">
        <f>M96-'2022a_251026_2256'!M96</f>
        <v>0.38012259999999998</v>
      </c>
    </row>
    <row r="97" spans="1:23" x14ac:dyDescent="0.25">
      <c r="A97">
        <v>96</v>
      </c>
      <c r="B97">
        <v>126</v>
      </c>
      <c r="C97" t="s">
        <v>16</v>
      </c>
      <c r="D97" t="s">
        <v>35</v>
      </c>
      <c r="E97" t="s">
        <v>49</v>
      </c>
      <c r="F97" t="s">
        <v>28</v>
      </c>
      <c r="G97" t="s">
        <v>188</v>
      </c>
      <c r="H97" t="s">
        <v>21</v>
      </c>
      <c r="I97" t="s">
        <v>24</v>
      </c>
      <c r="J97" t="s">
        <v>148</v>
      </c>
      <c r="K97" t="s">
        <v>23</v>
      </c>
      <c r="L97">
        <v>1162</v>
      </c>
      <c r="M97" s="4">
        <v>6.9685376999999997</v>
      </c>
      <c r="N97" s="4">
        <v>74.340572119652194</v>
      </c>
      <c r="O97" s="4">
        <v>-0.33732792069256612</v>
      </c>
      <c r="P97" s="1" t="str">
        <f>HYPERLINK(".\sm_car_251116_2258\sm_car_251116_2258_096_Ca126TrN_MaLSS_DrSt_ode23t_1.png","figure")</f>
        <v>figure</v>
      </c>
      <c r="Q97" t="s">
        <v>15</v>
      </c>
      <c r="W97" s="4">
        <f>M97-'2022a_251026_2256'!M97</f>
        <v>0.27753549999999994</v>
      </c>
    </row>
    <row r="98" spans="1:23" x14ac:dyDescent="0.25">
      <c r="A98">
        <v>97</v>
      </c>
      <c r="B98">
        <v>127</v>
      </c>
      <c r="C98" t="s">
        <v>16</v>
      </c>
      <c r="D98" t="s">
        <v>35</v>
      </c>
      <c r="E98" t="s">
        <v>49</v>
      </c>
      <c r="F98" t="s">
        <v>28</v>
      </c>
      <c r="G98" t="s">
        <v>188</v>
      </c>
      <c r="H98" t="s">
        <v>21</v>
      </c>
      <c r="I98" t="s">
        <v>22</v>
      </c>
      <c r="J98" t="s">
        <v>148</v>
      </c>
      <c r="K98" t="s">
        <v>23</v>
      </c>
      <c r="L98">
        <v>1044</v>
      </c>
      <c r="M98" s="4">
        <v>5.9873750000000001</v>
      </c>
      <c r="N98" s="4">
        <v>241.05197631854605</v>
      </c>
      <c r="O98" s="4">
        <v>0.23098483229881989</v>
      </c>
      <c r="P98" s="1" t="str">
        <f>HYPERLINK(".\sm_car_251116_2258\sm_car_251116_2258_097_Ca127TrN_MaWOT_DrSt_ode23t_1.png","figure")</f>
        <v>figure</v>
      </c>
      <c r="Q98" t="s">
        <v>15</v>
      </c>
      <c r="W98" s="4">
        <f>M98-'2022a_251026_2256'!M98</f>
        <v>0.24399760000000015</v>
      </c>
    </row>
    <row r="99" spans="1:23" x14ac:dyDescent="0.25">
      <c r="A99">
        <v>98</v>
      </c>
      <c r="B99">
        <v>127</v>
      </c>
      <c r="C99" t="s">
        <v>16</v>
      </c>
      <c r="D99" t="s">
        <v>35</v>
      </c>
      <c r="E99" t="s">
        <v>49</v>
      </c>
      <c r="F99" t="s">
        <v>28</v>
      </c>
      <c r="G99" t="s">
        <v>188</v>
      </c>
      <c r="H99" t="s">
        <v>21</v>
      </c>
      <c r="I99" t="s">
        <v>24</v>
      </c>
      <c r="J99" t="s">
        <v>148</v>
      </c>
      <c r="K99" t="s">
        <v>23</v>
      </c>
      <c r="L99">
        <v>1174</v>
      </c>
      <c r="M99" s="4">
        <v>6.9938890999999996</v>
      </c>
      <c r="N99" s="4">
        <v>74.19582962141466</v>
      </c>
      <c r="O99" s="4">
        <v>-0.33312636623582043</v>
      </c>
      <c r="P99" s="1" t="str">
        <f>HYPERLINK(".\sm_car_251116_2258\sm_car_251116_2258_098_Ca127TrN_MaLSS_DrSt_ode23t_1.png","figure")</f>
        <v>figure</v>
      </c>
      <c r="Q99" t="s">
        <v>15</v>
      </c>
      <c r="W99" s="4">
        <f>M99-'2022a_251026_2256'!M99</f>
        <v>4.5205399999999507E-2</v>
      </c>
    </row>
    <row r="100" spans="1:23" x14ac:dyDescent="0.25">
      <c r="A100">
        <v>99</v>
      </c>
      <c r="B100">
        <v>145</v>
      </c>
      <c r="C100" t="s">
        <v>46</v>
      </c>
      <c r="D100" t="s">
        <v>17</v>
      </c>
      <c r="E100" t="s">
        <v>50</v>
      </c>
      <c r="F100" t="s">
        <v>19</v>
      </c>
      <c r="G100" t="s">
        <v>26</v>
      </c>
      <c r="H100" t="s">
        <v>21</v>
      </c>
      <c r="I100" t="s">
        <v>22</v>
      </c>
      <c r="J100" t="s">
        <v>148</v>
      </c>
      <c r="K100" t="s">
        <v>23</v>
      </c>
      <c r="L100">
        <v>357</v>
      </c>
      <c r="M100" s="4">
        <v>13.3524014</v>
      </c>
      <c r="N100" s="4">
        <v>62.399146223739393</v>
      </c>
      <c r="O100" s="4">
        <v>1.9107622551922439E-2</v>
      </c>
      <c r="P100" s="1" t="str">
        <f>HYPERLINK(".\sm_car_251116_2258\sm_car_251116_2258_099_Ca145TrN_MaWOT_DrSt_ode23t_1.png","figure")</f>
        <v>figure</v>
      </c>
      <c r="Q100" t="s">
        <v>15</v>
      </c>
      <c r="W100" s="4">
        <f>M100-'2022a_251026_2256'!M100</f>
        <v>-0.52533799999999964</v>
      </c>
    </row>
    <row r="101" spans="1:23" x14ac:dyDescent="0.25">
      <c r="A101">
        <v>100</v>
      </c>
      <c r="B101">
        <v>145</v>
      </c>
      <c r="C101" t="s">
        <v>46</v>
      </c>
      <c r="D101" t="s">
        <v>17</v>
      </c>
      <c r="E101" t="s">
        <v>50</v>
      </c>
      <c r="F101" t="s">
        <v>19</v>
      </c>
      <c r="G101" t="s">
        <v>26</v>
      </c>
      <c r="H101" t="s">
        <v>21</v>
      </c>
      <c r="I101" t="s">
        <v>24</v>
      </c>
      <c r="J101" t="s">
        <v>148</v>
      </c>
      <c r="K101" t="s">
        <v>23</v>
      </c>
      <c r="L101">
        <v>447</v>
      </c>
      <c r="M101" s="4">
        <v>15.5039199</v>
      </c>
      <c r="N101" s="4">
        <v>24.924365845477649</v>
      </c>
      <c r="O101" s="4">
        <v>-4.9298182453532617E-2</v>
      </c>
      <c r="P101" s="1" t="str">
        <f>HYPERLINK(".\sm_car_251116_2258\sm_car_251116_2258_100_Ca145TrN_MaLSS_DrSt_ode23t_1.png","figure")</f>
        <v>figure</v>
      </c>
      <c r="Q101" t="s">
        <v>15</v>
      </c>
      <c r="W101" s="4">
        <f>M101-'2022a_251026_2256'!M101</f>
        <v>-1.9503510000000013</v>
      </c>
    </row>
    <row r="102" spans="1:23" x14ac:dyDescent="0.25">
      <c r="A102">
        <v>101</v>
      </c>
      <c r="B102">
        <v>184</v>
      </c>
      <c r="C102" t="s">
        <v>105</v>
      </c>
      <c r="D102" t="s">
        <v>120</v>
      </c>
      <c r="E102" t="s">
        <v>49</v>
      </c>
      <c r="F102" t="s">
        <v>19</v>
      </c>
      <c r="G102" t="s">
        <v>20</v>
      </c>
      <c r="H102" t="s">
        <v>21</v>
      </c>
      <c r="I102" t="s">
        <v>22</v>
      </c>
      <c r="J102" t="s">
        <v>148</v>
      </c>
      <c r="K102" t="s">
        <v>23</v>
      </c>
      <c r="L102">
        <v>294</v>
      </c>
      <c r="M102" s="4">
        <v>15.201999799999999</v>
      </c>
      <c r="N102" s="4">
        <v>294.7425572134149</v>
      </c>
      <c r="O102" s="4">
        <v>-1.9068658722340426E-3</v>
      </c>
      <c r="P102" s="1" t="str">
        <f>HYPERLINK(".\sm_car_251116_2258\sm_car_251116_2258_101_Ca184TrN_MaWOT_DrSt_ode23t_1.png","figure")</f>
        <v>figure</v>
      </c>
      <c r="Q102" t="s">
        <v>15</v>
      </c>
      <c r="W102" s="4">
        <f>M102-'2022a_251026_2256'!M102</f>
        <v>0.1523108999999998</v>
      </c>
    </row>
    <row r="103" spans="1:23" x14ac:dyDescent="0.25">
      <c r="A103">
        <v>102</v>
      </c>
      <c r="B103">
        <v>184</v>
      </c>
      <c r="C103" t="s">
        <v>105</v>
      </c>
      <c r="D103" t="s">
        <v>120</v>
      </c>
      <c r="E103" t="s">
        <v>49</v>
      </c>
      <c r="F103" t="s">
        <v>19</v>
      </c>
      <c r="G103" t="s">
        <v>20</v>
      </c>
      <c r="H103" t="s">
        <v>21</v>
      </c>
      <c r="I103" t="s">
        <v>24</v>
      </c>
      <c r="J103" t="s">
        <v>148</v>
      </c>
      <c r="K103" t="s">
        <v>23</v>
      </c>
      <c r="L103">
        <v>462</v>
      </c>
      <c r="M103" s="4">
        <v>11.872296199999999</v>
      </c>
      <c r="N103" s="4">
        <v>103.58583909058389</v>
      </c>
      <c r="O103" s="4">
        <v>-0.20818102623877244</v>
      </c>
      <c r="P103" s="1" t="str">
        <f>HYPERLINK(".\sm_car_251116_2258\sm_car_251116_2258_102_Ca184TrN_MaLSS_DrSt_ode23t_1.png","figure")</f>
        <v>figure</v>
      </c>
      <c r="Q103" t="s">
        <v>15</v>
      </c>
      <c r="W103" s="4">
        <f>M103-'2022a_251026_2256'!M103</f>
        <v>-6.0240100000001462E-2</v>
      </c>
    </row>
    <row r="104" spans="1:23" x14ac:dyDescent="0.25">
      <c r="A104">
        <v>103</v>
      </c>
      <c r="B104">
        <v>217</v>
      </c>
      <c r="C104" t="s">
        <v>45</v>
      </c>
      <c r="D104" t="s">
        <v>17</v>
      </c>
      <c r="E104" t="s">
        <v>107</v>
      </c>
      <c r="F104" t="s">
        <v>119</v>
      </c>
      <c r="G104" t="s">
        <v>26</v>
      </c>
      <c r="H104" t="s">
        <v>21</v>
      </c>
      <c r="I104" t="s">
        <v>22</v>
      </c>
      <c r="J104" t="s">
        <v>148</v>
      </c>
      <c r="K104" t="s">
        <v>23</v>
      </c>
      <c r="L104">
        <v>666</v>
      </c>
      <c r="M104" s="4">
        <v>28.7044009</v>
      </c>
      <c r="N104" s="4">
        <v>165.22521096597382</v>
      </c>
      <c r="O104" s="4">
        <v>0.2664381368442072</v>
      </c>
      <c r="P104" s="1" t="str">
        <f>HYPERLINK(".\sm_car_251116_2258\sm_car_251116_2258_103_Ca217TrN_MaWOT_DrSt_ode23t_1.png","figure")</f>
        <v>figure</v>
      </c>
      <c r="Q104" t="s">
        <v>15</v>
      </c>
      <c r="W104" s="4">
        <f>M104-'2022a_251026_2256'!M104</f>
        <v>-4.1206627000000005</v>
      </c>
    </row>
    <row r="105" spans="1:23" x14ac:dyDescent="0.25">
      <c r="A105">
        <v>104</v>
      </c>
      <c r="B105">
        <v>217</v>
      </c>
      <c r="C105" t="s">
        <v>45</v>
      </c>
      <c r="D105" t="s">
        <v>17</v>
      </c>
      <c r="E105" t="s">
        <v>107</v>
      </c>
      <c r="F105" t="s">
        <v>119</v>
      </c>
      <c r="G105" t="s">
        <v>26</v>
      </c>
      <c r="H105" t="s">
        <v>21</v>
      </c>
      <c r="I105" t="s">
        <v>24</v>
      </c>
      <c r="J105" t="s">
        <v>148</v>
      </c>
      <c r="K105" t="s">
        <v>23</v>
      </c>
      <c r="L105">
        <v>828</v>
      </c>
      <c r="M105" s="4">
        <v>40.093461599999998</v>
      </c>
      <c r="N105" s="4">
        <v>69.53140673973833</v>
      </c>
      <c r="O105" s="4">
        <v>-0.19884557107368367</v>
      </c>
      <c r="P105" s="1" t="str">
        <f>HYPERLINK(".\sm_car_251116_2258\sm_car_251116_2258_104_Ca217TrN_MaLSS_DrSt_ode23t_1.png","figure")</f>
        <v>figure</v>
      </c>
      <c r="Q105" t="s">
        <v>15</v>
      </c>
      <c r="W105" s="4">
        <f>M105-'2022a_251026_2256'!M105</f>
        <v>4.1950788999999986</v>
      </c>
    </row>
    <row r="106" spans="1:23" x14ac:dyDescent="0.25">
      <c r="A106">
        <v>105</v>
      </c>
      <c r="B106">
        <v>12</v>
      </c>
      <c r="C106" t="s">
        <v>16</v>
      </c>
      <c r="D106" t="s">
        <v>17</v>
      </c>
      <c r="E106" t="s">
        <v>49</v>
      </c>
      <c r="F106" t="s">
        <v>28</v>
      </c>
      <c r="G106" t="s">
        <v>188</v>
      </c>
      <c r="H106" t="s">
        <v>21</v>
      </c>
      <c r="I106" t="s">
        <v>53</v>
      </c>
      <c r="J106" t="s">
        <v>148</v>
      </c>
      <c r="K106" t="s">
        <v>23</v>
      </c>
      <c r="L106">
        <v>866</v>
      </c>
      <c r="M106" s="4">
        <v>11.437564699999999</v>
      </c>
      <c r="N106" s="4">
        <v>254.35662280363181</v>
      </c>
      <c r="O106" s="4">
        <v>4.3838780396370236E-2</v>
      </c>
      <c r="P106" s="1" t="str">
        <f>HYPERLINK(".\sm_car_251116_2258\sm_car_251116_2258_105_Ca012TrN_MaDLC_DrSt_ode23t_1.png","figure")</f>
        <v>figure</v>
      </c>
      <c r="Q106" t="s">
        <v>15</v>
      </c>
      <c r="W106" s="4">
        <f>M106-'2022a_251026_2256'!M106</f>
        <v>0.53050569999999908</v>
      </c>
    </row>
    <row r="107" spans="1:23" x14ac:dyDescent="0.25">
      <c r="A107">
        <v>106</v>
      </c>
      <c r="B107">
        <v>12</v>
      </c>
      <c r="C107" t="s">
        <v>16</v>
      </c>
      <c r="D107" t="s">
        <v>17</v>
      </c>
      <c r="E107" t="s">
        <v>49</v>
      </c>
      <c r="F107" t="s">
        <v>28</v>
      </c>
      <c r="G107" t="s">
        <v>188</v>
      </c>
      <c r="H107" t="s">
        <v>21</v>
      </c>
      <c r="I107" t="s">
        <v>54</v>
      </c>
      <c r="J107" t="s">
        <v>148</v>
      </c>
      <c r="K107" t="s">
        <v>23</v>
      </c>
      <c r="L107">
        <v>899</v>
      </c>
      <c r="M107" s="4">
        <v>14.2556499</v>
      </c>
      <c r="N107" s="4">
        <v>74.404896805960632</v>
      </c>
      <c r="O107" s="4">
        <v>0.70190099805204831</v>
      </c>
      <c r="P107" s="1" t="str">
        <f>HYPERLINK(".\sm_car_251116_2258\sm_car_251116_2258_106_Ca012TrN_MaIPA_DrSt_ode23t_1.png","figure")</f>
        <v>figure</v>
      </c>
      <c r="Q107" t="s">
        <v>15</v>
      </c>
      <c r="W107" s="4">
        <f>M107-'2022a_251026_2256'!M107</f>
        <v>0.15602529999999959</v>
      </c>
    </row>
    <row r="108" spans="1:23" x14ac:dyDescent="0.25">
      <c r="A108">
        <v>107</v>
      </c>
      <c r="B108">
        <v>142</v>
      </c>
      <c r="C108" t="s">
        <v>45</v>
      </c>
      <c r="D108" t="s">
        <v>17</v>
      </c>
      <c r="E108" t="s">
        <v>49</v>
      </c>
      <c r="F108" t="s">
        <v>28</v>
      </c>
      <c r="G108" t="s">
        <v>26</v>
      </c>
      <c r="H108" t="s">
        <v>21</v>
      </c>
      <c r="I108" t="s">
        <v>53</v>
      </c>
      <c r="J108" t="s">
        <v>148</v>
      </c>
      <c r="K108" t="s">
        <v>23</v>
      </c>
      <c r="L108">
        <v>969</v>
      </c>
      <c r="M108" s="4">
        <v>15.981457600000001</v>
      </c>
      <c r="N108" s="4">
        <v>255.65779579194384</v>
      </c>
      <c r="O108" s="4">
        <v>-6.7739487333553505E-3</v>
      </c>
      <c r="P108" s="1" t="str">
        <f>HYPERLINK(".\sm_car_251116_2258\sm_car_251116_2258_107_Ca142TrN_MaDLC_DrSt_ode23t_1.png","figure")</f>
        <v>figure</v>
      </c>
      <c r="Q108" t="s">
        <v>15</v>
      </c>
      <c r="W108" s="4">
        <f>M108-'2022a_251026_2256'!M108</f>
        <v>-0.70035159999999941</v>
      </c>
    </row>
    <row r="109" spans="1:23" x14ac:dyDescent="0.25">
      <c r="A109">
        <v>108</v>
      </c>
      <c r="B109">
        <v>142</v>
      </c>
      <c r="C109" t="s">
        <v>45</v>
      </c>
      <c r="D109" t="s">
        <v>17</v>
      </c>
      <c r="E109" t="s">
        <v>49</v>
      </c>
      <c r="F109" t="s">
        <v>28</v>
      </c>
      <c r="G109" t="s">
        <v>26</v>
      </c>
      <c r="H109" t="s">
        <v>21</v>
      </c>
      <c r="I109" t="s">
        <v>54</v>
      </c>
      <c r="J109" t="s">
        <v>148</v>
      </c>
      <c r="K109" t="s">
        <v>23</v>
      </c>
      <c r="L109">
        <v>1376</v>
      </c>
      <c r="M109" s="4">
        <v>37.499509000000003</v>
      </c>
      <c r="N109" s="4">
        <v>82.592598975438221</v>
      </c>
      <c r="O109" s="4">
        <v>0.65725842417499625</v>
      </c>
      <c r="P109" s="1" t="str">
        <f>HYPERLINK(".\sm_car_251116_2258\sm_car_251116_2258_108_Ca142TrN_MaIPA_DrSt_ode23t_1.png","figure")</f>
        <v>figure</v>
      </c>
      <c r="Q109" t="s">
        <v>15</v>
      </c>
      <c r="W109" s="4">
        <f>M109-'2022a_251026_2256'!M109</f>
        <v>-79.807425100000003</v>
      </c>
    </row>
    <row r="110" spans="1:23" x14ac:dyDescent="0.25">
      <c r="A110">
        <v>109</v>
      </c>
      <c r="B110">
        <v>145</v>
      </c>
      <c r="C110" t="s">
        <v>46</v>
      </c>
      <c r="D110" t="s">
        <v>17</v>
      </c>
      <c r="E110" t="s">
        <v>50</v>
      </c>
      <c r="F110" t="s">
        <v>19</v>
      </c>
      <c r="G110" t="s">
        <v>26</v>
      </c>
      <c r="H110" t="s">
        <v>21</v>
      </c>
      <c r="I110" t="s">
        <v>53</v>
      </c>
      <c r="J110" t="s">
        <v>148</v>
      </c>
      <c r="K110" t="s">
        <v>23</v>
      </c>
      <c r="L110">
        <v>459</v>
      </c>
      <c r="M110" s="4">
        <v>16.405012599999999</v>
      </c>
      <c r="N110" s="4">
        <v>254.68326849008474</v>
      </c>
      <c r="O110" s="4">
        <v>7.130438259029459E-2</v>
      </c>
      <c r="P110" s="1" t="str">
        <f>HYPERLINK(".\sm_car_251116_2258\sm_car_251116_2258_109_Ca145TrN_MaDLC_DrSt_ode23t_1.png","figure")</f>
        <v>figure</v>
      </c>
      <c r="Q110" t="s">
        <v>15</v>
      </c>
      <c r="W110" s="4">
        <f>M110-'2022a_251026_2256'!M110</f>
        <v>1.4834652999999989</v>
      </c>
    </row>
    <row r="111" spans="1:23" x14ac:dyDescent="0.25">
      <c r="A111">
        <v>110</v>
      </c>
      <c r="B111">
        <v>145</v>
      </c>
      <c r="C111" t="s">
        <v>46</v>
      </c>
      <c r="D111" t="s">
        <v>17</v>
      </c>
      <c r="E111" t="s">
        <v>50</v>
      </c>
      <c r="F111" t="s">
        <v>19</v>
      </c>
      <c r="G111" t="s">
        <v>26</v>
      </c>
      <c r="H111" t="s">
        <v>21</v>
      </c>
      <c r="I111" t="s">
        <v>54</v>
      </c>
      <c r="J111" t="s">
        <v>148</v>
      </c>
      <c r="K111" t="s">
        <v>23</v>
      </c>
      <c r="L111">
        <v>332</v>
      </c>
      <c r="M111" s="4">
        <v>12.589453300000001</v>
      </c>
      <c r="N111" s="4">
        <v>27.998432525274204</v>
      </c>
      <c r="O111" s="4">
        <v>1.5692382149858384E-2</v>
      </c>
      <c r="P111" s="1" t="str">
        <f>HYPERLINK(".\sm_car_251116_2258\sm_car_251116_2258_110_Ca145TrN_MaIPA_DrSt_ode23t_1.png","figure")</f>
        <v>figure</v>
      </c>
      <c r="Q111" t="s">
        <v>15</v>
      </c>
      <c r="W111" s="4">
        <f>M111-'2022a_251026_2256'!M111</f>
        <v>3.4510000000000929E-2</v>
      </c>
    </row>
    <row r="112" spans="1:23" x14ac:dyDescent="0.25">
      <c r="A112">
        <v>111</v>
      </c>
      <c r="B112">
        <v>184</v>
      </c>
      <c r="C112" t="s">
        <v>105</v>
      </c>
      <c r="D112" t="s">
        <v>120</v>
      </c>
      <c r="E112" t="s">
        <v>49</v>
      </c>
      <c r="F112" t="s">
        <v>19</v>
      </c>
      <c r="G112" t="s">
        <v>20</v>
      </c>
      <c r="H112" t="s">
        <v>21</v>
      </c>
      <c r="I112" t="s">
        <v>53</v>
      </c>
      <c r="J112" t="s">
        <v>148</v>
      </c>
      <c r="K112" t="s">
        <v>23</v>
      </c>
      <c r="L112">
        <v>378</v>
      </c>
      <c r="M112" s="4">
        <v>10.2959932</v>
      </c>
      <c r="N112" s="4">
        <v>253.81512681897908</v>
      </c>
      <c r="O112" s="4">
        <v>1.0987491951262474E-2</v>
      </c>
      <c r="P112" s="1" t="str">
        <f>HYPERLINK(".\sm_car_251116_2258\sm_car_251116_2258_111_Ca184TrN_MaDLC_DrSt_ode23t_1.png","figure")</f>
        <v>figure</v>
      </c>
      <c r="Q112" t="s">
        <v>15</v>
      </c>
      <c r="W112" s="4">
        <f>M112-'2022a_251026_2256'!M112</f>
        <v>0.27998030000000007</v>
      </c>
    </row>
    <row r="113" spans="1:23" x14ac:dyDescent="0.25">
      <c r="A113">
        <v>112</v>
      </c>
      <c r="B113">
        <v>184</v>
      </c>
      <c r="C113" t="s">
        <v>105</v>
      </c>
      <c r="D113" t="s">
        <v>120</v>
      </c>
      <c r="E113" t="s">
        <v>49</v>
      </c>
      <c r="F113" t="s">
        <v>19</v>
      </c>
      <c r="G113" t="s">
        <v>20</v>
      </c>
      <c r="H113" t="s">
        <v>21</v>
      </c>
      <c r="I113" t="s">
        <v>54</v>
      </c>
      <c r="J113" t="s">
        <v>148</v>
      </c>
      <c r="K113" t="s">
        <v>23</v>
      </c>
      <c r="L113">
        <v>304</v>
      </c>
      <c r="M113" s="4">
        <v>12.6702241</v>
      </c>
      <c r="N113" s="4">
        <v>55.268394407370316</v>
      </c>
      <c r="O113" s="4">
        <v>5.7474368071896874E-3</v>
      </c>
      <c r="P113" s="1" t="str">
        <f>HYPERLINK(".\sm_car_251116_2258\sm_car_251116_2258_112_Ca184TrN_MaIPA_DrSt_ode23t_1.png","figure")</f>
        <v>figure</v>
      </c>
      <c r="Q113" t="s">
        <v>15</v>
      </c>
      <c r="W113" s="4">
        <f>M113-'2022a_251026_2256'!M113</f>
        <v>1.0028804000000004</v>
      </c>
    </row>
    <row r="114" spans="1:23" x14ac:dyDescent="0.25">
      <c r="A114">
        <v>113</v>
      </c>
      <c r="B114">
        <v>204</v>
      </c>
      <c r="C114" t="s">
        <v>105</v>
      </c>
      <c r="D114" t="s">
        <v>106</v>
      </c>
      <c r="E114" t="s">
        <v>18</v>
      </c>
      <c r="F114" t="s">
        <v>19</v>
      </c>
      <c r="G114" t="s">
        <v>20</v>
      </c>
      <c r="H114" t="s">
        <v>21</v>
      </c>
      <c r="I114" t="s">
        <v>53</v>
      </c>
      <c r="J114" t="s">
        <v>148</v>
      </c>
      <c r="K114" t="s">
        <v>23</v>
      </c>
      <c r="L114">
        <v>1846</v>
      </c>
      <c r="M114" s="4">
        <v>26.672898400000001</v>
      </c>
      <c r="N114" s="4">
        <v>254.66277026108662</v>
      </c>
      <c r="O114" s="4">
        <v>1.8069888375600307E-2</v>
      </c>
      <c r="P114" s="1" t="str">
        <f>HYPERLINK(".\sm_car_251116_2258\sm_car_251116_2258_113_Ca204TrN_MaDLC_DrSt_ode23t_1.png","figure")</f>
        <v>figure</v>
      </c>
      <c r="Q114" t="s">
        <v>15</v>
      </c>
      <c r="W114" s="4">
        <f>M114-'2022a_251026_2256'!M114</f>
        <v>2.4794285000000009</v>
      </c>
    </row>
    <row r="115" spans="1:23" x14ac:dyDescent="0.25">
      <c r="A115">
        <v>114</v>
      </c>
      <c r="B115">
        <v>204</v>
      </c>
      <c r="C115" t="s">
        <v>105</v>
      </c>
      <c r="D115" t="s">
        <v>106</v>
      </c>
      <c r="E115" t="s">
        <v>18</v>
      </c>
      <c r="F115" t="s">
        <v>19</v>
      </c>
      <c r="G115" t="s">
        <v>20</v>
      </c>
      <c r="H115" t="s">
        <v>21</v>
      </c>
      <c r="I115" t="s">
        <v>54</v>
      </c>
      <c r="J115" t="s">
        <v>148</v>
      </c>
      <c r="K115" t="s">
        <v>23</v>
      </c>
      <c r="L115">
        <v>663</v>
      </c>
      <c r="M115" s="4">
        <v>11.7238779</v>
      </c>
      <c r="N115" s="4">
        <v>26.034582908336471</v>
      </c>
      <c r="O115" s="4">
        <v>9.6641497332310318E-3</v>
      </c>
      <c r="P115" s="1" t="str">
        <f>HYPERLINK(".\sm_car_251116_2258\sm_car_251116_2258_114_Ca204TrN_MaIPA_DrSt_ode23t_1.png","figure")</f>
        <v>figure</v>
      </c>
      <c r="Q115" t="s">
        <v>15</v>
      </c>
      <c r="W115" s="4">
        <f>M115-'2022a_251026_2256'!M115</f>
        <v>1.4864078000000003</v>
      </c>
    </row>
    <row r="116" spans="1:23" x14ac:dyDescent="0.25">
      <c r="A116">
        <v>115</v>
      </c>
      <c r="B116">
        <v>12</v>
      </c>
      <c r="C116" t="s">
        <v>16</v>
      </c>
      <c r="D116" t="s">
        <v>17</v>
      </c>
      <c r="E116" t="s">
        <v>49</v>
      </c>
      <c r="F116" t="s">
        <v>28</v>
      </c>
      <c r="G116" t="s">
        <v>188</v>
      </c>
      <c r="H116" t="s">
        <v>21</v>
      </c>
      <c r="I116" t="s">
        <v>55</v>
      </c>
      <c r="J116" t="s">
        <v>148</v>
      </c>
      <c r="K116" t="s">
        <v>23</v>
      </c>
      <c r="L116">
        <v>2568</v>
      </c>
      <c r="M116" s="4">
        <v>28.754383199999999</v>
      </c>
      <c r="N116" s="4">
        <v>1.4112706717649137E-3</v>
      </c>
      <c r="O116" s="4">
        <v>-0.64638269016647132</v>
      </c>
      <c r="P116" s="1" t="str">
        <f>HYPERLINK(".\sm_car_251116_2258\sm_car_251116_2258_115_Ca012TrN_MaMPK_DrSt_ode23t_1.png","figure")</f>
        <v>figure</v>
      </c>
      <c r="Q116" t="s">
        <v>15</v>
      </c>
      <c r="W116" s="4">
        <f>M116-'2022a_251026_2256'!M116</f>
        <v>1.6864975999999992</v>
      </c>
    </row>
    <row r="117" spans="1:23" x14ac:dyDescent="0.25">
      <c r="A117">
        <v>116</v>
      </c>
      <c r="B117">
        <v>12</v>
      </c>
      <c r="C117" t="s">
        <v>16</v>
      </c>
      <c r="D117" t="s">
        <v>17</v>
      </c>
      <c r="E117" t="s">
        <v>49</v>
      </c>
      <c r="F117" t="s">
        <v>28</v>
      </c>
      <c r="G117" t="s">
        <v>188</v>
      </c>
      <c r="H117" t="s">
        <v>21</v>
      </c>
      <c r="I117" t="s">
        <v>55</v>
      </c>
      <c r="J117" t="s">
        <v>149</v>
      </c>
      <c r="K117" t="s">
        <v>23</v>
      </c>
      <c r="L117">
        <v>2396</v>
      </c>
      <c r="M117" s="4">
        <v>26.707808499999999</v>
      </c>
      <c r="N117" s="4">
        <v>-1.0075122451985816E-2</v>
      </c>
      <c r="O117" s="4">
        <v>-3.8070463547379682E-2</v>
      </c>
      <c r="P117" s="1" t="str">
        <f>HYPERLINK(".\sm_car_251116_2258\sm_car_251116_2258_116_Ca012TrN_MaMPK_DrSt_ode23t_1.png","figure")</f>
        <v>figure</v>
      </c>
      <c r="Q117" t="s">
        <v>15</v>
      </c>
      <c r="W117" s="4">
        <f>M117-'2022a_251026_2256'!M117</f>
        <v>2.0552715999999975</v>
      </c>
    </row>
    <row r="118" spans="1:23" x14ac:dyDescent="0.25">
      <c r="A118">
        <v>117</v>
      </c>
      <c r="B118">
        <v>12</v>
      </c>
      <c r="C118" t="s">
        <v>16</v>
      </c>
      <c r="D118" t="s">
        <v>17</v>
      </c>
      <c r="E118" t="s">
        <v>49</v>
      </c>
      <c r="F118" t="s">
        <v>28</v>
      </c>
      <c r="G118" t="s">
        <v>188</v>
      </c>
      <c r="H118" t="s">
        <v>21</v>
      </c>
      <c r="I118" t="s">
        <v>56</v>
      </c>
      <c r="J118" t="s">
        <v>148</v>
      </c>
      <c r="K118" t="s">
        <v>23</v>
      </c>
      <c r="L118">
        <v>2418</v>
      </c>
      <c r="M118" s="4">
        <v>23.936836199999998</v>
      </c>
      <c r="N118" s="4">
        <v>0.7815394173634207</v>
      </c>
      <c r="O118" s="4">
        <v>-0.33085038090582436</v>
      </c>
      <c r="P118" s="1" t="str">
        <f>HYPERLINK(".\sm_car_251116_2258\sm_car_251116_2258_117_Ca012TrN_MaMPC_DrSt_ode23t_1.png","figure")</f>
        <v>figure</v>
      </c>
      <c r="Q118" t="s">
        <v>15</v>
      </c>
      <c r="W118" s="4">
        <f>M118-'2022a_251026_2256'!M118</f>
        <v>0.43772399999999934</v>
      </c>
    </row>
    <row r="119" spans="1:23" x14ac:dyDescent="0.25">
      <c r="A119">
        <v>118</v>
      </c>
      <c r="B119">
        <v>12</v>
      </c>
      <c r="C119" t="s">
        <v>16</v>
      </c>
      <c r="D119" t="s">
        <v>17</v>
      </c>
      <c r="E119" t="s">
        <v>49</v>
      </c>
      <c r="F119" t="s">
        <v>28</v>
      </c>
      <c r="G119" t="s">
        <v>188</v>
      </c>
      <c r="H119" t="s">
        <v>21</v>
      </c>
      <c r="I119" t="s">
        <v>56</v>
      </c>
      <c r="J119" t="s">
        <v>149</v>
      </c>
      <c r="K119" t="s">
        <v>23</v>
      </c>
      <c r="L119">
        <v>2238</v>
      </c>
      <c r="M119" s="4">
        <v>24.625983900000001</v>
      </c>
      <c r="N119" s="4">
        <v>0.76769082448496917</v>
      </c>
      <c r="O119" s="4">
        <v>0.10506005799265003</v>
      </c>
      <c r="P119" s="1" t="str">
        <f>HYPERLINK(".\sm_car_251116_2258\sm_car_251116_2258_118_Ca012TrN_MaMPC_DrSt_ode23t_1.png","figure")</f>
        <v>figure</v>
      </c>
      <c r="Q119" t="s">
        <v>15</v>
      </c>
      <c r="W119" s="4">
        <f>M119-'2022a_251026_2256'!M119</f>
        <v>1.614378600000002</v>
      </c>
    </row>
    <row r="120" spans="1:23" x14ac:dyDescent="0.25">
      <c r="A120">
        <v>119</v>
      </c>
      <c r="B120">
        <v>142</v>
      </c>
      <c r="C120" t="s">
        <v>45</v>
      </c>
      <c r="D120" t="s">
        <v>17</v>
      </c>
      <c r="E120" t="s">
        <v>49</v>
      </c>
      <c r="F120" t="s">
        <v>28</v>
      </c>
      <c r="G120" t="s">
        <v>26</v>
      </c>
      <c r="H120" t="s">
        <v>21</v>
      </c>
      <c r="I120" t="s">
        <v>55</v>
      </c>
      <c r="J120" t="s">
        <v>148</v>
      </c>
      <c r="K120" t="s">
        <v>23</v>
      </c>
      <c r="L120">
        <v>2531</v>
      </c>
      <c r="M120" s="4">
        <v>33.545656700000002</v>
      </c>
      <c r="N120" s="4">
        <v>-1.8010876649658128E-2</v>
      </c>
      <c r="O120" s="4">
        <v>-0.55853463799721692</v>
      </c>
      <c r="P120" s="1" t="str">
        <f>HYPERLINK(".\sm_car_251116_2258\sm_car_251116_2258_119_Ca142TrN_MaMPK_DrSt_ode23t_1.png","figure")</f>
        <v>figure</v>
      </c>
      <c r="Q120" t="s">
        <v>15</v>
      </c>
      <c r="W120" s="4">
        <f>M120-'2022a_251026_2256'!M120</f>
        <v>-2.4787654999999944</v>
      </c>
    </row>
    <row r="121" spans="1:23" x14ac:dyDescent="0.25">
      <c r="A121">
        <v>120</v>
      </c>
      <c r="B121">
        <v>142</v>
      </c>
      <c r="C121" t="s">
        <v>45</v>
      </c>
      <c r="D121" t="s">
        <v>17</v>
      </c>
      <c r="E121" t="s">
        <v>49</v>
      </c>
      <c r="F121" t="s">
        <v>28</v>
      </c>
      <c r="G121" t="s">
        <v>26</v>
      </c>
      <c r="H121" t="s">
        <v>21</v>
      </c>
      <c r="I121" t="s">
        <v>55</v>
      </c>
      <c r="J121" t="s">
        <v>149</v>
      </c>
      <c r="K121" t="s">
        <v>23</v>
      </c>
      <c r="L121">
        <v>2907</v>
      </c>
      <c r="M121" s="4">
        <v>34.684499000000002</v>
      </c>
      <c r="N121" s="4">
        <v>-1.0179296612517624E-2</v>
      </c>
      <c r="O121" s="4">
        <v>-7.9698286531881032E-2</v>
      </c>
      <c r="P121" s="1" t="str">
        <f>HYPERLINK(".\sm_car_251116_2258\sm_car_251116_2258_120_Ca142TrN_MaMPK_DrSt_ode23t_1.png","figure")</f>
        <v>figure</v>
      </c>
      <c r="Q121" t="s">
        <v>15</v>
      </c>
      <c r="W121" s="4">
        <f>M121-'2022a_251026_2256'!M121</f>
        <v>2.0876446000000044</v>
      </c>
    </row>
    <row r="122" spans="1:23" x14ac:dyDescent="0.25">
      <c r="A122">
        <v>121</v>
      </c>
      <c r="B122">
        <v>142</v>
      </c>
      <c r="C122" t="s">
        <v>45</v>
      </c>
      <c r="D122" t="s">
        <v>17</v>
      </c>
      <c r="E122" t="s">
        <v>49</v>
      </c>
      <c r="F122" t="s">
        <v>28</v>
      </c>
      <c r="G122" t="s">
        <v>26</v>
      </c>
      <c r="H122" t="s">
        <v>21</v>
      </c>
      <c r="I122" t="s">
        <v>56</v>
      </c>
      <c r="J122" t="s">
        <v>148</v>
      </c>
      <c r="K122" t="s">
        <v>23</v>
      </c>
      <c r="L122">
        <v>2408</v>
      </c>
      <c r="M122" s="4">
        <v>38.6567954</v>
      </c>
      <c r="N122" s="4">
        <v>0.78725360623741913</v>
      </c>
      <c r="O122" s="4">
        <v>-0.37153875940878955</v>
      </c>
      <c r="P122" s="1" t="str">
        <f>HYPERLINK(".\sm_car_251116_2258\sm_car_251116_2258_121_Ca142TrN_MaMPC_DrSt_ode23t_1.png","figure")</f>
        <v>figure</v>
      </c>
      <c r="Q122" t="s">
        <v>15</v>
      </c>
      <c r="W122" s="4">
        <f>M122-'2022a_251026_2256'!M122</f>
        <v>4.4882241999999977</v>
      </c>
    </row>
    <row r="123" spans="1:23" x14ac:dyDescent="0.25">
      <c r="A123">
        <v>122</v>
      </c>
      <c r="B123">
        <v>142</v>
      </c>
      <c r="C123" t="s">
        <v>45</v>
      </c>
      <c r="D123" t="s">
        <v>17</v>
      </c>
      <c r="E123" t="s">
        <v>49</v>
      </c>
      <c r="F123" t="s">
        <v>28</v>
      </c>
      <c r="G123" t="s">
        <v>26</v>
      </c>
      <c r="H123" t="s">
        <v>21</v>
      </c>
      <c r="I123" t="s">
        <v>56</v>
      </c>
      <c r="J123" t="s">
        <v>149</v>
      </c>
      <c r="K123" t="s">
        <v>23</v>
      </c>
      <c r="L123">
        <v>2763</v>
      </c>
      <c r="M123" s="4">
        <v>37.900638700000002</v>
      </c>
      <c r="N123" s="4">
        <v>0.77814020572215981</v>
      </c>
      <c r="O123" s="4">
        <v>1.8029188915726083E-2</v>
      </c>
      <c r="P123" s="1" t="str">
        <f>HYPERLINK(".\sm_car_251116_2258\sm_car_251116_2258_122_Ca142TrN_MaMPC_DrSt_ode23t_1.png","figure")</f>
        <v>figure</v>
      </c>
      <c r="Q123" t="s">
        <v>15</v>
      </c>
      <c r="W123" s="4">
        <f>M123-'2022a_251026_2256'!M123</f>
        <v>-1.6595617999999988</v>
      </c>
    </row>
    <row r="124" spans="1:23" x14ac:dyDescent="0.25">
      <c r="A124">
        <v>123</v>
      </c>
      <c r="B124">
        <v>116</v>
      </c>
      <c r="C124" t="s">
        <v>16</v>
      </c>
      <c r="D124" t="s">
        <v>35</v>
      </c>
      <c r="E124" t="s">
        <v>18</v>
      </c>
      <c r="F124" t="s">
        <v>28</v>
      </c>
      <c r="G124" t="s">
        <v>188</v>
      </c>
      <c r="H124" t="s">
        <v>21</v>
      </c>
      <c r="I124" t="s">
        <v>55</v>
      </c>
      <c r="J124" t="s">
        <v>148</v>
      </c>
      <c r="K124" t="s">
        <v>23</v>
      </c>
      <c r="L124">
        <v>2865</v>
      </c>
      <c r="M124" s="4">
        <v>15.920779100000001</v>
      </c>
      <c r="N124" s="4">
        <v>-1.6169286702505836E-2</v>
      </c>
      <c r="O124" s="4">
        <v>-0.54248772235454312</v>
      </c>
      <c r="P124" s="1" t="str">
        <f>HYPERLINK(".\sm_car_251116_2258\sm_car_251116_2258_123_Ca116TrN_MaMPK_DrSt_ode23t_1.png","figure")</f>
        <v>figure</v>
      </c>
      <c r="Q124" t="s">
        <v>15</v>
      </c>
      <c r="W124" s="4">
        <f>M124-'2022a_251026_2256'!M124</f>
        <v>1.2291626000000004</v>
      </c>
    </row>
    <row r="125" spans="1:23" x14ac:dyDescent="0.25">
      <c r="A125">
        <v>124</v>
      </c>
      <c r="B125">
        <v>116</v>
      </c>
      <c r="C125" t="s">
        <v>16</v>
      </c>
      <c r="D125" t="s">
        <v>35</v>
      </c>
      <c r="E125" t="s">
        <v>18</v>
      </c>
      <c r="F125" t="s">
        <v>28</v>
      </c>
      <c r="G125" t="s">
        <v>188</v>
      </c>
      <c r="H125" t="s">
        <v>21</v>
      </c>
      <c r="I125" t="s">
        <v>55</v>
      </c>
      <c r="J125" t="s">
        <v>149</v>
      </c>
      <c r="K125" t="s">
        <v>23</v>
      </c>
      <c r="L125">
        <v>2783</v>
      </c>
      <c r="M125" s="4">
        <v>14.910201300000001</v>
      </c>
      <c r="N125" s="4">
        <v>-1.8917611355511205E-2</v>
      </c>
      <c r="O125" s="4">
        <v>-0.53539972944495484</v>
      </c>
      <c r="P125" s="1" t="str">
        <f>HYPERLINK(".\sm_car_251116_2258\sm_car_251116_2258_124_Ca116TrN_MaMPK_DrSt_ode23t_1.png","figure")</f>
        <v>figure</v>
      </c>
      <c r="Q125" t="s">
        <v>15</v>
      </c>
      <c r="W125" s="4">
        <f>M125-'2022a_251026_2256'!M125</f>
        <v>1.3985680000000009</v>
      </c>
    </row>
    <row r="126" spans="1:23" x14ac:dyDescent="0.25">
      <c r="A126">
        <v>125</v>
      </c>
      <c r="B126">
        <v>116</v>
      </c>
      <c r="C126" t="s">
        <v>16</v>
      </c>
      <c r="D126" t="s">
        <v>35</v>
      </c>
      <c r="E126" t="s">
        <v>18</v>
      </c>
      <c r="F126" t="s">
        <v>28</v>
      </c>
      <c r="G126" t="s">
        <v>188</v>
      </c>
      <c r="H126" t="s">
        <v>21</v>
      </c>
      <c r="I126" t="s">
        <v>56</v>
      </c>
      <c r="J126" t="s">
        <v>148</v>
      </c>
      <c r="K126" t="s">
        <v>23</v>
      </c>
      <c r="L126">
        <v>2758</v>
      </c>
      <c r="M126" s="4">
        <v>15.000567200000001</v>
      </c>
      <c r="N126" s="4">
        <v>0.78834584458821411</v>
      </c>
      <c r="O126" s="4">
        <v>-0.36279364828843169</v>
      </c>
      <c r="P126" s="1" t="str">
        <f>HYPERLINK(".\sm_car_251116_2258\sm_car_251116_2258_125_Ca116TrN_MaMPC_DrSt_ode23t_1.png","figure")</f>
        <v>figure</v>
      </c>
      <c r="Q126" t="s">
        <v>15</v>
      </c>
      <c r="W126" s="4">
        <f>M126-'2022a_251026_2256'!M126</f>
        <v>1.3408046000000002</v>
      </c>
    </row>
    <row r="127" spans="1:23" x14ac:dyDescent="0.25">
      <c r="A127">
        <v>126</v>
      </c>
      <c r="B127">
        <v>116</v>
      </c>
      <c r="C127" t="s">
        <v>16</v>
      </c>
      <c r="D127" t="s">
        <v>35</v>
      </c>
      <c r="E127" t="s">
        <v>18</v>
      </c>
      <c r="F127" t="s">
        <v>28</v>
      </c>
      <c r="G127" t="s">
        <v>188</v>
      </c>
      <c r="H127" t="s">
        <v>21</v>
      </c>
      <c r="I127" t="s">
        <v>56</v>
      </c>
      <c r="J127" t="s">
        <v>149</v>
      </c>
      <c r="K127" t="s">
        <v>23</v>
      </c>
      <c r="L127">
        <v>2617</v>
      </c>
      <c r="M127" s="4">
        <v>15.558107400000001</v>
      </c>
      <c r="N127" s="4">
        <v>0.78698557577253325</v>
      </c>
      <c r="O127" s="4">
        <v>0.44065061780673592</v>
      </c>
      <c r="P127" s="1" t="str">
        <f>HYPERLINK(".\sm_car_251116_2258\sm_car_251116_2258_126_Ca116TrN_MaMPC_DrSt_ode23t_1.png","figure")</f>
        <v>figure</v>
      </c>
      <c r="Q127" t="s">
        <v>15</v>
      </c>
      <c r="W127" s="4">
        <f>M127-'2022a_251026_2256'!M127</f>
        <v>1.9232894000000016</v>
      </c>
    </row>
    <row r="128" spans="1:23" x14ac:dyDescent="0.25">
      <c r="A128">
        <v>127</v>
      </c>
      <c r="B128">
        <v>143</v>
      </c>
      <c r="C128" t="s">
        <v>46</v>
      </c>
      <c r="D128" t="s">
        <v>17</v>
      </c>
      <c r="E128" t="s">
        <v>47</v>
      </c>
      <c r="F128" t="s">
        <v>19</v>
      </c>
      <c r="G128" t="s">
        <v>26</v>
      </c>
      <c r="H128" t="s">
        <v>21</v>
      </c>
      <c r="I128" t="s">
        <v>55</v>
      </c>
      <c r="J128" t="s">
        <v>148</v>
      </c>
      <c r="K128" t="s">
        <v>23</v>
      </c>
      <c r="L128">
        <v>2472</v>
      </c>
      <c r="M128" s="4">
        <v>48.490819500000001</v>
      </c>
      <c r="N128" s="4">
        <v>-8.9954068257138281E-3</v>
      </c>
      <c r="O128" s="4">
        <v>-0.40490943823782999</v>
      </c>
      <c r="P128" s="1" t="str">
        <f>HYPERLINK(".\sm_car_251116_2258\sm_car_251116_2258_127_Ca143TrN_MaMPK_DrSt_ode23t_1.png","figure")</f>
        <v>figure</v>
      </c>
      <c r="Q128" t="s">
        <v>15</v>
      </c>
      <c r="W128" s="4">
        <f>M128-'2022a_251026_2256'!M128</f>
        <v>6.9353395999999989</v>
      </c>
    </row>
    <row r="129" spans="1:23" x14ac:dyDescent="0.25">
      <c r="A129">
        <v>128</v>
      </c>
      <c r="B129">
        <v>143</v>
      </c>
      <c r="C129" t="s">
        <v>46</v>
      </c>
      <c r="D129" t="s">
        <v>17</v>
      </c>
      <c r="E129" t="s">
        <v>47</v>
      </c>
      <c r="F129" t="s">
        <v>19</v>
      </c>
      <c r="G129" t="s">
        <v>26</v>
      </c>
      <c r="H129" t="s">
        <v>21</v>
      </c>
      <c r="I129" t="s">
        <v>55</v>
      </c>
      <c r="J129" t="s">
        <v>149</v>
      </c>
      <c r="K129" t="s">
        <v>23</v>
      </c>
      <c r="L129">
        <v>2172</v>
      </c>
      <c r="M129" s="4">
        <v>41.925030100000001</v>
      </c>
      <c r="N129" s="4">
        <v>-1.14893309406775E-2</v>
      </c>
      <c r="O129" s="4">
        <v>-9.2083167102956567E-2</v>
      </c>
      <c r="P129" s="1" t="str">
        <f>HYPERLINK(".\sm_car_251116_2258\sm_car_251116_2258_128_Ca143TrN_MaMPK_DrSt_ode23t_1.png","figure")</f>
        <v>figure</v>
      </c>
      <c r="Q129" t="s">
        <v>15</v>
      </c>
      <c r="W129" s="4">
        <f>M129-'2022a_251026_2256'!M129</f>
        <v>0.99301780000000406</v>
      </c>
    </row>
    <row r="130" spans="1:23" x14ac:dyDescent="0.25">
      <c r="A130">
        <v>129</v>
      </c>
      <c r="B130">
        <v>143</v>
      </c>
      <c r="C130" t="s">
        <v>46</v>
      </c>
      <c r="D130" t="s">
        <v>17</v>
      </c>
      <c r="E130" t="s">
        <v>47</v>
      </c>
      <c r="F130" t="s">
        <v>19</v>
      </c>
      <c r="G130" t="s">
        <v>26</v>
      </c>
      <c r="H130" t="s">
        <v>21</v>
      </c>
      <c r="I130" t="s">
        <v>56</v>
      </c>
      <c r="J130" t="s">
        <v>148</v>
      </c>
      <c r="K130" t="s">
        <v>23</v>
      </c>
      <c r="L130">
        <v>2345</v>
      </c>
      <c r="M130" s="4">
        <v>45.646073100000002</v>
      </c>
      <c r="N130" s="4">
        <v>0.71728367290584671</v>
      </c>
      <c r="O130" s="4">
        <v>-0.27116684423607901</v>
      </c>
      <c r="P130" s="1" t="str">
        <f>HYPERLINK(".\sm_car_251116_2258\sm_car_251116_2258_129_Ca143TrN_MaMPC_DrSt_ode23t_1.png","figure")</f>
        <v>figure</v>
      </c>
      <c r="Q130" t="s">
        <v>15</v>
      </c>
      <c r="W130" s="4">
        <f>M130-'2022a_251026_2256'!M130</f>
        <v>9.2312100000000896E-2</v>
      </c>
    </row>
    <row r="131" spans="1:23" x14ac:dyDescent="0.25">
      <c r="A131">
        <v>130</v>
      </c>
      <c r="B131">
        <v>143</v>
      </c>
      <c r="C131" t="s">
        <v>46</v>
      </c>
      <c r="D131" t="s">
        <v>17</v>
      </c>
      <c r="E131" t="s">
        <v>47</v>
      </c>
      <c r="F131" t="s">
        <v>19</v>
      </c>
      <c r="G131" t="s">
        <v>26</v>
      </c>
      <c r="H131" t="s">
        <v>21</v>
      </c>
      <c r="I131" t="s">
        <v>56</v>
      </c>
      <c r="J131" t="s">
        <v>149</v>
      </c>
      <c r="K131" t="s">
        <v>23</v>
      </c>
      <c r="L131">
        <v>2125</v>
      </c>
      <c r="M131" s="4">
        <v>47.8478754</v>
      </c>
      <c r="N131" s="4">
        <v>0.78933598695572726</v>
      </c>
      <c r="O131" s="4">
        <v>-0.15743015990615991</v>
      </c>
      <c r="P131" s="1" t="str">
        <f>HYPERLINK(".\sm_car_251116_2258\sm_car_251116_2258_130_Ca143TrN_MaMPC_DrSt_ode23t_1.png","figure")</f>
        <v>figure</v>
      </c>
      <c r="Q131" t="s">
        <v>15</v>
      </c>
      <c r="W131" s="4">
        <f>M131-'2022a_251026_2256'!M131</f>
        <v>5.3966491999999988</v>
      </c>
    </row>
    <row r="132" spans="1:23" x14ac:dyDescent="0.25">
      <c r="A132">
        <v>131</v>
      </c>
      <c r="B132">
        <v>166</v>
      </c>
      <c r="C132" t="s">
        <v>45</v>
      </c>
      <c r="D132" t="s">
        <v>57</v>
      </c>
      <c r="E132" t="s">
        <v>18</v>
      </c>
      <c r="F132" t="s">
        <v>19</v>
      </c>
      <c r="G132" t="s">
        <v>26</v>
      </c>
      <c r="H132" t="s">
        <v>21</v>
      </c>
      <c r="I132" t="s">
        <v>55</v>
      </c>
      <c r="J132" t="s">
        <v>148</v>
      </c>
      <c r="K132" t="s">
        <v>23</v>
      </c>
      <c r="L132">
        <v>3193</v>
      </c>
      <c r="M132" s="4">
        <v>61.520902700000001</v>
      </c>
      <c r="N132" s="4">
        <v>-1.9753042738420143E-2</v>
      </c>
      <c r="O132" s="4">
        <v>-0.57262648663662397</v>
      </c>
      <c r="P132" s="1" t="str">
        <f>HYPERLINK(".\sm_car_251116_2258\sm_car_251116_2258_131_Ca166TrN_MaMPK_DrSt_ode23t_1.png","figure")</f>
        <v>figure</v>
      </c>
      <c r="Q132" t="s">
        <v>15</v>
      </c>
      <c r="W132" s="4">
        <f>M132-'2022a_251026_2256'!M132</f>
        <v>4.5957504</v>
      </c>
    </row>
    <row r="133" spans="1:23" x14ac:dyDescent="0.25">
      <c r="A133">
        <v>132</v>
      </c>
      <c r="B133">
        <v>166</v>
      </c>
      <c r="C133" t="s">
        <v>45</v>
      </c>
      <c r="D133" t="s">
        <v>57</v>
      </c>
      <c r="E133" t="s">
        <v>18</v>
      </c>
      <c r="F133" t="s">
        <v>19</v>
      </c>
      <c r="G133" t="s">
        <v>26</v>
      </c>
      <c r="H133" t="s">
        <v>21</v>
      </c>
      <c r="I133" t="s">
        <v>55</v>
      </c>
      <c r="J133" t="s">
        <v>149</v>
      </c>
      <c r="K133" t="s">
        <v>23</v>
      </c>
      <c r="L133">
        <v>3777</v>
      </c>
      <c r="M133" s="4">
        <v>60.480506200000001</v>
      </c>
      <c r="N133" s="4">
        <v>-1.0114796776747551E-2</v>
      </c>
      <c r="O133" s="4">
        <v>-8.4601854492274239E-2</v>
      </c>
      <c r="P133" s="1" t="str">
        <f>HYPERLINK(".\sm_car_251116_2258\sm_car_251116_2258_132_Ca166TrN_MaMPK_DrSt_ode23t_1.png","figure")</f>
        <v>figure</v>
      </c>
      <c r="Q133" t="s">
        <v>15</v>
      </c>
      <c r="W133" s="4">
        <f>M133-'2022a_251026_2256'!M133</f>
        <v>2.9092606000000032</v>
      </c>
    </row>
    <row r="134" spans="1:23" x14ac:dyDescent="0.25">
      <c r="A134">
        <v>133</v>
      </c>
      <c r="B134">
        <v>166</v>
      </c>
      <c r="C134" t="s">
        <v>45</v>
      </c>
      <c r="D134" t="s">
        <v>57</v>
      </c>
      <c r="E134" t="s">
        <v>18</v>
      </c>
      <c r="F134" t="s">
        <v>19</v>
      </c>
      <c r="G134" t="s">
        <v>26</v>
      </c>
      <c r="H134" t="s">
        <v>21</v>
      </c>
      <c r="I134" t="s">
        <v>56</v>
      </c>
      <c r="J134" t="s">
        <v>148</v>
      </c>
      <c r="K134" t="s">
        <v>23</v>
      </c>
      <c r="L134">
        <v>3036</v>
      </c>
      <c r="M134" s="4">
        <v>55.439659300000002</v>
      </c>
      <c r="N134" s="4">
        <v>0.78910976079136574</v>
      </c>
      <c r="O134" s="4">
        <v>-0.361837710321116</v>
      </c>
      <c r="P134" s="1" t="str">
        <f>HYPERLINK(".\sm_car_251116_2258\sm_car_251116_2258_133_Ca166TrN_MaMPC_DrSt_ode23t_1.png","figure")</f>
        <v>figure</v>
      </c>
      <c r="Q134" t="s">
        <v>15</v>
      </c>
      <c r="W134" s="4">
        <f>M134-'2022a_251026_2256'!M134</f>
        <v>2.2342037000000019</v>
      </c>
    </row>
    <row r="135" spans="1:23" x14ac:dyDescent="0.25">
      <c r="A135">
        <v>134</v>
      </c>
      <c r="B135">
        <v>166</v>
      </c>
      <c r="C135" t="s">
        <v>45</v>
      </c>
      <c r="D135" t="s">
        <v>57</v>
      </c>
      <c r="E135" t="s">
        <v>18</v>
      </c>
      <c r="F135" t="s">
        <v>19</v>
      </c>
      <c r="G135" t="s">
        <v>26</v>
      </c>
      <c r="H135" t="s">
        <v>21</v>
      </c>
      <c r="I135" t="s">
        <v>56</v>
      </c>
      <c r="J135" t="s">
        <v>149</v>
      </c>
      <c r="K135" t="s">
        <v>23</v>
      </c>
      <c r="L135">
        <v>3502</v>
      </c>
      <c r="M135" s="4">
        <v>55.067696699999999</v>
      </c>
      <c r="N135" s="4">
        <v>0.78667558452128539</v>
      </c>
      <c r="O135" s="4">
        <v>2.5884832085231065E-2</v>
      </c>
      <c r="P135" s="1" t="str">
        <f>HYPERLINK(".\sm_car_251116_2258\sm_car_251116_2258_134_Ca166TrN_MaMPC_DrSt_ode23t_1.png","figure")</f>
        <v>figure</v>
      </c>
      <c r="Q135" t="s">
        <v>15</v>
      </c>
      <c r="W135" s="4">
        <f>M135-'2022a_251026_2256'!M135</f>
        <v>-0.15792450000000002</v>
      </c>
    </row>
    <row r="136" spans="1:23" x14ac:dyDescent="0.25">
      <c r="A136">
        <v>135</v>
      </c>
      <c r="B136">
        <v>169</v>
      </c>
      <c r="C136" t="s">
        <v>45</v>
      </c>
      <c r="D136" t="s">
        <v>58</v>
      </c>
      <c r="E136" t="s">
        <v>49</v>
      </c>
      <c r="F136" t="s">
        <v>19</v>
      </c>
      <c r="G136" t="s">
        <v>26</v>
      </c>
      <c r="H136" t="s">
        <v>21</v>
      </c>
      <c r="I136" t="s">
        <v>55</v>
      </c>
      <c r="J136" t="s">
        <v>148</v>
      </c>
      <c r="K136" t="s">
        <v>23</v>
      </c>
      <c r="L136">
        <v>3216</v>
      </c>
      <c r="M136" s="4">
        <v>53.920862</v>
      </c>
      <c r="N136" s="4">
        <v>-8.4397984846854568E-3</v>
      </c>
      <c r="O136" s="4">
        <v>-0.57354194114859203</v>
      </c>
      <c r="P136" s="1" t="str">
        <f>HYPERLINK(".\sm_car_251116_2258\sm_car_251116_2258_135_Ca169TrN_MaMPK_DrSt_ode23t_1.png","figure")</f>
        <v>figure</v>
      </c>
      <c r="Q136" t="s">
        <v>15</v>
      </c>
      <c r="W136" s="4">
        <f>M136-'2022a_251026_2256'!M136</f>
        <v>7.1476985999999982</v>
      </c>
    </row>
    <row r="137" spans="1:23" x14ac:dyDescent="0.25">
      <c r="A137">
        <v>136</v>
      </c>
      <c r="B137">
        <v>169</v>
      </c>
      <c r="C137" t="s">
        <v>45</v>
      </c>
      <c r="D137" t="s">
        <v>58</v>
      </c>
      <c r="E137" t="s">
        <v>49</v>
      </c>
      <c r="F137" t="s">
        <v>19</v>
      </c>
      <c r="G137" t="s">
        <v>26</v>
      </c>
      <c r="H137" t="s">
        <v>21</v>
      </c>
      <c r="I137" t="s">
        <v>55</v>
      </c>
      <c r="J137" t="s">
        <v>149</v>
      </c>
      <c r="K137" t="s">
        <v>23</v>
      </c>
      <c r="L137">
        <v>3788</v>
      </c>
      <c r="M137" s="4">
        <v>59.337095599999998</v>
      </c>
      <c r="N137" s="4">
        <v>-1.0732304137777524E-2</v>
      </c>
      <c r="O137" s="4">
        <v>-8.4677160505970045E-2</v>
      </c>
      <c r="P137" s="1" t="str">
        <f>HYPERLINK(".\sm_car_251116_2258\sm_car_251116_2258_136_Ca169TrN_MaMPK_DrSt_ode23t_1.png","figure")</f>
        <v>figure</v>
      </c>
      <c r="Q137" t="s">
        <v>15</v>
      </c>
      <c r="W137" s="4">
        <f>M137-'2022a_251026_2256'!M137</f>
        <v>5.2019467000000006</v>
      </c>
    </row>
    <row r="138" spans="1:23" x14ac:dyDescent="0.25">
      <c r="A138">
        <v>137</v>
      </c>
      <c r="B138">
        <v>169</v>
      </c>
      <c r="C138" t="s">
        <v>45</v>
      </c>
      <c r="D138" t="s">
        <v>58</v>
      </c>
      <c r="E138" t="s">
        <v>49</v>
      </c>
      <c r="F138" t="s">
        <v>19</v>
      </c>
      <c r="G138" t="s">
        <v>26</v>
      </c>
      <c r="H138" t="s">
        <v>21</v>
      </c>
      <c r="I138" t="s">
        <v>56</v>
      </c>
      <c r="J138" t="s">
        <v>148</v>
      </c>
      <c r="K138" t="s">
        <v>23</v>
      </c>
      <c r="L138">
        <v>3001</v>
      </c>
      <c r="M138" s="4">
        <v>49.6253758</v>
      </c>
      <c r="N138" s="4">
        <v>0.78777804872819246</v>
      </c>
      <c r="O138" s="4">
        <v>-0.36135029190919415</v>
      </c>
      <c r="P138" s="1" t="str">
        <f>HYPERLINK(".\sm_car_251116_2258\sm_car_251116_2258_137_Ca169TrN_MaMPC_DrSt_ode23t_1.png","figure")</f>
        <v>figure</v>
      </c>
      <c r="Q138" t="s">
        <v>15</v>
      </c>
      <c r="W138" s="4">
        <f>M138-'2022a_251026_2256'!M138</f>
        <v>3.7416010000000028</v>
      </c>
    </row>
    <row r="139" spans="1:23" x14ac:dyDescent="0.25">
      <c r="A139">
        <v>138</v>
      </c>
      <c r="B139">
        <v>169</v>
      </c>
      <c r="C139" t="s">
        <v>45</v>
      </c>
      <c r="D139" t="s">
        <v>58</v>
      </c>
      <c r="E139" t="s">
        <v>49</v>
      </c>
      <c r="F139" t="s">
        <v>19</v>
      </c>
      <c r="G139" t="s">
        <v>26</v>
      </c>
      <c r="H139" t="s">
        <v>21</v>
      </c>
      <c r="I139" t="s">
        <v>56</v>
      </c>
      <c r="J139" t="s">
        <v>149</v>
      </c>
      <c r="K139" t="s">
        <v>23</v>
      </c>
      <c r="L139">
        <v>3435</v>
      </c>
      <c r="M139" s="4">
        <v>50.737344800000002</v>
      </c>
      <c r="N139" s="4">
        <v>0.78830853474311446</v>
      </c>
      <c r="O139" s="4">
        <v>2.6789652651912528E-2</v>
      </c>
      <c r="P139" s="1" t="str">
        <f>HYPERLINK(".\sm_car_251116_2258\sm_car_251116_2258_138_Ca169TrN_MaMPC_DrSt_ode23t_1.png","figure")</f>
        <v>figure</v>
      </c>
      <c r="Q139" t="s">
        <v>15</v>
      </c>
      <c r="W139" s="4">
        <f>M139-'2022a_251026_2256'!M139</f>
        <v>3.2068979000000013</v>
      </c>
    </row>
    <row r="140" spans="1:23" x14ac:dyDescent="0.25">
      <c r="A140">
        <v>139</v>
      </c>
      <c r="B140">
        <v>184</v>
      </c>
      <c r="C140" t="s">
        <v>105</v>
      </c>
      <c r="D140" t="s">
        <v>120</v>
      </c>
      <c r="E140" t="s">
        <v>49</v>
      </c>
      <c r="F140" t="s">
        <v>19</v>
      </c>
      <c r="G140" t="s">
        <v>20</v>
      </c>
      <c r="H140" t="s">
        <v>21</v>
      </c>
      <c r="I140" t="s">
        <v>55</v>
      </c>
      <c r="J140" t="s">
        <v>148</v>
      </c>
      <c r="K140" t="s">
        <v>23</v>
      </c>
      <c r="L140">
        <v>2206</v>
      </c>
      <c r="M140" s="4">
        <v>51.226388100000001</v>
      </c>
      <c r="N140" s="4">
        <v>-2.2281064354404953E-2</v>
      </c>
      <c r="O140" s="4">
        <v>-0.74273538671948169</v>
      </c>
      <c r="P140" s="1" t="str">
        <f>HYPERLINK(".\sm_car_251116_2258\sm_car_251116_2258_139_Ca184TrN_MaMPK_DrSt_ode23t_1.png","figure")</f>
        <v>figure</v>
      </c>
      <c r="Q140" t="s">
        <v>15</v>
      </c>
      <c r="W140" s="4">
        <f>M140-'2022a_251026_2256'!M140</f>
        <v>1.5293308999999979</v>
      </c>
    </row>
    <row r="141" spans="1:23" x14ac:dyDescent="0.25">
      <c r="A141">
        <v>140</v>
      </c>
      <c r="B141">
        <v>184</v>
      </c>
      <c r="C141" t="s">
        <v>105</v>
      </c>
      <c r="D141" t="s">
        <v>120</v>
      </c>
      <c r="E141" t="s">
        <v>49</v>
      </c>
      <c r="F141" t="s">
        <v>19</v>
      </c>
      <c r="G141" t="s">
        <v>20</v>
      </c>
      <c r="H141" t="s">
        <v>21</v>
      </c>
      <c r="I141" t="s">
        <v>55</v>
      </c>
      <c r="J141" t="s">
        <v>149</v>
      </c>
      <c r="K141" t="s">
        <v>23</v>
      </c>
      <c r="L141">
        <v>2316</v>
      </c>
      <c r="M141" s="4">
        <v>51.6958299</v>
      </c>
      <c r="N141" s="4">
        <v>-2.1323478264335116E-3</v>
      </c>
      <c r="O141" s="4">
        <v>-3.0195708174273975E-2</v>
      </c>
      <c r="P141" s="1" t="str">
        <f>HYPERLINK(".\sm_car_251116_2258\sm_car_251116_2258_140_Ca184TrN_MaMPK_DrSt_ode23t_1.png","figure")</f>
        <v>figure</v>
      </c>
      <c r="Q141" t="s">
        <v>15</v>
      </c>
      <c r="W141" s="4">
        <f>M141-'2022a_251026_2256'!M141</f>
        <v>1.6753599999999977</v>
      </c>
    </row>
    <row r="142" spans="1:23" x14ac:dyDescent="0.25">
      <c r="A142">
        <v>141</v>
      </c>
      <c r="B142">
        <v>184</v>
      </c>
      <c r="C142" t="s">
        <v>105</v>
      </c>
      <c r="D142" t="s">
        <v>120</v>
      </c>
      <c r="E142" t="s">
        <v>49</v>
      </c>
      <c r="F142" t="s">
        <v>19</v>
      </c>
      <c r="G142" t="s">
        <v>20</v>
      </c>
      <c r="H142" t="s">
        <v>21</v>
      </c>
      <c r="I142" t="s">
        <v>56</v>
      </c>
      <c r="J142" t="s">
        <v>148</v>
      </c>
      <c r="K142" t="s">
        <v>23</v>
      </c>
      <c r="L142">
        <v>2055</v>
      </c>
      <c r="M142" s="4">
        <v>48.849950300000003</v>
      </c>
      <c r="N142" s="4">
        <v>0.70445407889100053</v>
      </c>
      <c r="O142" s="4">
        <v>-0.33745918034063827</v>
      </c>
      <c r="P142" s="1" t="str">
        <f>HYPERLINK(".\sm_car_251116_2258\sm_car_251116_2258_141_Ca184TrN_MaMPC_DrSt_ode23t_1.png","figure")</f>
        <v>figure</v>
      </c>
      <c r="Q142" t="s">
        <v>15</v>
      </c>
      <c r="W142" s="4">
        <f>M142-'2022a_251026_2256'!M142</f>
        <v>0.85986460000000164</v>
      </c>
    </row>
    <row r="143" spans="1:23" x14ac:dyDescent="0.25">
      <c r="A143">
        <v>142</v>
      </c>
      <c r="B143">
        <v>184</v>
      </c>
      <c r="C143" t="s">
        <v>105</v>
      </c>
      <c r="D143" t="s">
        <v>120</v>
      </c>
      <c r="E143" t="s">
        <v>49</v>
      </c>
      <c r="F143" t="s">
        <v>19</v>
      </c>
      <c r="G143" t="s">
        <v>20</v>
      </c>
      <c r="H143" t="s">
        <v>21</v>
      </c>
      <c r="I143" t="s">
        <v>56</v>
      </c>
      <c r="J143" t="s">
        <v>149</v>
      </c>
      <c r="K143" t="s">
        <v>23</v>
      </c>
      <c r="L143">
        <v>2045</v>
      </c>
      <c r="M143" s="4">
        <v>49.579216700000003</v>
      </c>
      <c r="N143" s="4">
        <v>0.78440339057606501</v>
      </c>
      <c r="O143" s="4">
        <v>-8.2507510874054765E-2</v>
      </c>
      <c r="P143" s="1" t="str">
        <f>HYPERLINK(".\sm_car_251116_2258\sm_car_251116_2258_142_Ca184TrN_MaMPC_DrSt_ode23t_1.png","figure")</f>
        <v>figure</v>
      </c>
      <c r="Q143" t="s">
        <v>15</v>
      </c>
      <c r="W143" s="4">
        <f>M143-'2022a_251026_2256'!M143</f>
        <v>2.528926300000002</v>
      </c>
    </row>
    <row r="144" spans="1:23" x14ac:dyDescent="0.25">
      <c r="A144">
        <v>143</v>
      </c>
      <c r="B144">
        <v>195</v>
      </c>
      <c r="C144" t="s">
        <v>45</v>
      </c>
      <c r="D144" t="s">
        <v>58</v>
      </c>
      <c r="E144" t="s">
        <v>107</v>
      </c>
      <c r="F144" t="s">
        <v>19</v>
      </c>
      <c r="G144" t="s">
        <v>26</v>
      </c>
      <c r="H144" t="s">
        <v>21</v>
      </c>
      <c r="I144" t="s">
        <v>55</v>
      </c>
      <c r="J144" t="s">
        <v>148</v>
      </c>
      <c r="K144" t="s">
        <v>23</v>
      </c>
      <c r="L144">
        <v>3192</v>
      </c>
      <c r="M144" s="4">
        <v>50.371198100000001</v>
      </c>
      <c r="N144" s="4">
        <v>-1.9274040197847175E-2</v>
      </c>
      <c r="O144" s="4">
        <v>-0.57324890867885658</v>
      </c>
      <c r="P144" s="1" t="str">
        <f>HYPERLINK(".\sm_car_251116_2258\sm_car_251116_2258_143_Ca195TrN_MaMPK_DrSt_ode23t_1.png","figure")</f>
        <v>figure</v>
      </c>
      <c r="Q144" t="s">
        <v>15</v>
      </c>
      <c r="W144" s="4">
        <f>M144-'2022a_251026_2256'!M144</f>
        <v>1.0803812999999991</v>
      </c>
    </row>
    <row r="145" spans="1:23" x14ac:dyDescent="0.25">
      <c r="A145">
        <v>144</v>
      </c>
      <c r="B145">
        <v>195</v>
      </c>
      <c r="C145" t="s">
        <v>45</v>
      </c>
      <c r="D145" t="s">
        <v>58</v>
      </c>
      <c r="E145" t="s">
        <v>107</v>
      </c>
      <c r="F145" t="s">
        <v>19</v>
      </c>
      <c r="G145" t="s">
        <v>26</v>
      </c>
      <c r="H145" t="s">
        <v>21</v>
      </c>
      <c r="I145" t="s">
        <v>55</v>
      </c>
      <c r="J145" t="s">
        <v>149</v>
      </c>
      <c r="K145" t="s">
        <v>23</v>
      </c>
      <c r="L145">
        <v>3726</v>
      </c>
      <c r="M145" s="4">
        <v>52.246804400000002</v>
      </c>
      <c r="N145" s="4">
        <v>-1.0048477557552601E-2</v>
      </c>
      <c r="O145" s="4">
        <v>-8.4707035731519817E-2</v>
      </c>
      <c r="P145" s="1" t="str">
        <f>HYPERLINK(".\sm_car_251116_2258\sm_car_251116_2258_144_Ca195TrN_MaMPK_DrSt_ode23t_1.png","figure")</f>
        <v>figure</v>
      </c>
      <c r="Q145" t="s">
        <v>15</v>
      </c>
      <c r="W145" s="4">
        <f>M145-'2022a_251026_2256'!M145</f>
        <v>-0.58994389999999441</v>
      </c>
    </row>
    <row r="146" spans="1:23" x14ac:dyDescent="0.25">
      <c r="A146">
        <v>145</v>
      </c>
      <c r="B146">
        <v>195</v>
      </c>
      <c r="C146" t="s">
        <v>45</v>
      </c>
      <c r="D146" t="s">
        <v>58</v>
      </c>
      <c r="E146" t="s">
        <v>107</v>
      </c>
      <c r="F146" t="s">
        <v>19</v>
      </c>
      <c r="G146" t="s">
        <v>26</v>
      </c>
      <c r="H146" t="s">
        <v>21</v>
      </c>
      <c r="I146" t="s">
        <v>56</v>
      </c>
      <c r="J146" t="s">
        <v>148</v>
      </c>
      <c r="K146" t="s">
        <v>23</v>
      </c>
      <c r="L146">
        <v>2980</v>
      </c>
      <c r="M146" s="4">
        <v>44.803735199999998</v>
      </c>
      <c r="N146" s="4">
        <v>0.78910495051187191</v>
      </c>
      <c r="O146" s="4">
        <v>-0.3613601078088422</v>
      </c>
      <c r="P146" s="1" t="str">
        <f>HYPERLINK(".\sm_car_251116_2258\sm_car_251116_2258_145_Ca195TrN_MaMPC_DrSt_ode23t_1.png","figure")</f>
        <v>figure</v>
      </c>
      <c r="Q146" t="s">
        <v>15</v>
      </c>
      <c r="W146" s="4">
        <f>M146-'2022a_251026_2256'!M146</f>
        <v>-1.2251379</v>
      </c>
    </row>
    <row r="147" spans="1:23" x14ac:dyDescent="0.25">
      <c r="A147">
        <v>146</v>
      </c>
      <c r="B147">
        <v>195</v>
      </c>
      <c r="C147" t="s">
        <v>45</v>
      </c>
      <c r="D147" t="s">
        <v>58</v>
      </c>
      <c r="E147" t="s">
        <v>107</v>
      </c>
      <c r="F147" t="s">
        <v>19</v>
      </c>
      <c r="G147" t="s">
        <v>26</v>
      </c>
      <c r="H147" t="s">
        <v>21</v>
      </c>
      <c r="I147" t="s">
        <v>56</v>
      </c>
      <c r="J147" t="s">
        <v>149</v>
      </c>
      <c r="K147" t="s">
        <v>23</v>
      </c>
      <c r="L147">
        <v>3430</v>
      </c>
      <c r="M147" s="4">
        <v>46.906849000000001</v>
      </c>
      <c r="N147" s="4">
        <v>0.78631239394565</v>
      </c>
      <c r="O147" s="4">
        <v>2.6793223186991684E-2</v>
      </c>
      <c r="P147" s="1" t="str">
        <f>HYPERLINK(".\sm_car_251116_2258\sm_car_251116_2258_146_Ca195TrN_MaMPC_DrSt_ode23t_1.png","figure")</f>
        <v>figure</v>
      </c>
      <c r="Q147" t="s">
        <v>15</v>
      </c>
      <c r="W147" s="4">
        <f>M147-'2022a_251026_2256'!M147</f>
        <v>4.1279899999999259E-2</v>
      </c>
    </row>
    <row r="148" spans="1:23" x14ac:dyDescent="0.25">
      <c r="A148">
        <v>147</v>
      </c>
      <c r="B148">
        <v>198</v>
      </c>
      <c r="C148" t="s">
        <v>105</v>
      </c>
      <c r="D148" t="s">
        <v>120</v>
      </c>
      <c r="E148" t="s">
        <v>107</v>
      </c>
      <c r="F148" t="s">
        <v>19</v>
      </c>
      <c r="G148" t="s">
        <v>20</v>
      </c>
      <c r="H148" t="s">
        <v>21</v>
      </c>
      <c r="I148" t="s">
        <v>55</v>
      </c>
      <c r="J148" t="s">
        <v>148</v>
      </c>
      <c r="K148" t="s">
        <v>23</v>
      </c>
      <c r="L148">
        <v>2303</v>
      </c>
      <c r="M148" s="4">
        <v>32.950106900000002</v>
      </c>
      <c r="N148" s="4">
        <v>-2.2389496229538008E-2</v>
      </c>
      <c r="O148" s="4">
        <v>-0.7427884724596755</v>
      </c>
      <c r="P148" s="1" t="str">
        <f>HYPERLINK(".\sm_car_251116_2258\sm_car_251116_2258_147_Ca198TrN_MaMPK_DrSt_ode23t_1.png","figure")</f>
        <v>figure</v>
      </c>
      <c r="Q148" t="s">
        <v>15</v>
      </c>
      <c r="W148" s="4">
        <f>M148-'2022a_251026_2256'!M148</f>
        <v>2.0625988</v>
      </c>
    </row>
    <row r="149" spans="1:23" x14ac:dyDescent="0.25">
      <c r="A149">
        <v>148</v>
      </c>
      <c r="B149">
        <v>198</v>
      </c>
      <c r="C149" t="s">
        <v>105</v>
      </c>
      <c r="D149" t="s">
        <v>120</v>
      </c>
      <c r="E149" t="s">
        <v>107</v>
      </c>
      <c r="F149" t="s">
        <v>19</v>
      </c>
      <c r="G149" t="s">
        <v>20</v>
      </c>
      <c r="H149" t="s">
        <v>21</v>
      </c>
      <c r="I149" t="s">
        <v>55</v>
      </c>
      <c r="J149" t="s">
        <v>149</v>
      </c>
      <c r="K149" t="s">
        <v>23</v>
      </c>
      <c r="L149">
        <v>2583</v>
      </c>
      <c r="M149" s="4">
        <v>33.658656399999998</v>
      </c>
      <c r="N149" s="4">
        <v>-9.3626718525139374E-3</v>
      </c>
      <c r="O149" s="4">
        <v>-3.031675748293226E-2</v>
      </c>
      <c r="P149" s="1" t="str">
        <f>HYPERLINK(".\sm_car_251116_2258\sm_car_251116_2258_148_Ca198TrN_MaMPK_DrSt_ode23t_1.png","figure")</f>
        <v>figure</v>
      </c>
      <c r="Q149" t="s">
        <v>15</v>
      </c>
      <c r="W149" s="4">
        <f>M149-'2022a_251026_2256'!M149</f>
        <v>1.1858593999999982</v>
      </c>
    </row>
    <row r="150" spans="1:23" x14ac:dyDescent="0.25">
      <c r="A150">
        <v>149</v>
      </c>
      <c r="B150">
        <v>198</v>
      </c>
      <c r="C150" t="s">
        <v>105</v>
      </c>
      <c r="D150" t="s">
        <v>120</v>
      </c>
      <c r="E150" t="s">
        <v>107</v>
      </c>
      <c r="F150" t="s">
        <v>19</v>
      </c>
      <c r="G150" t="s">
        <v>20</v>
      </c>
      <c r="H150" t="s">
        <v>21</v>
      </c>
      <c r="I150" t="s">
        <v>56</v>
      </c>
      <c r="J150" t="s">
        <v>148</v>
      </c>
      <c r="K150" t="s">
        <v>23</v>
      </c>
      <c r="L150">
        <v>2077</v>
      </c>
      <c r="M150" s="4">
        <v>31.937387900000001</v>
      </c>
      <c r="N150" s="4">
        <v>0.78315014353109369</v>
      </c>
      <c r="O150" s="4">
        <v>-0.33793436405086263</v>
      </c>
      <c r="P150" s="1" t="str">
        <f>HYPERLINK(".\sm_car_251116_2258\sm_car_251116_2258_149_Ca198TrN_MaMPC_DrSt_ode23t_1.png","figure")</f>
        <v>figure</v>
      </c>
      <c r="Q150" t="s">
        <v>15</v>
      </c>
      <c r="W150" s="4">
        <f>M150-'2022a_251026_2256'!M150</f>
        <v>1.8220595999999993</v>
      </c>
    </row>
    <row r="151" spans="1:23" x14ac:dyDescent="0.25">
      <c r="A151">
        <v>150</v>
      </c>
      <c r="B151">
        <v>198</v>
      </c>
      <c r="C151" t="s">
        <v>105</v>
      </c>
      <c r="D151" t="s">
        <v>120</v>
      </c>
      <c r="E151" t="s">
        <v>107</v>
      </c>
      <c r="F151" t="s">
        <v>19</v>
      </c>
      <c r="G151" t="s">
        <v>20</v>
      </c>
      <c r="H151" t="s">
        <v>21</v>
      </c>
      <c r="I151" t="s">
        <v>56</v>
      </c>
      <c r="J151" t="s">
        <v>149</v>
      </c>
      <c r="K151" t="s">
        <v>23</v>
      </c>
      <c r="L151">
        <v>2161</v>
      </c>
      <c r="M151" s="4">
        <v>31.198134199999998</v>
      </c>
      <c r="N151" s="4">
        <v>0.65579155572269521</v>
      </c>
      <c r="O151" s="4">
        <v>-8.0129507115186765E-2</v>
      </c>
      <c r="P151" s="1" t="str">
        <f>HYPERLINK(".\sm_car_251116_2258\sm_car_251116_2258_150_Ca198TrN_MaMPC_DrSt_ode23t_1.png","figure")</f>
        <v>figure</v>
      </c>
      <c r="Q151" t="s">
        <v>15</v>
      </c>
      <c r="W151" s="4">
        <f>M151-'2022a_251026_2256'!M151</f>
        <v>0.28056469999999933</v>
      </c>
    </row>
    <row r="152" spans="1:23" x14ac:dyDescent="0.25">
      <c r="A152">
        <v>151</v>
      </c>
      <c r="B152">
        <v>151</v>
      </c>
      <c r="C152" t="s">
        <v>16</v>
      </c>
      <c r="D152" t="s">
        <v>17</v>
      </c>
      <c r="E152" t="s">
        <v>18</v>
      </c>
      <c r="F152" t="s">
        <v>19</v>
      </c>
      <c r="G152" t="s">
        <v>59</v>
      </c>
      <c r="H152" t="s">
        <v>21</v>
      </c>
      <c r="I152" t="s">
        <v>24</v>
      </c>
      <c r="J152" t="s">
        <v>148</v>
      </c>
      <c r="K152" t="s">
        <v>23</v>
      </c>
      <c r="L152">
        <v>507</v>
      </c>
      <c r="M152" s="4">
        <v>11.967708399999999</v>
      </c>
      <c r="N152" s="4">
        <v>72.160427442816768</v>
      </c>
      <c r="O152" s="4">
        <v>-0.79141634724789611</v>
      </c>
      <c r="P152" s="1" t="str">
        <f>HYPERLINK(".\sm_car_251116_2258\sm_car_251116_2258_151_Ca151TrN_MaLSS_DrSt_ode23t_1.png","figure")</f>
        <v>figure</v>
      </c>
      <c r="Q152" t="s">
        <v>15</v>
      </c>
      <c r="W152" s="4">
        <f>M152-'2022a_251026_2256'!M152</f>
        <v>0.8513187999999996</v>
      </c>
    </row>
    <row r="153" spans="1:23" x14ac:dyDescent="0.25">
      <c r="A153">
        <v>152</v>
      </c>
      <c r="B153">
        <v>152</v>
      </c>
      <c r="C153" t="s">
        <v>16</v>
      </c>
      <c r="D153" t="s">
        <v>17</v>
      </c>
      <c r="E153" t="s">
        <v>18</v>
      </c>
      <c r="F153" t="s">
        <v>19</v>
      </c>
      <c r="G153" t="s">
        <v>60</v>
      </c>
      <c r="H153" t="s">
        <v>21</v>
      </c>
      <c r="I153" t="s">
        <v>24</v>
      </c>
      <c r="J153" t="s">
        <v>148</v>
      </c>
      <c r="K153" t="s">
        <v>23</v>
      </c>
      <c r="L153">
        <v>532</v>
      </c>
      <c r="M153" s="4">
        <v>13.4575703</v>
      </c>
      <c r="N153" s="4">
        <v>70.588788888565816</v>
      </c>
      <c r="O153" s="4">
        <v>-0.52471149581115906</v>
      </c>
      <c r="P153" s="1" t="str">
        <f>HYPERLINK(".\sm_car_251116_2258\sm_car_251116_2258_152_Ca152TrN_MaLSS_DrSt_ode23t_1.png","figure")</f>
        <v>figure</v>
      </c>
      <c r="Q153" t="s">
        <v>15</v>
      </c>
      <c r="W153" s="4">
        <f>M153-'2022a_251026_2256'!M153</f>
        <v>1.1982390000000009</v>
      </c>
    </row>
    <row r="154" spans="1:23" x14ac:dyDescent="0.25">
      <c r="A154">
        <v>153</v>
      </c>
      <c r="B154">
        <v>153</v>
      </c>
      <c r="C154" t="s">
        <v>16</v>
      </c>
      <c r="D154" t="s">
        <v>17</v>
      </c>
      <c r="E154" t="s">
        <v>18</v>
      </c>
      <c r="F154" t="s">
        <v>19</v>
      </c>
      <c r="G154" t="s">
        <v>61</v>
      </c>
      <c r="H154" t="s">
        <v>21</v>
      </c>
      <c r="I154" t="s">
        <v>24</v>
      </c>
      <c r="J154" t="s">
        <v>148</v>
      </c>
      <c r="K154" t="s">
        <v>23</v>
      </c>
      <c r="L154">
        <v>554</v>
      </c>
      <c r="M154" s="4">
        <v>13.4566512</v>
      </c>
      <c r="N154" s="4">
        <v>70.426245631922242</v>
      </c>
      <c r="O154" s="4">
        <v>-0.85746303636131149</v>
      </c>
      <c r="P154" s="1" t="str">
        <f>HYPERLINK(".\sm_car_251116_2258\sm_car_251116_2258_153_Ca153TrN_MaLSS_DrSt_ode23t_1.png","figure")</f>
        <v>figure</v>
      </c>
      <c r="Q154" t="s">
        <v>15</v>
      </c>
      <c r="W154" s="4">
        <f>M154-'2022a_251026_2256'!M154</f>
        <v>0.81439669999999964</v>
      </c>
    </row>
    <row r="155" spans="1:23" x14ac:dyDescent="0.25">
      <c r="A155">
        <v>154</v>
      </c>
      <c r="B155">
        <v>154</v>
      </c>
      <c r="C155" t="s">
        <v>16</v>
      </c>
      <c r="D155" t="s">
        <v>17</v>
      </c>
      <c r="E155" t="s">
        <v>18</v>
      </c>
      <c r="F155" t="s">
        <v>19</v>
      </c>
      <c r="G155" t="s">
        <v>108</v>
      </c>
      <c r="H155" t="s">
        <v>21</v>
      </c>
      <c r="I155" t="s">
        <v>24</v>
      </c>
      <c r="J155" t="s">
        <v>148</v>
      </c>
      <c r="K155" t="s">
        <v>23</v>
      </c>
      <c r="L155">
        <v>483</v>
      </c>
      <c r="M155" s="4">
        <v>15.056043600000001</v>
      </c>
      <c r="N155" s="4">
        <v>70.615501275660733</v>
      </c>
      <c r="O155" s="4">
        <v>-0.35461279176614657</v>
      </c>
      <c r="P155" s="1" t="str">
        <f>HYPERLINK(".\sm_car_251116_2258\sm_car_251116_2258_154_Ca154TrN_MaLSS_DrSt_ode23t_1.png","figure")</f>
        <v>figure</v>
      </c>
      <c r="Q155" t="s">
        <v>15</v>
      </c>
      <c r="W155" s="4">
        <f>M155-'2022a_251026_2256'!M155</f>
        <v>-0.21426239999999908</v>
      </c>
    </row>
    <row r="156" spans="1:23" x14ac:dyDescent="0.25">
      <c r="A156">
        <v>155</v>
      </c>
      <c r="B156">
        <v>155</v>
      </c>
      <c r="C156" t="s">
        <v>16</v>
      </c>
      <c r="D156" t="s">
        <v>17</v>
      </c>
      <c r="E156" t="s">
        <v>18</v>
      </c>
      <c r="F156" t="s">
        <v>19</v>
      </c>
      <c r="G156" t="s">
        <v>62</v>
      </c>
      <c r="H156" t="s">
        <v>21</v>
      </c>
      <c r="I156" t="s">
        <v>24</v>
      </c>
      <c r="J156" t="s">
        <v>148</v>
      </c>
      <c r="K156" t="s">
        <v>23</v>
      </c>
      <c r="L156">
        <v>549</v>
      </c>
      <c r="M156" s="4">
        <v>18.924597800000001</v>
      </c>
      <c r="N156" s="4">
        <v>70.462482802612243</v>
      </c>
      <c r="O156" s="4">
        <v>-0.8332261701682927</v>
      </c>
      <c r="P156" s="1" t="str">
        <f>HYPERLINK(".\sm_car_251116_2258\sm_car_251116_2258_155_Ca155TrN_MaLSS_DrSt_ode23t_1.png","figure")</f>
        <v>figure</v>
      </c>
      <c r="Q156" t="s">
        <v>15</v>
      </c>
      <c r="W156" s="4">
        <f>M156-'2022a_251026_2256'!M156</f>
        <v>1.5379986999999993</v>
      </c>
    </row>
    <row r="157" spans="1:23" x14ac:dyDescent="0.25">
      <c r="A157">
        <v>156</v>
      </c>
      <c r="B157">
        <v>4</v>
      </c>
      <c r="C157" t="s">
        <v>16</v>
      </c>
      <c r="D157" t="s">
        <v>17</v>
      </c>
      <c r="E157" t="s">
        <v>18</v>
      </c>
      <c r="F157" t="s">
        <v>28</v>
      </c>
      <c r="G157" t="s">
        <v>188</v>
      </c>
      <c r="H157" t="s">
        <v>21</v>
      </c>
      <c r="I157" t="s">
        <v>22</v>
      </c>
      <c r="J157" t="s">
        <v>148</v>
      </c>
      <c r="K157" t="s">
        <v>63</v>
      </c>
      <c r="L157">
        <v>3247</v>
      </c>
      <c r="M157" s="4">
        <v>8.8551570000000002</v>
      </c>
      <c r="N157" s="4">
        <v>230.12391721786827</v>
      </c>
      <c r="O157" s="4">
        <v>-2.7190338637773392E-3</v>
      </c>
      <c r="P157" s="1" t="str">
        <f>HYPERLINK(".\sm_car_251116_2258\sm_car_251116_2258_156_Ca004TrN_MaWOT_DrSt_ode3_1.png","figure")</f>
        <v>figure</v>
      </c>
      <c r="Q157" t="s">
        <v>15</v>
      </c>
      <c r="W157" s="4">
        <f>M157-'2022a_251026_2256'!M157</f>
        <v>1.0374279</v>
      </c>
    </row>
    <row r="158" spans="1:23" x14ac:dyDescent="0.25">
      <c r="A158">
        <v>157</v>
      </c>
      <c r="B158">
        <v>4</v>
      </c>
      <c r="C158" t="s">
        <v>16</v>
      </c>
      <c r="D158" t="s">
        <v>17</v>
      </c>
      <c r="E158" t="s">
        <v>18</v>
      </c>
      <c r="F158" t="s">
        <v>28</v>
      </c>
      <c r="G158" t="s">
        <v>188</v>
      </c>
      <c r="H158" t="s">
        <v>21</v>
      </c>
      <c r="I158" t="s">
        <v>24</v>
      </c>
      <c r="J158" t="s">
        <v>148</v>
      </c>
      <c r="K158" t="s">
        <v>63</v>
      </c>
      <c r="L158">
        <v>2564</v>
      </c>
      <c r="M158" s="4">
        <v>7.4462343999999998</v>
      </c>
      <c r="N158" s="4">
        <v>70.877460183569553</v>
      </c>
      <c r="O158" s="4">
        <v>-0.53377972266774365</v>
      </c>
      <c r="P158" s="1" t="str">
        <f>HYPERLINK(".\sm_car_251116_2258\sm_car_251116_2258_157_Ca004TrN_MaLSS_DrSt_ode3_1.png","figure")</f>
        <v>figure</v>
      </c>
      <c r="Q158" t="s">
        <v>15</v>
      </c>
      <c r="W158" s="4">
        <f>M158-'2022a_251026_2256'!M158</f>
        <v>0.97620949999999951</v>
      </c>
    </row>
    <row r="159" spans="1:23" x14ac:dyDescent="0.25">
      <c r="A159">
        <v>158</v>
      </c>
      <c r="B159">
        <v>4</v>
      </c>
      <c r="C159" t="s">
        <v>16</v>
      </c>
      <c r="D159" t="s">
        <v>17</v>
      </c>
      <c r="E159" t="s">
        <v>18</v>
      </c>
      <c r="F159" t="s">
        <v>28</v>
      </c>
      <c r="G159" t="s">
        <v>188</v>
      </c>
      <c r="H159" t="s">
        <v>21</v>
      </c>
      <c r="I159" t="s">
        <v>64</v>
      </c>
      <c r="J159" t="s">
        <v>148</v>
      </c>
      <c r="K159" t="s">
        <v>63</v>
      </c>
      <c r="L159">
        <v>2562</v>
      </c>
      <c r="M159" s="4">
        <v>7.7127511999999996</v>
      </c>
      <c r="N159" s="4">
        <v>63.517181708669909</v>
      </c>
      <c r="O159" s="4">
        <v>-24.808510950198681</v>
      </c>
      <c r="P159" s="1" t="str">
        <f>HYPERLINK(".\sm_car_251116_2258\sm_car_251116_2258_158_Ca004TrN_MaTUR_DrSt_ode3_1.png","figure")</f>
        <v>figure</v>
      </c>
      <c r="Q159" t="s">
        <v>15</v>
      </c>
      <c r="W159" s="4">
        <f>M159-'2022a_251026_2256'!M159</f>
        <v>1.2683019999999994</v>
      </c>
    </row>
    <row r="160" spans="1:23" x14ac:dyDescent="0.25">
      <c r="A160">
        <v>159</v>
      </c>
      <c r="B160">
        <v>116</v>
      </c>
      <c r="C160" t="s">
        <v>16</v>
      </c>
      <c r="D160" t="s">
        <v>35</v>
      </c>
      <c r="E160" t="s">
        <v>18</v>
      </c>
      <c r="F160" t="s">
        <v>28</v>
      </c>
      <c r="G160" t="s">
        <v>188</v>
      </c>
      <c r="H160" t="s">
        <v>21</v>
      </c>
      <c r="I160" t="s">
        <v>22</v>
      </c>
      <c r="J160" t="s">
        <v>148</v>
      </c>
      <c r="K160" t="s">
        <v>63</v>
      </c>
      <c r="L160">
        <v>3244</v>
      </c>
      <c r="M160" s="4">
        <v>3.9088826999999999</v>
      </c>
      <c r="N160" s="4">
        <v>242.69607452341987</v>
      </c>
      <c r="O160" s="4">
        <v>0.23635446031101723</v>
      </c>
      <c r="P160" s="1" t="str">
        <f>HYPERLINK(".\sm_car_251116_2258\sm_car_251116_2258_159_Ca116TrN_MaWOT_DrSt_ode3_1.png","figure")</f>
        <v>figure</v>
      </c>
      <c r="Q160" t="s">
        <v>15</v>
      </c>
      <c r="W160" s="4">
        <f>M160-'2022a_251026_2256'!M160</f>
        <v>0.22373550000000009</v>
      </c>
    </row>
    <row r="161" spans="1:23" x14ac:dyDescent="0.25">
      <c r="A161">
        <v>160</v>
      </c>
      <c r="B161">
        <v>116</v>
      </c>
      <c r="C161" t="s">
        <v>16</v>
      </c>
      <c r="D161" t="s">
        <v>35</v>
      </c>
      <c r="E161" t="s">
        <v>18</v>
      </c>
      <c r="F161" t="s">
        <v>28</v>
      </c>
      <c r="G161" t="s">
        <v>188</v>
      </c>
      <c r="H161" t="s">
        <v>21</v>
      </c>
      <c r="I161" t="s">
        <v>24</v>
      </c>
      <c r="J161" t="s">
        <v>148</v>
      </c>
      <c r="K161" t="s">
        <v>63</v>
      </c>
      <c r="L161">
        <v>2564</v>
      </c>
      <c r="M161" s="4">
        <v>3.0525197999999998</v>
      </c>
      <c r="N161" s="4">
        <v>74.657190781644118</v>
      </c>
      <c r="O161" s="4">
        <v>-0.34075824439014252</v>
      </c>
      <c r="P161" s="1" t="str">
        <f>HYPERLINK(".\sm_car_251116_2258\sm_car_251116_2258_160_Ca116TrN_MaLSS_DrSt_ode3_1.png","figure")</f>
        <v>figure</v>
      </c>
      <c r="Q161" t="s">
        <v>15</v>
      </c>
      <c r="W161" s="4">
        <f>M161-'2022a_251026_2256'!M161</f>
        <v>-8.1774100000000072E-2</v>
      </c>
    </row>
    <row r="162" spans="1:23" x14ac:dyDescent="0.25">
      <c r="A162">
        <v>161</v>
      </c>
      <c r="B162">
        <v>116</v>
      </c>
      <c r="C162" t="s">
        <v>16</v>
      </c>
      <c r="D162" t="s">
        <v>35</v>
      </c>
      <c r="E162" t="s">
        <v>18</v>
      </c>
      <c r="F162" t="s">
        <v>28</v>
      </c>
      <c r="G162" t="s">
        <v>188</v>
      </c>
      <c r="H162" t="s">
        <v>21</v>
      </c>
      <c r="I162" t="s">
        <v>64</v>
      </c>
      <c r="J162" t="s">
        <v>148</v>
      </c>
      <c r="K162" t="s">
        <v>63</v>
      </c>
      <c r="L162">
        <v>2563</v>
      </c>
      <c r="M162" s="4">
        <v>3.0173774999999998</v>
      </c>
      <c r="N162" s="4">
        <v>71.322015477791922</v>
      </c>
      <c r="O162" s="4">
        <v>-17.59032913116118</v>
      </c>
      <c r="P162" s="1" t="str">
        <f>HYPERLINK(".\sm_car_251116_2258\sm_car_251116_2258_161_Ca116TrN_MaTUR_DrSt_ode3_1.png","figure")</f>
        <v>figure</v>
      </c>
      <c r="Q162" t="s">
        <v>15</v>
      </c>
      <c r="W162" s="4">
        <f>M162-'2022a_251026_2256'!M162</f>
        <v>-0.11015790000000036</v>
      </c>
    </row>
    <row r="163" spans="1:23" x14ac:dyDescent="0.25">
      <c r="A163">
        <v>162</v>
      </c>
      <c r="B163">
        <v>124</v>
      </c>
      <c r="C163" t="s">
        <v>16</v>
      </c>
      <c r="D163" t="s">
        <v>35</v>
      </c>
      <c r="E163" t="s">
        <v>49</v>
      </c>
      <c r="F163" t="s">
        <v>28</v>
      </c>
      <c r="G163" t="s">
        <v>188</v>
      </c>
      <c r="H163" t="s">
        <v>21</v>
      </c>
      <c r="I163" t="s">
        <v>22</v>
      </c>
      <c r="J163" t="s">
        <v>148</v>
      </c>
      <c r="K163" t="s">
        <v>63</v>
      </c>
      <c r="L163">
        <v>3244</v>
      </c>
      <c r="M163" s="4">
        <v>2.0545314000000001</v>
      </c>
      <c r="N163" s="4">
        <v>242.87242715534208</v>
      </c>
      <c r="O163" s="4">
        <v>0.23615864655911348</v>
      </c>
      <c r="P163" s="1" t="str">
        <f>HYPERLINK(".\sm_car_251116_2258\sm_car_251116_2258_162_Ca124TrN_MaWOT_DrSt_ode3_1.png","figure")</f>
        <v>figure</v>
      </c>
      <c r="Q163" t="s">
        <v>15</v>
      </c>
      <c r="W163" s="4">
        <f>M163-'2022a_251026_2256'!M163</f>
        <v>-2.2947299999999782E-2</v>
      </c>
    </row>
    <row r="164" spans="1:23" x14ac:dyDescent="0.25">
      <c r="A164">
        <v>163</v>
      </c>
      <c r="B164">
        <v>124</v>
      </c>
      <c r="C164" t="s">
        <v>16</v>
      </c>
      <c r="D164" t="s">
        <v>35</v>
      </c>
      <c r="E164" t="s">
        <v>49</v>
      </c>
      <c r="F164" t="s">
        <v>28</v>
      </c>
      <c r="G164" t="s">
        <v>188</v>
      </c>
      <c r="H164" t="s">
        <v>21</v>
      </c>
      <c r="I164" t="s">
        <v>24</v>
      </c>
      <c r="J164" t="s">
        <v>148</v>
      </c>
      <c r="K164" t="s">
        <v>63</v>
      </c>
      <c r="L164">
        <v>2565</v>
      </c>
      <c r="M164" s="4">
        <v>1.6833214999999999</v>
      </c>
      <c r="N164" s="4">
        <v>74.796106047599451</v>
      </c>
      <c r="O164" s="4">
        <v>-0.3423374665159527</v>
      </c>
      <c r="P164" s="1" t="str">
        <f>HYPERLINK(".\sm_car_251116_2258\sm_car_251116_2258_163_Ca124TrN_MaLSS_DrSt_ode3_1.png","figure")</f>
        <v>figure</v>
      </c>
      <c r="Q164" t="s">
        <v>15</v>
      </c>
      <c r="W164" s="4">
        <f>M164-'2022a_251026_2256'!M164</f>
        <v>1.7331399999999997E-2</v>
      </c>
    </row>
    <row r="165" spans="1:23" x14ac:dyDescent="0.25">
      <c r="A165">
        <v>164</v>
      </c>
      <c r="B165">
        <v>124</v>
      </c>
      <c r="C165" t="s">
        <v>16</v>
      </c>
      <c r="D165" t="s">
        <v>35</v>
      </c>
      <c r="E165" t="s">
        <v>49</v>
      </c>
      <c r="F165" t="s">
        <v>28</v>
      </c>
      <c r="G165" t="s">
        <v>188</v>
      </c>
      <c r="H165" t="s">
        <v>21</v>
      </c>
      <c r="I165" t="s">
        <v>64</v>
      </c>
      <c r="J165" t="s">
        <v>148</v>
      </c>
      <c r="K165" t="s">
        <v>63</v>
      </c>
      <c r="L165">
        <v>2564</v>
      </c>
      <c r="M165" s="4">
        <v>1.7969246999999999</v>
      </c>
      <c r="N165" s="4">
        <v>71.44740813970391</v>
      </c>
      <c r="O165" s="4">
        <v>-17.636376353758365</v>
      </c>
      <c r="P165" s="1" t="str">
        <f>HYPERLINK(".\sm_car_251116_2258\sm_car_251116_2258_164_Ca124TrN_MaTUR_DrSt_ode3_1.png","figure")</f>
        <v>figure</v>
      </c>
      <c r="Q165" t="s">
        <v>15</v>
      </c>
      <c r="W165" s="4">
        <f>M165-'2022a_251026_2256'!M165</f>
        <v>-2.3089000000000581E-3</v>
      </c>
    </row>
    <row r="166" spans="1:23" x14ac:dyDescent="0.25">
      <c r="A166">
        <v>165</v>
      </c>
      <c r="B166">
        <v>141</v>
      </c>
      <c r="C166" t="s">
        <v>45</v>
      </c>
      <c r="D166" t="s">
        <v>17</v>
      </c>
      <c r="E166" t="s">
        <v>18</v>
      </c>
      <c r="F166" t="s">
        <v>28</v>
      </c>
      <c r="G166" t="s">
        <v>26</v>
      </c>
      <c r="H166" t="s">
        <v>21</v>
      </c>
      <c r="I166" t="s">
        <v>22</v>
      </c>
      <c r="J166" t="s">
        <v>148</v>
      </c>
      <c r="K166" t="s">
        <v>63</v>
      </c>
      <c r="L166">
        <v>3839</v>
      </c>
      <c r="M166" s="4">
        <v>13.2203225</v>
      </c>
      <c r="N166" s="4">
        <v>402.30863495690755</v>
      </c>
      <c r="O166" s="4">
        <v>1.6338397292265674</v>
      </c>
      <c r="P166" s="1" t="str">
        <f>HYPERLINK(".\sm_car_251116_2258\sm_car_251116_2258_165_Ca141TrN_MaWOT_DrSt_ode3_1.png","figure")</f>
        <v>figure</v>
      </c>
      <c r="Q166" t="s">
        <v>15</v>
      </c>
      <c r="W166" s="4">
        <f>M166-'2022a_251026_2256'!M166</f>
        <v>1.9316589999999998</v>
      </c>
    </row>
    <row r="167" spans="1:23" x14ac:dyDescent="0.25">
      <c r="A167">
        <v>166</v>
      </c>
      <c r="B167">
        <v>141</v>
      </c>
      <c r="C167" t="s">
        <v>45</v>
      </c>
      <c r="D167" t="s">
        <v>17</v>
      </c>
      <c r="E167" t="s">
        <v>18</v>
      </c>
      <c r="F167" t="s">
        <v>28</v>
      </c>
      <c r="G167" t="s">
        <v>26</v>
      </c>
      <c r="H167" t="s">
        <v>21</v>
      </c>
      <c r="I167" t="s">
        <v>24</v>
      </c>
      <c r="J167" t="s">
        <v>148</v>
      </c>
      <c r="K167" t="s">
        <v>63</v>
      </c>
      <c r="L167">
        <v>3192</v>
      </c>
      <c r="M167" s="4">
        <v>9.4437543999999995</v>
      </c>
      <c r="N167" s="4">
        <v>153.1610325304562</v>
      </c>
      <c r="O167" s="4">
        <v>-0.57333301742495391</v>
      </c>
      <c r="P167" s="1" t="str">
        <f>HYPERLINK(".\sm_car_251116_2258\sm_car_251116_2258_166_Ca141TrN_MaLSS_DrSt_ode3_1.png","figure")</f>
        <v>figure</v>
      </c>
      <c r="Q167" t="s">
        <v>15</v>
      </c>
      <c r="W167" s="4">
        <f>M167-'2022a_251026_2256'!M167</f>
        <v>8.8597399999999382E-2</v>
      </c>
    </row>
    <row r="168" spans="1:23" x14ac:dyDescent="0.25">
      <c r="A168">
        <v>167</v>
      </c>
      <c r="B168">
        <v>141</v>
      </c>
      <c r="C168" t="s">
        <v>45</v>
      </c>
      <c r="D168" t="s">
        <v>17</v>
      </c>
      <c r="E168" t="s">
        <v>18</v>
      </c>
      <c r="F168" t="s">
        <v>28</v>
      </c>
      <c r="G168" t="s">
        <v>26</v>
      </c>
      <c r="H168" t="s">
        <v>21</v>
      </c>
      <c r="I168" t="s">
        <v>64</v>
      </c>
      <c r="J168" t="s">
        <v>148</v>
      </c>
      <c r="K168" t="s">
        <v>63</v>
      </c>
      <c r="L168">
        <v>3161</v>
      </c>
      <c r="M168" s="4">
        <v>9.2414708999999995</v>
      </c>
      <c r="N168" s="4">
        <v>98.182502301530434</v>
      </c>
      <c r="O168" s="4">
        <v>-86.478323076891002</v>
      </c>
      <c r="P168" s="1" t="str">
        <f>HYPERLINK(".\sm_car_251116_2258\sm_car_251116_2258_167_Ca141TrN_MaTUR_DrSt_ode3_1.png","figure")</f>
        <v>figure</v>
      </c>
      <c r="Q168" t="s">
        <v>15</v>
      </c>
      <c r="W168" s="4">
        <f>M168-'2022a_251026_2256'!M168</f>
        <v>-9.2546900000000321E-2</v>
      </c>
    </row>
    <row r="169" spans="1:23" x14ac:dyDescent="0.25">
      <c r="A169">
        <v>168</v>
      </c>
      <c r="B169">
        <v>145</v>
      </c>
      <c r="C169" t="s">
        <v>46</v>
      </c>
      <c r="D169" t="s">
        <v>17</v>
      </c>
      <c r="E169" t="s">
        <v>50</v>
      </c>
      <c r="F169" t="s">
        <v>19</v>
      </c>
      <c r="G169" t="s">
        <v>26</v>
      </c>
      <c r="H169" t="s">
        <v>21</v>
      </c>
      <c r="I169" t="s">
        <v>22</v>
      </c>
      <c r="J169" t="s">
        <v>148</v>
      </c>
      <c r="K169" t="s">
        <v>63</v>
      </c>
      <c r="L169">
        <v>2643</v>
      </c>
      <c r="M169" s="4">
        <v>7.4966111</v>
      </c>
      <c r="N169" s="4">
        <v>62.801920219963705</v>
      </c>
      <c r="O169" s="4">
        <v>1.2870889453072795E-2</v>
      </c>
      <c r="P169" s="1" t="str">
        <f>HYPERLINK(".\sm_car_251116_2258\sm_car_251116_2258_168_Ca145TrN_MaWOT_DrSt_ode3_1.png","figure")</f>
        <v>figure</v>
      </c>
      <c r="Q169" t="s">
        <v>15</v>
      </c>
      <c r="W169" s="4">
        <f>M169-'2022a_251026_2256'!M169</f>
        <v>1.0190976000000003</v>
      </c>
    </row>
    <row r="170" spans="1:23" x14ac:dyDescent="0.25">
      <c r="A170">
        <v>169</v>
      </c>
      <c r="B170">
        <v>145</v>
      </c>
      <c r="C170" t="s">
        <v>46</v>
      </c>
      <c r="D170" t="s">
        <v>17</v>
      </c>
      <c r="E170" t="s">
        <v>50</v>
      </c>
      <c r="F170" t="s">
        <v>19</v>
      </c>
      <c r="G170" t="s">
        <v>26</v>
      </c>
      <c r="H170" t="s">
        <v>21</v>
      </c>
      <c r="I170" t="s">
        <v>24</v>
      </c>
      <c r="J170" t="s">
        <v>148</v>
      </c>
      <c r="K170" t="s">
        <v>63</v>
      </c>
      <c r="L170">
        <v>2382</v>
      </c>
      <c r="M170" s="4">
        <v>6.8558985000000003</v>
      </c>
      <c r="N170" s="4">
        <v>25.29979029858395</v>
      </c>
      <c r="O170" s="4">
        <v>-5.1073510343849056E-2</v>
      </c>
      <c r="P170" s="1" t="str">
        <f>HYPERLINK(".\sm_car_251116_2258\sm_car_251116_2258_169_Ca145TrN_MaLSS_DrSt_ode3_1.png","figure")</f>
        <v>figure</v>
      </c>
      <c r="Q170" t="s">
        <v>15</v>
      </c>
      <c r="W170" s="4">
        <f>M170-'2022a_251026_2256'!M170</f>
        <v>1.0734004000000006</v>
      </c>
    </row>
    <row r="171" spans="1:23" x14ac:dyDescent="0.25">
      <c r="A171">
        <v>170</v>
      </c>
      <c r="B171">
        <v>145</v>
      </c>
      <c r="C171" t="s">
        <v>46</v>
      </c>
      <c r="D171" t="s">
        <v>17</v>
      </c>
      <c r="E171" t="s">
        <v>50</v>
      </c>
      <c r="F171" t="s">
        <v>19</v>
      </c>
      <c r="G171" t="s">
        <v>26</v>
      </c>
      <c r="H171" t="s">
        <v>21</v>
      </c>
      <c r="I171" t="s">
        <v>64</v>
      </c>
      <c r="J171" t="s">
        <v>148</v>
      </c>
      <c r="K171" t="s">
        <v>63</v>
      </c>
      <c r="L171">
        <v>2381</v>
      </c>
      <c r="M171" s="4">
        <v>6.7441857000000001</v>
      </c>
      <c r="N171" s="4">
        <v>25.120380758055489</v>
      </c>
      <c r="O171" s="4">
        <v>-2.6101423234318388</v>
      </c>
      <c r="P171" s="1" t="str">
        <f>HYPERLINK(".\sm_car_251116_2258\sm_car_251116_2258_170_Ca145TrN_MaTUR_DrSt_ode3_1.png","figure")</f>
        <v>figure</v>
      </c>
      <c r="Q171" t="s">
        <v>15</v>
      </c>
      <c r="W171" s="4">
        <f>M171-'2022a_251026_2256'!M171</f>
        <v>0.85790889999999997</v>
      </c>
    </row>
    <row r="172" spans="1:23" x14ac:dyDescent="0.25">
      <c r="A172">
        <v>171</v>
      </c>
      <c r="B172">
        <v>199</v>
      </c>
      <c r="C172" t="s">
        <v>46</v>
      </c>
      <c r="D172" t="s">
        <v>17</v>
      </c>
      <c r="E172" t="s">
        <v>109</v>
      </c>
      <c r="F172" t="s">
        <v>19</v>
      </c>
      <c r="G172" t="s">
        <v>26</v>
      </c>
      <c r="H172" t="s">
        <v>21</v>
      </c>
      <c r="I172" t="s">
        <v>22</v>
      </c>
      <c r="J172" t="s">
        <v>148</v>
      </c>
      <c r="K172" t="s">
        <v>63</v>
      </c>
      <c r="L172">
        <v>2646</v>
      </c>
      <c r="M172" s="4">
        <v>8.5048344999999994</v>
      </c>
      <c r="N172" s="4">
        <v>63.479376009665017</v>
      </c>
      <c r="O172" s="4">
        <v>-1.1364260915967339E-4</v>
      </c>
      <c r="P172" s="1" t="str">
        <f>HYPERLINK(".\sm_car_251116_2258\sm_car_251116_2258_171_Ca199TrN_MaWOT_DrSt_ode3_1.png","figure")</f>
        <v>figure</v>
      </c>
      <c r="Q172" t="s">
        <v>15</v>
      </c>
      <c r="W172" s="4">
        <f>M172-'2022a_251026_2256'!M172</f>
        <v>1.1233535999999997</v>
      </c>
    </row>
    <row r="173" spans="1:23" x14ac:dyDescent="0.25">
      <c r="A173">
        <v>172</v>
      </c>
      <c r="B173">
        <v>199</v>
      </c>
      <c r="C173" t="s">
        <v>46</v>
      </c>
      <c r="D173" t="s">
        <v>17</v>
      </c>
      <c r="E173" t="s">
        <v>109</v>
      </c>
      <c r="F173" t="s">
        <v>19</v>
      </c>
      <c r="G173" t="s">
        <v>26</v>
      </c>
      <c r="H173" t="s">
        <v>21</v>
      </c>
      <c r="I173" t="s">
        <v>24</v>
      </c>
      <c r="J173" t="s">
        <v>148</v>
      </c>
      <c r="K173" t="s">
        <v>63</v>
      </c>
      <c r="L173">
        <v>2385</v>
      </c>
      <c r="M173" s="4">
        <v>7.7620806</v>
      </c>
      <c r="N173" s="4">
        <v>25.91953307782153</v>
      </c>
      <c r="O173" s="4">
        <v>-5.3786532613676601E-2</v>
      </c>
      <c r="P173" s="1" t="str">
        <f>HYPERLINK(".\sm_car_251116_2258\sm_car_251116_2258_172_Ca199TrN_MaLSS_DrSt_ode3_1.png","figure")</f>
        <v>figure</v>
      </c>
      <c r="Q173" t="s">
        <v>15</v>
      </c>
      <c r="W173" s="4">
        <f>M173-'2022a_251026_2256'!M173</f>
        <v>1.1670822999999997</v>
      </c>
    </row>
    <row r="174" spans="1:23" x14ac:dyDescent="0.25">
      <c r="A174">
        <v>173</v>
      </c>
      <c r="B174">
        <v>199</v>
      </c>
      <c r="C174" t="s">
        <v>46</v>
      </c>
      <c r="D174" t="s">
        <v>17</v>
      </c>
      <c r="E174" t="s">
        <v>109</v>
      </c>
      <c r="F174" t="s">
        <v>19</v>
      </c>
      <c r="G174" t="s">
        <v>26</v>
      </c>
      <c r="H174" t="s">
        <v>21</v>
      </c>
      <c r="I174" t="s">
        <v>64</v>
      </c>
      <c r="J174" t="s">
        <v>148</v>
      </c>
      <c r="K174" t="s">
        <v>63</v>
      </c>
      <c r="L174">
        <v>2383</v>
      </c>
      <c r="M174" s="4">
        <v>7.6795536000000002</v>
      </c>
      <c r="N174" s="4">
        <v>25.733627921922782</v>
      </c>
      <c r="O174" s="4">
        <v>-2.6936809071955667</v>
      </c>
      <c r="P174" s="1" t="str">
        <f>HYPERLINK(".\sm_car_251116_2258\sm_car_251116_2258_173_Ca199TrN_MaTUR_DrSt_ode3_1.png","figure")</f>
        <v>figure</v>
      </c>
      <c r="Q174" t="s">
        <v>15</v>
      </c>
      <c r="W174" s="4">
        <f>M174-'2022a_251026_2256'!M174</f>
        <v>0.83868920000000013</v>
      </c>
    </row>
    <row r="175" spans="1:23" x14ac:dyDescent="0.25">
      <c r="A175">
        <v>174</v>
      </c>
      <c r="B175">
        <v>139</v>
      </c>
      <c r="C175" t="s">
        <v>45</v>
      </c>
      <c r="D175" t="s">
        <v>17</v>
      </c>
      <c r="E175" t="s">
        <v>18</v>
      </c>
      <c r="F175" t="s">
        <v>19</v>
      </c>
      <c r="G175" t="s">
        <v>26</v>
      </c>
      <c r="H175" t="s">
        <v>21</v>
      </c>
      <c r="I175" t="s">
        <v>53</v>
      </c>
      <c r="J175" t="s">
        <v>148</v>
      </c>
      <c r="K175" t="s">
        <v>23</v>
      </c>
      <c r="L175">
        <v>547</v>
      </c>
      <c r="M175" s="4">
        <v>13.782257899999999</v>
      </c>
      <c r="N175" s="4">
        <v>254.52410607794945</v>
      </c>
      <c r="O175" s="4">
        <v>-8.1096108128351219E-3</v>
      </c>
      <c r="P175" s="1" t="str">
        <f>HYPERLINK(".\sm_car_251116_2258\sm_car_251116_2258_174_Ca139TrN_MaDLC_DrSt_ode23t_1.png","figure")</f>
        <v>figure</v>
      </c>
      <c r="Q175" t="s">
        <v>15</v>
      </c>
      <c r="W175" s="4">
        <f>M175-'2022a_251026_2256'!M175</f>
        <v>2.2600274000000002</v>
      </c>
    </row>
    <row r="176" spans="1:23" x14ac:dyDescent="0.25">
      <c r="A176">
        <v>175</v>
      </c>
      <c r="B176">
        <v>139</v>
      </c>
      <c r="C176" t="s">
        <v>45</v>
      </c>
      <c r="D176" t="s">
        <v>17</v>
      </c>
      <c r="E176" t="s">
        <v>18</v>
      </c>
      <c r="F176" t="s">
        <v>19</v>
      </c>
      <c r="G176" t="s">
        <v>26</v>
      </c>
      <c r="H176" t="s">
        <v>65</v>
      </c>
      <c r="I176" t="s">
        <v>53</v>
      </c>
      <c r="J176" t="s">
        <v>148</v>
      </c>
      <c r="K176" t="s">
        <v>23</v>
      </c>
      <c r="L176">
        <v>834</v>
      </c>
      <c r="M176" s="4">
        <v>32.673101099999997</v>
      </c>
      <c r="N176" s="4">
        <v>253.41072675110667</v>
      </c>
      <c r="O176" s="4">
        <v>7.8925577810311509E-3</v>
      </c>
      <c r="P176" s="1" t="str">
        <f>HYPERLINK(".\sm_car_251116_2258\sm_car_251116_2258_175_Ca139TrE_MaDLC_DrSt_ode23t_1.png","figure")</f>
        <v>figure</v>
      </c>
      <c r="Q176" t="s">
        <v>15</v>
      </c>
      <c r="W176" s="4">
        <f>M176-'2022a_251026_2256'!M176</f>
        <v>1.8989002999999975</v>
      </c>
    </row>
    <row r="177" spans="1:23" x14ac:dyDescent="0.25">
      <c r="A177">
        <v>176</v>
      </c>
      <c r="B177">
        <v>139</v>
      </c>
      <c r="C177" t="s">
        <v>45</v>
      </c>
      <c r="D177" t="s">
        <v>17</v>
      </c>
      <c r="E177" t="s">
        <v>18</v>
      </c>
      <c r="F177" t="s">
        <v>19</v>
      </c>
      <c r="G177" t="s">
        <v>26</v>
      </c>
      <c r="H177" t="s">
        <v>66</v>
      </c>
      <c r="I177" t="s">
        <v>53</v>
      </c>
      <c r="J177" t="s">
        <v>148</v>
      </c>
      <c r="K177" t="s">
        <v>23</v>
      </c>
      <c r="L177">
        <v>994</v>
      </c>
      <c r="M177" s="4">
        <v>38.697631299999998</v>
      </c>
      <c r="N177" s="4">
        <v>253.50117757716129</v>
      </c>
      <c r="O177" s="4">
        <v>-9.4592125030859009E-3</v>
      </c>
      <c r="P177" s="1" t="str">
        <f>HYPERLINK(".\sm_car_251116_2258\sm_car_251116_2258_176_Ca139TrT_MaDLC_DrSt_ode23t_1.png","figure")</f>
        <v>figure</v>
      </c>
      <c r="Q177" t="s">
        <v>15</v>
      </c>
      <c r="W177" s="4">
        <f>M177-'2022a_251026_2256'!M177</f>
        <v>-0.85237370000000112</v>
      </c>
    </row>
    <row r="178" spans="1:23" x14ac:dyDescent="0.25">
      <c r="A178">
        <v>177</v>
      </c>
      <c r="B178">
        <v>139</v>
      </c>
      <c r="C178" t="s">
        <v>45</v>
      </c>
      <c r="D178" t="s">
        <v>17</v>
      </c>
      <c r="E178" t="s">
        <v>18</v>
      </c>
      <c r="F178" t="s">
        <v>19</v>
      </c>
      <c r="G178" t="s">
        <v>26</v>
      </c>
      <c r="H178" t="s">
        <v>65</v>
      </c>
      <c r="I178" t="s">
        <v>53</v>
      </c>
      <c r="J178" t="s">
        <v>148</v>
      </c>
      <c r="K178" t="s">
        <v>23</v>
      </c>
      <c r="L178">
        <v>834</v>
      </c>
      <c r="M178" s="4">
        <v>24.868376300000001</v>
      </c>
      <c r="N178" s="4">
        <v>253.32657039427983</v>
      </c>
      <c r="O178" s="4">
        <v>0.15599010951096526</v>
      </c>
      <c r="P178" s="1" t="str">
        <f>HYPERLINK(".\sm_car_251116_2258\sm_car_251116_2258_177_Ca139TrE_MaDLC_DrSt_ode23t_1.png","figure")</f>
        <v>figure</v>
      </c>
      <c r="Q178" t="s">
        <v>15</v>
      </c>
      <c r="W178" s="4">
        <f>M178-'2022a_251026_2256'!M178</f>
        <v>1.5456666000000006</v>
      </c>
    </row>
    <row r="179" spans="1:23" x14ac:dyDescent="0.25">
      <c r="A179">
        <v>178</v>
      </c>
      <c r="B179">
        <v>2</v>
      </c>
      <c r="C179" t="s">
        <v>16</v>
      </c>
      <c r="D179" t="s">
        <v>17</v>
      </c>
      <c r="E179" t="s">
        <v>18</v>
      </c>
      <c r="F179" t="s">
        <v>19</v>
      </c>
      <c r="G179" t="s">
        <v>188</v>
      </c>
      <c r="H179" t="s">
        <v>21</v>
      </c>
      <c r="I179" t="s">
        <v>53</v>
      </c>
      <c r="J179" t="s">
        <v>148</v>
      </c>
      <c r="K179" t="s">
        <v>23</v>
      </c>
      <c r="L179">
        <v>533</v>
      </c>
      <c r="M179" s="4">
        <v>10.0024956</v>
      </c>
      <c r="N179" s="4">
        <v>253.36497762338064</v>
      </c>
      <c r="O179" s="4">
        <v>4.693530234396226E-2</v>
      </c>
      <c r="P179" s="1" t="str">
        <f>HYPERLINK(".\sm_car_251116_2258\sm_car_251116_2258_178_Ca002TrN_MaDLC_DrSt_ode23t_1.png","figure")</f>
        <v>figure</v>
      </c>
      <c r="Q179" t="s">
        <v>15</v>
      </c>
      <c r="W179" s="4">
        <f>M179-'2022a_251026_2256'!M179</f>
        <v>1.1030528999999998</v>
      </c>
    </row>
    <row r="180" spans="1:23" x14ac:dyDescent="0.25">
      <c r="A180">
        <v>179</v>
      </c>
      <c r="B180">
        <v>2</v>
      </c>
      <c r="C180" t="s">
        <v>16</v>
      </c>
      <c r="D180" t="s">
        <v>17</v>
      </c>
      <c r="E180" t="s">
        <v>18</v>
      </c>
      <c r="F180" t="s">
        <v>19</v>
      </c>
      <c r="G180" t="s">
        <v>188</v>
      </c>
      <c r="H180" t="s">
        <v>65</v>
      </c>
      <c r="I180" t="s">
        <v>53</v>
      </c>
      <c r="J180" t="s">
        <v>148</v>
      </c>
      <c r="K180" t="s">
        <v>23</v>
      </c>
      <c r="L180">
        <v>575</v>
      </c>
      <c r="M180" s="4">
        <v>17.7729575</v>
      </c>
      <c r="N180" s="4">
        <v>255.55445015011259</v>
      </c>
      <c r="O180" s="4">
        <v>3.9647557741209205E-2</v>
      </c>
      <c r="P180" s="1" t="str">
        <f>HYPERLINK(".\sm_car_251116_2258\sm_car_251116_2258_179_Ca002TrE_MaDLC_DrSt_ode23t_1.png","figure")</f>
        <v>figure</v>
      </c>
      <c r="Q180" t="s">
        <v>15</v>
      </c>
      <c r="W180" s="4">
        <f>M180-'2022a_251026_2256'!M180</f>
        <v>0.75443939999999898</v>
      </c>
    </row>
    <row r="181" spans="1:23" x14ac:dyDescent="0.25">
      <c r="A181">
        <v>180</v>
      </c>
      <c r="B181">
        <v>2</v>
      </c>
      <c r="C181" t="s">
        <v>16</v>
      </c>
      <c r="D181" t="s">
        <v>17</v>
      </c>
      <c r="E181" t="s">
        <v>18</v>
      </c>
      <c r="F181" t="s">
        <v>19</v>
      </c>
      <c r="G181" t="s">
        <v>188</v>
      </c>
      <c r="H181" t="s">
        <v>66</v>
      </c>
      <c r="I181" t="s">
        <v>53</v>
      </c>
      <c r="J181" t="s">
        <v>148</v>
      </c>
      <c r="K181" t="s">
        <v>23</v>
      </c>
      <c r="L181">
        <v>906</v>
      </c>
      <c r="M181" s="4">
        <v>29.522157700000001</v>
      </c>
      <c r="N181" s="4">
        <v>253.44383112120892</v>
      </c>
      <c r="O181" s="4">
        <v>4.6639172048464239E-2</v>
      </c>
      <c r="P181" s="1" t="str">
        <f>HYPERLINK(".\sm_car_251116_2258\sm_car_251116_2258_180_Ca002TrT_MaDLC_DrSt_ode23t_1.png","figure")</f>
        <v>figure</v>
      </c>
      <c r="Q181" t="s">
        <v>15</v>
      </c>
      <c r="W181" s="4">
        <f>M181-'2022a_251026_2256'!M181</f>
        <v>5.0560143000000011</v>
      </c>
    </row>
    <row r="182" spans="1:23" x14ac:dyDescent="0.25">
      <c r="A182">
        <v>181</v>
      </c>
      <c r="B182">
        <v>2</v>
      </c>
      <c r="C182" t="s">
        <v>16</v>
      </c>
      <c r="D182" t="s">
        <v>17</v>
      </c>
      <c r="E182" t="s">
        <v>18</v>
      </c>
      <c r="F182" t="s">
        <v>19</v>
      </c>
      <c r="G182" t="s">
        <v>188</v>
      </c>
      <c r="H182" t="s">
        <v>65</v>
      </c>
      <c r="I182" t="s">
        <v>53</v>
      </c>
      <c r="J182" t="s">
        <v>148</v>
      </c>
      <c r="K182" t="s">
        <v>23</v>
      </c>
      <c r="L182">
        <v>577</v>
      </c>
      <c r="M182" s="4">
        <v>13.729462099999999</v>
      </c>
      <c r="N182" s="4">
        <v>253.75445802446359</v>
      </c>
      <c r="O182" s="4">
        <v>4.6109966286897563E-2</v>
      </c>
      <c r="P182" s="1" t="str">
        <f>HYPERLINK(".\sm_car_251116_2258\sm_car_251116_2258_181_Ca002TrE_MaDLC_DrSt_ode23t_1.png","figure")</f>
        <v>figure</v>
      </c>
      <c r="Q182" t="s">
        <v>15</v>
      </c>
      <c r="W182" s="4">
        <f>M182-'2022a_251026_2256'!M182</f>
        <v>0.82474869999999889</v>
      </c>
    </row>
    <row r="183" spans="1:23" x14ac:dyDescent="0.25">
      <c r="A183">
        <v>182</v>
      </c>
      <c r="B183">
        <v>145</v>
      </c>
      <c r="C183" t="s">
        <v>46</v>
      </c>
      <c r="D183" t="s">
        <v>17</v>
      </c>
      <c r="E183" t="s">
        <v>50</v>
      </c>
      <c r="F183" t="s">
        <v>19</v>
      </c>
      <c r="G183" t="s">
        <v>26</v>
      </c>
      <c r="H183" t="s">
        <v>21</v>
      </c>
      <c r="I183" t="s">
        <v>53</v>
      </c>
      <c r="J183" t="s">
        <v>148</v>
      </c>
      <c r="K183" t="s">
        <v>23</v>
      </c>
      <c r="L183">
        <v>459</v>
      </c>
      <c r="M183" s="4">
        <v>16.6164527</v>
      </c>
      <c r="N183" s="4">
        <v>254.68326849008474</v>
      </c>
      <c r="O183" s="4">
        <v>7.130438259029459E-2</v>
      </c>
      <c r="P183" s="1" t="str">
        <f>HYPERLINK(".\sm_car_251116_2258\sm_car_251116_2258_182_Ca145TrN_MaDLC_DrSt_ode23t_1.png","figure")</f>
        <v>figure</v>
      </c>
      <c r="Q183" t="s">
        <v>15</v>
      </c>
      <c r="W183" s="4">
        <f>M183-'2022a_251026_2256'!M183</f>
        <v>0.47007310000000047</v>
      </c>
    </row>
    <row r="184" spans="1:23" x14ac:dyDescent="0.25">
      <c r="A184">
        <v>183</v>
      </c>
      <c r="B184">
        <v>145</v>
      </c>
      <c r="C184" t="s">
        <v>46</v>
      </c>
      <c r="D184" t="s">
        <v>17</v>
      </c>
      <c r="E184" t="s">
        <v>50</v>
      </c>
      <c r="F184" t="s">
        <v>19</v>
      </c>
      <c r="G184" t="s">
        <v>26</v>
      </c>
      <c r="H184" t="s">
        <v>65</v>
      </c>
      <c r="I184" t="s">
        <v>53</v>
      </c>
      <c r="J184" t="s">
        <v>148</v>
      </c>
      <c r="K184" t="s">
        <v>23</v>
      </c>
      <c r="L184">
        <v>575</v>
      </c>
      <c r="M184" s="4">
        <v>31.109849199999999</v>
      </c>
      <c r="N184" s="4">
        <v>254.88354932358573</v>
      </c>
      <c r="O184" s="4">
        <v>7.1049960773590382E-2</v>
      </c>
      <c r="P184" s="1" t="str">
        <f>HYPERLINK(".\sm_car_251116_2258\sm_car_251116_2258_183_Ca145TrE_MaDLC_DrSt_ode23t_1.png","figure")</f>
        <v>figure</v>
      </c>
      <c r="Q184" t="s">
        <v>15</v>
      </c>
      <c r="W184" s="4">
        <f>M184-'2022a_251026_2256'!M184</f>
        <v>-0.21232039999999941</v>
      </c>
    </row>
    <row r="185" spans="1:23" x14ac:dyDescent="0.25">
      <c r="A185">
        <v>184</v>
      </c>
      <c r="B185">
        <v>145</v>
      </c>
      <c r="C185" t="s">
        <v>46</v>
      </c>
      <c r="D185" t="s">
        <v>17</v>
      </c>
      <c r="E185" t="s">
        <v>50</v>
      </c>
      <c r="F185" t="s">
        <v>19</v>
      </c>
      <c r="G185" t="s">
        <v>26</v>
      </c>
      <c r="H185" t="s">
        <v>66</v>
      </c>
      <c r="I185" t="s">
        <v>53</v>
      </c>
      <c r="J185" t="s">
        <v>148</v>
      </c>
      <c r="K185" t="s">
        <v>23</v>
      </c>
      <c r="L185">
        <v>841</v>
      </c>
      <c r="M185" s="4">
        <v>52.933714600000002</v>
      </c>
      <c r="N185" s="4">
        <v>254.52525083342135</v>
      </c>
      <c r="O185" s="4">
        <v>7.2207437195568769E-2</v>
      </c>
      <c r="P185" s="1" t="str">
        <f>HYPERLINK(".\sm_car_251116_2258\sm_car_251116_2258_184_Ca145TrT_MaDLC_DrSt_ode23t_1.png","figure")</f>
        <v>figure</v>
      </c>
      <c r="Q185" t="s">
        <v>15</v>
      </c>
      <c r="W185" s="4">
        <f>M185-'2022a_251026_2256'!M185</f>
        <v>8.5118062000000023</v>
      </c>
    </row>
    <row r="186" spans="1:23" x14ac:dyDescent="0.25">
      <c r="A186">
        <v>185</v>
      </c>
      <c r="B186">
        <v>145</v>
      </c>
      <c r="C186" t="s">
        <v>46</v>
      </c>
      <c r="D186" t="s">
        <v>17</v>
      </c>
      <c r="E186" t="s">
        <v>50</v>
      </c>
      <c r="F186" t="s">
        <v>19</v>
      </c>
      <c r="G186" t="s">
        <v>26</v>
      </c>
      <c r="H186" t="s">
        <v>65</v>
      </c>
      <c r="I186" t="s">
        <v>53</v>
      </c>
      <c r="J186" t="s">
        <v>148</v>
      </c>
      <c r="K186" t="s">
        <v>23</v>
      </c>
      <c r="L186">
        <v>582</v>
      </c>
      <c r="M186" s="4">
        <v>26.088960100000001</v>
      </c>
      <c r="N186" s="4">
        <v>256.05952903176461</v>
      </c>
      <c r="O186" s="4">
        <v>6.5766514352564531E-2</v>
      </c>
      <c r="P186" s="1" t="str">
        <f>HYPERLINK(".\sm_car_251116_2258\sm_car_251116_2258_185_Ca145TrE_MaDLC_DrSt_ode23t_1.png","figure")</f>
        <v>figure</v>
      </c>
      <c r="Q186" t="s">
        <v>15</v>
      </c>
      <c r="W186" s="4">
        <f>M186-'2022a_251026_2256'!M186</f>
        <v>-0.14962779999999753</v>
      </c>
    </row>
    <row r="187" spans="1:23" x14ac:dyDescent="0.25">
      <c r="A187">
        <v>186</v>
      </c>
      <c r="B187">
        <v>199</v>
      </c>
      <c r="C187" t="s">
        <v>46</v>
      </c>
      <c r="D187" t="s">
        <v>17</v>
      </c>
      <c r="E187" t="s">
        <v>109</v>
      </c>
      <c r="F187" t="s">
        <v>19</v>
      </c>
      <c r="G187" t="s">
        <v>26</v>
      </c>
      <c r="H187" t="s">
        <v>21</v>
      </c>
      <c r="I187" t="s">
        <v>53</v>
      </c>
      <c r="J187" t="s">
        <v>148</v>
      </c>
      <c r="K187" t="s">
        <v>23</v>
      </c>
      <c r="L187">
        <v>460</v>
      </c>
      <c r="M187" s="4">
        <v>7.0869342</v>
      </c>
      <c r="N187" s="4">
        <v>255.12571331356725</v>
      </c>
      <c r="O187" s="4">
        <v>6.9222234836937346E-2</v>
      </c>
      <c r="P187" s="1" t="str">
        <f>HYPERLINK(".\sm_car_251116_2258\sm_car_251116_2258_186_Ca199TrN_MaDLC_DrSt_ode23t_1.png","figure")</f>
        <v>figure</v>
      </c>
      <c r="Q187" t="s">
        <v>15</v>
      </c>
      <c r="W187" s="4">
        <f>M187-'2022a_251026_2256'!M187</f>
        <v>8.8580999999999577E-2</v>
      </c>
    </row>
    <row r="188" spans="1:23" x14ac:dyDescent="0.25">
      <c r="A188">
        <v>187</v>
      </c>
      <c r="B188">
        <v>199</v>
      </c>
      <c r="C188" t="s">
        <v>46</v>
      </c>
      <c r="D188" t="s">
        <v>17</v>
      </c>
      <c r="E188" t="s">
        <v>109</v>
      </c>
      <c r="F188" t="s">
        <v>19</v>
      </c>
      <c r="G188" t="s">
        <v>26</v>
      </c>
      <c r="H188" t="s">
        <v>65</v>
      </c>
      <c r="I188" t="s">
        <v>53</v>
      </c>
      <c r="J188" t="s">
        <v>148</v>
      </c>
      <c r="K188" t="s">
        <v>23</v>
      </c>
      <c r="L188">
        <v>577</v>
      </c>
      <c r="M188" s="4">
        <v>17.3442975</v>
      </c>
      <c r="N188" s="4">
        <v>254.40037199695234</v>
      </c>
      <c r="O188" s="4">
        <v>7.3195995637689304E-2</v>
      </c>
      <c r="P188" s="1" t="str">
        <f>HYPERLINK(".\sm_car_251116_2258\sm_car_251116_2258_187_Ca199TrE_MaDLC_DrSt_ode23t_1.png","figure")</f>
        <v>figure</v>
      </c>
      <c r="Q188" t="s">
        <v>15</v>
      </c>
      <c r="W188" s="4">
        <f>M188-'2022a_251026_2256'!M188</f>
        <v>0.17060469999999839</v>
      </c>
    </row>
    <row r="189" spans="1:23" x14ac:dyDescent="0.25">
      <c r="A189">
        <v>188</v>
      </c>
      <c r="B189">
        <v>199</v>
      </c>
      <c r="C189" t="s">
        <v>46</v>
      </c>
      <c r="D189" t="s">
        <v>17</v>
      </c>
      <c r="E189" t="s">
        <v>109</v>
      </c>
      <c r="F189" t="s">
        <v>19</v>
      </c>
      <c r="G189" t="s">
        <v>26</v>
      </c>
      <c r="H189" t="s">
        <v>66</v>
      </c>
      <c r="I189" t="s">
        <v>53</v>
      </c>
      <c r="J189" t="s">
        <v>148</v>
      </c>
      <c r="K189" t="s">
        <v>23</v>
      </c>
      <c r="L189">
        <v>4101</v>
      </c>
      <c r="M189" s="4">
        <v>286.56500929999999</v>
      </c>
      <c r="N189" s="4">
        <v>254.8478251496357</v>
      </c>
      <c r="O189" s="4">
        <v>7.0723945492069173E-2</v>
      </c>
      <c r="P189" s="1" t="str">
        <f>HYPERLINK(".\sm_car_251116_2258\sm_car_251116_2258_188_Ca199TrT_MaDLC_DrSt_ode23t_1.png","figure")</f>
        <v>figure</v>
      </c>
      <c r="Q189" t="s">
        <v>15</v>
      </c>
      <c r="W189" s="4">
        <f>M189-'2022a_251026_2256'!M189</f>
        <v>236.18449069999997</v>
      </c>
    </row>
    <row r="190" spans="1:23" x14ac:dyDescent="0.25">
      <c r="A190">
        <v>189</v>
      </c>
      <c r="B190">
        <v>199</v>
      </c>
      <c r="C190" t="s">
        <v>46</v>
      </c>
      <c r="D190" t="s">
        <v>17</v>
      </c>
      <c r="E190" t="s">
        <v>109</v>
      </c>
      <c r="F190" t="s">
        <v>19</v>
      </c>
      <c r="G190" t="s">
        <v>26</v>
      </c>
      <c r="H190" t="s">
        <v>65</v>
      </c>
      <c r="I190" t="s">
        <v>53</v>
      </c>
      <c r="J190" t="s">
        <v>148</v>
      </c>
      <c r="K190" t="s">
        <v>23</v>
      </c>
      <c r="L190">
        <v>571</v>
      </c>
      <c r="M190" s="4">
        <v>12.084154</v>
      </c>
      <c r="N190" s="4">
        <v>253.73315844579986</v>
      </c>
      <c r="O190" s="4">
        <v>7.6369342526040995E-2</v>
      </c>
      <c r="P190" s="1" t="str">
        <f>HYPERLINK(".\sm_car_251116_2258\sm_car_251116_2258_189_Ca199TrE_MaDLC_DrSt_ode23t_1.png","figure")</f>
        <v>figure</v>
      </c>
      <c r="Q190" t="s">
        <v>15</v>
      </c>
      <c r="W190" s="4">
        <f>M190-'2022a_251026_2256'!M190</f>
        <v>0.28812909999999903</v>
      </c>
    </row>
    <row r="191" spans="1:23" x14ac:dyDescent="0.25">
      <c r="A191">
        <v>190</v>
      </c>
      <c r="B191">
        <v>189</v>
      </c>
      <c r="C191" t="s">
        <v>45</v>
      </c>
      <c r="D191" t="s">
        <v>17</v>
      </c>
      <c r="E191" t="s">
        <v>107</v>
      </c>
      <c r="F191" t="s">
        <v>19</v>
      </c>
      <c r="G191" t="s">
        <v>26</v>
      </c>
      <c r="H191" t="s">
        <v>65</v>
      </c>
      <c r="I191" t="s">
        <v>67</v>
      </c>
      <c r="J191" t="s">
        <v>148</v>
      </c>
      <c r="K191" t="s">
        <v>23</v>
      </c>
      <c r="L191">
        <v>402</v>
      </c>
      <c r="M191" s="4">
        <v>11.2101358</v>
      </c>
      <c r="N191" s="4">
        <v>264.55284750138708</v>
      </c>
      <c r="O191" s="4">
        <v>1.0222943633442227E-3</v>
      </c>
      <c r="P191" s="1" t="str">
        <f>HYPERLINK(".\sm_car_251116_2258\sm_car_251116_2258_190_Ca189TrE_MaTRD_DrSt_ode23t_1.png","figure")</f>
        <v>figure</v>
      </c>
      <c r="Q191" t="s">
        <v>15</v>
      </c>
      <c r="W191" s="4">
        <f>M191-'2022a_251026_2256'!M191</f>
        <v>0.51609589999999983</v>
      </c>
    </row>
    <row r="192" spans="1:23" x14ac:dyDescent="0.25">
      <c r="A192">
        <v>191</v>
      </c>
      <c r="B192">
        <v>189</v>
      </c>
      <c r="C192" t="s">
        <v>45</v>
      </c>
      <c r="D192" t="s">
        <v>17</v>
      </c>
      <c r="E192" t="s">
        <v>107</v>
      </c>
      <c r="F192" t="s">
        <v>19</v>
      </c>
      <c r="G192" t="s">
        <v>26</v>
      </c>
      <c r="H192" t="s">
        <v>65</v>
      </c>
      <c r="I192" t="s">
        <v>67</v>
      </c>
      <c r="J192" t="s">
        <v>148</v>
      </c>
      <c r="K192" t="s">
        <v>23</v>
      </c>
      <c r="L192">
        <v>588</v>
      </c>
      <c r="M192" s="4">
        <v>15.831738700000001</v>
      </c>
      <c r="N192" s="4">
        <v>264.42500977135285</v>
      </c>
      <c r="O192" s="4">
        <v>-9.0623477895519056E-2</v>
      </c>
      <c r="P192" s="1" t="str">
        <f>HYPERLINK(".\sm_car_251116_2258\sm_car_251116_2258_191_Ca189TrU_MaTRD_DrSt_ode23t_1.png","figure")</f>
        <v>figure</v>
      </c>
      <c r="Q192" t="s">
        <v>15</v>
      </c>
      <c r="W192" s="4">
        <f>M192-'2022a_251026_2256'!M192</f>
        <v>6.1120800000001196E-2</v>
      </c>
    </row>
    <row r="193" spans="1:23" x14ac:dyDescent="0.25">
      <c r="A193">
        <v>192</v>
      </c>
      <c r="B193">
        <v>149</v>
      </c>
      <c r="C193" t="s">
        <v>46</v>
      </c>
      <c r="D193" t="s">
        <v>17</v>
      </c>
      <c r="E193" t="s">
        <v>68</v>
      </c>
      <c r="F193" t="s">
        <v>19</v>
      </c>
      <c r="G193" t="s">
        <v>26</v>
      </c>
      <c r="H193" t="s">
        <v>21</v>
      </c>
      <c r="I193" t="s">
        <v>177</v>
      </c>
      <c r="J193" t="s">
        <v>148</v>
      </c>
      <c r="K193" t="s">
        <v>23</v>
      </c>
      <c r="L193">
        <v>1001</v>
      </c>
      <c r="M193" s="4">
        <v>11.846141100000001</v>
      </c>
      <c r="N193" s="4">
        <v>-6.0493891595641003E-3</v>
      </c>
      <c r="O193" s="4">
        <v>-9.0085692541754317E-4</v>
      </c>
      <c r="P193" s="1" t="str">
        <f>HYPERLINK(".\sm_car_251116_2258\sm_car_251116_2258_192_Ca149TrN_MaPS1_DrSt_ode23t_1.png","figure")</f>
        <v>figure</v>
      </c>
      <c r="Q193" t="s">
        <v>15</v>
      </c>
      <c r="W193" s="4">
        <f>M193-'2022a_251026_2256'!M193</f>
        <v>0.46745500000000106</v>
      </c>
    </row>
    <row r="194" spans="1:23" x14ac:dyDescent="0.25">
      <c r="A194">
        <v>193</v>
      </c>
      <c r="B194">
        <v>149</v>
      </c>
      <c r="C194" t="s">
        <v>46</v>
      </c>
      <c r="D194" t="s">
        <v>17</v>
      </c>
      <c r="E194" t="s">
        <v>68</v>
      </c>
      <c r="F194" t="s">
        <v>19</v>
      </c>
      <c r="G194" t="s">
        <v>26</v>
      </c>
      <c r="H194" t="s">
        <v>21</v>
      </c>
      <c r="I194" t="s">
        <v>178</v>
      </c>
      <c r="J194" t="s">
        <v>148</v>
      </c>
      <c r="K194" t="s">
        <v>23</v>
      </c>
      <c r="L194">
        <v>2910</v>
      </c>
      <c r="M194" s="4">
        <v>15.5104206</v>
      </c>
      <c r="N194" s="4">
        <v>-9.1357909122851133E-3</v>
      </c>
      <c r="O194" s="4">
        <v>1.8934874608034138E-3</v>
      </c>
      <c r="P194" s="1" t="str">
        <f>HYPERLINK(".\sm_car_251116_2258\sm_car_251116_2258_193_Ca149TrN_MaPSD_DrSt_ode23t_1.png","figure")</f>
        <v>figure</v>
      </c>
      <c r="Q194" t="s">
        <v>15</v>
      </c>
      <c r="W194" s="4">
        <f>M194-'2022a_251026_2256'!M194</f>
        <v>0.78205909999999967</v>
      </c>
    </row>
    <row r="195" spans="1:23" x14ac:dyDescent="0.25">
      <c r="A195">
        <v>194</v>
      </c>
      <c r="B195">
        <v>139</v>
      </c>
      <c r="C195" t="s">
        <v>45</v>
      </c>
      <c r="D195" t="s">
        <v>17</v>
      </c>
      <c r="E195" t="s">
        <v>18</v>
      </c>
      <c r="F195" t="s">
        <v>19</v>
      </c>
      <c r="G195" t="s">
        <v>26</v>
      </c>
      <c r="H195" t="s">
        <v>21</v>
      </c>
      <c r="I195" t="s">
        <v>70</v>
      </c>
      <c r="J195" t="s">
        <v>148</v>
      </c>
      <c r="K195" t="s">
        <v>23</v>
      </c>
      <c r="L195">
        <v>1526</v>
      </c>
      <c r="M195" s="4">
        <v>34.143224699999998</v>
      </c>
      <c r="N195" s="4">
        <v>36.500677021737076</v>
      </c>
      <c r="O195" s="4">
        <v>0.22901455384389022</v>
      </c>
      <c r="P195" s="1" t="str">
        <f>HYPERLINK(".\sm_car_251116_2258\sm_car_251116_2258_194_Ca139TrN_MaSKD_DrSt_ode23t_1.png","figure")</f>
        <v>figure</v>
      </c>
      <c r="Q195" t="s">
        <v>15</v>
      </c>
      <c r="W195" s="4">
        <f>M195-'2022a_251026_2256'!M195</f>
        <v>0.73462109999999825</v>
      </c>
    </row>
    <row r="196" spans="1:23" x14ac:dyDescent="0.25">
      <c r="A196">
        <v>195</v>
      </c>
      <c r="B196">
        <v>139</v>
      </c>
      <c r="C196" t="s">
        <v>45</v>
      </c>
      <c r="D196" t="s">
        <v>17</v>
      </c>
      <c r="E196" t="s">
        <v>18</v>
      </c>
      <c r="F196" t="s">
        <v>19</v>
      </c>
      <c r="G196" t="s">
        <v>26</v>
      </c>
      <c r="H196" t="s">
        <v>21</v>
      </c>
      <c r="I196" t="s">
        <v>71</v>
      </c>
      <c r="J196" t="s">
        <v>148</v>
      </c>
      <c r="K196" t="s">
        <v>23</v>
      </c>
      <c r="L196">
        <v>803</v>
      </c>
      <c r="M196" s="4">
        <v>19.2399089</v>
      </c>
      <c r="N196" s="4">
        <v>1.3492292683174867E-3</v>
      </c>
      <c r="O196" s="4">
        <v>20.56213436518782</v>
      </c>
      <c r="P196" s="1" t="str">
        <f>HYPERLINK(".\sm_car_251116_2258\sm_car_251116_2258_195_Ca139TrN_MaRAD_DrSt_ode23t_1.png","figure")</f>
        <v>figure</v>
      </c>
      <c r="Q196" t="s">
        <v>15</v>
      </c>
      <c r="W196" s="4">
        <f>M196-'2022a_251026_2256'!M196</f>
        <v>9.4873100000000932E-2</v>
      </c>
    </row>
    <row r="197" spans="1:23" x14ac:dyDescent="0.25">
      <c r="A197">
        <v>196</v>
      </c>
      <c r="B197">
        <v>184</v>
      </c>
      <c r="C197" t="s">
        <v>105</v>
      </c>
      <c r="D197" t="s">
        <v>120</v>
      </c>
      <c r="E197" t="s">
        <v>49</v>
      </c>
      <c r="F197" t="s">
        <v>19</v>
      </c>
      <c r="G197" t="s">
        <v>20</v>
      </c>
      <c r="H197" t="s">
        <v>21</v>
      </c>
      <c r="I197" t="s">
        <v>70</v>
      </c>
      <c r="J197" t="s">
        <v>148</v>
      </c>
      <c r="K197" t="s">
        <v>23</v>
      </c>
      <c r="L197">
        <v>1317</v>
      </c>
      <c r="M197" s="4">
        <v>50.205536600000002</v>
      </c>
      <c r="N197" s="4">
        <v>36.539141079078327</v>
      </c>
      <c r="O197" s="4">
        <v>0.15673863727957171</v>
      </c>
      <c r="P197" s="1" t="str">
        <f>HYPERLINK(".\sm_car_251116_2258\sm_car_251116_2258_196_Ca184TrN_MaSKD_DrSt_ode23t_1.png","figure")</f>
        <v>figure</v>
      </c>
      <c r="Q197" t="s">
        <v>15</v>
      </c>
      <c r="W197" s="4">
        <f>M197-'2022a_251026_2256'!M197</f>
        <v>2.9918204000000017</v>
      </c>
    </row>
    <row r="198" spans="1:23" x14ac:dyDescent="0.25">
      <c r="A198">
        <v>197</v>
      </c>
      <c r="B198">
        <v>184</v>
      </c>
      <c r="C198" t="s">
        <v>105</v>
      </c>
      <c r="D198" t="s">
        <v>120</v>
      </c>
      <c r="E198" t="s">
        <v>49</v>
      </c>
      <c r="F198" t="s">
        <v>19</v>
      </c>
      <c r="G198" t="s">
        <v>20</v>
      </c>
      <c r="H198" t="s">
        <v>21</v>
      </c>
      <c r="I198" t="s">
        <v>71</v>
      </c>
      <c r="J198" t="s">
        <v>148</v>
      </c>
      <c r="K198" t="s">
        <v>23</v>
      </c>
      <c r="L198">
        <v>646</v>
      </c>
      <c r="M198" s="4">
        <v>23.994236399999998</v>
      </c>
      <c r="N198" s="4">
        <v>7.4804616239762574</v>
      </c>
      <c r="O198" s="4">
        <v>10.383853124414514</v>
      </c>
      <c r="P198" s="1" t="str">
        <f>HYPERLINK(".\sm_car_251116_2258\sm_car_251116_2258_197_Ca184TrN_MaRAD_DrSt_ode23t_1.png","figure")</f>
        <v>figure</v>
      </c>
      <c r="Q198" t="s">
        <v>15</v>
      </c>
      <c r="W198" s="4">
        <f>M198-'2022a_251026_2256'!M198</f>
        <v>0.80977229999999878</v>
      </c>
    </row>
    <row r="199" spans="1:23" x14ac:dyDescent="0.25">
      <c r="A199">
        <v>198</v>
      </c>
      <c r="B199">
        <v>228</v>
      </c>
      <c r="C199" t="s">
        <v>160</v>
      </c>
      <c r="D199" t="s">
        <v>35</v>
      </c>
      <c r="E199" t="s">
        <v>107</v>
      </c>
      <c r="F199" t="s">
        <v>19</v>
      </c>
      <c r="G199" t="s">
        <v>26</v>
      </c>
      <c r="H199" t="s">
        <v>21</v>
      </c>
      <c r="I199" t="s">
        <v>70</v>
      </c>
      <c r="J199" t="s">
        <v>148</v>
      </c>
      <c r="K199" t="s">
        <v>23</v>
      </c>
      <c r="L199">
        <v>1676</v>
      </c>
      <c r="M199" s="4">
        <v>7.9146761000000003</v>
      </c>
      <c r="N199" s="4">
        <v>36.353384192054179</v>
      </c>
      <c r="O199" s="4">
        <v>0.58374133154352403</v>
      </c>
      <c r="P199" s="1" t="str">
        <f>HYPERLINK(".\sm_car_251116_2258\sm_car_251116_2258_198_Ca228TrN_MaSKD_DrSt_ode23t_1.png","figure")</f>
        <v>figure</v>
      </c>
      <c r="Q199" t="s">
        <v>15</v>
      </c>
      <c r="W199" s="4">
        <f>M199-'2022a_251026_2256'!M199</f>
        <v>0.67619580000000035</v>
      </c>
    </row>
    <row r="200" spans="1:23" x14ac:dyDescent="0.25">
      <c r="A200">
        <v>199</v>
      </c>
      <c r="B200">
        <v>228</v>
      </c>
      <c r="C200" t="s">
        <v>160</v>
      </c>
      <c r="D200" t="s">
        <v>35</v>
      </c>
      <c r="E200" t="s">
        <v>107</v>
      </c>
      <c r="F200" t="s">
        <v>19</v>
      </c>
      <c r="G200" t="s">
        <v>26</v>
      </c>
      <c r="H200" t="s">
        <v>21</v>
      </c>
      <c r="I200" t="s">
        <v>71</v>
      </c>
      <c r="J200" t="s">
        <v>148</v>
      </c>
      <c r="K200" t="s">
        <v>23</v>
      </c>
      <c r="L200">
        <v>752</v>
      </c>
      <c r="M200" s="4">
        <v>3.5505876000000001</v>
      </c>
      <c r="N200" s="4">
        <v>6.988179291144629</v>
      </c>
      <c r="O200" s="4">
        <v>19.412104772591949</v>
      </c>
      <c r="P200" s="1" t="str">
        <f>HYPERLINK(".\sm_car_251116_2258\sm_car_251116_2258_199_Ca228TrN_MaRAD_DrSt_ode23t_1.png","figure")</f>
        <v>figure</v>
      </c>
      <c r="Q200" t="s">
        <v>15</v>
      </c>
      <c r="W200" s="4">
        <f>M200-'2022a_251026_2256'!M200</f>
        <v>0.27786659999999985</v>
      </c>
    </row>
    <row r="201" spans="1:23" x14ac:dyDescent="0.25">
      <c r="A201">
        <v>200</v>
      </c>
      <c r="B201">
        <v>230</v>
      </c>
      <c r="C201" t="s">
        <v>160</v>
      </c>
      <c r="D201" t="s">
        <v>161</v>
      </c>
      <c r="E201" t="s">
        <v>162</v>
      </c>
      <c r="F201" t="s">
        <v>19</v>
      </c>
      <c r="G201" t="s">
        <v>26</v>
      </c>
      <c r="H201" t="s">
        <v>21</v>
      </c>
      <c r="I201" t="s">
        <v>70</v>
      </c>
      <c r="J201" t="s">
        <v>148</v>
      </c>
      <c r="K201" t="s">
        <v>23</v>
      </c>
      <c r="L201">
        <v>1382</v>
      </c>
      <c r="M201" s="4">
        <v>26.561944</v>
      </c>
      <c r="N201" s="4">
        <v>36.424502422698879</v>
      </c>
      <c r="O201" s="4">
        <v>0.18884961682141918</v>
      </c>
      <c r="P201" s="1" t="str">
        <f>HYPERLINK(".\sm_car_251116_2258\sm_car_251116_2258_200_Ca230TrN_MaSKD_DrSt_ode23t_1.png","figure")</f>
        <v>figure</v>
      </c>
      <c r="Q201" t="s">
        <v>15</v>
      </c>
      <c r="W201" s="4">
        <f>M201-'2022a_251026_2256'!M201</f>
        <v>2.0614989000000001</v>
      </c>
    </row>
    <row r="202" spans="1:23" x14ac:dyDescent="0.25">
      <c r="A202">
        <v>201</v>
      </c>
      <c r="B202">
        <v>230</v>
      </c>
      <c r="C202" t="s">
        <v>160</v>
      </c>
      <c r="D202" t="s">
        <v>161</v>
      </c>
      <c r="E202" t="s">
        <v>162</v>
      </c>
      <c r="F202" t="s">
        <v>19</v>
      </c>
      <c r="G202" t="s">
        <v>26</v>
      </c>
      <c r="H202" t="s">
        <v>21</v>
      </c>
      <c r="I202" t="s">
        <v>71</v>
      </c>
      <c r="J202" t="s">
        <v>148</v>
      </c>
      <c r="K202" t="s">
        <v>23</v>
      </c>
      <c r="L202">
        <v>696</v>
      </c>
      <c r="M202" s="4">
        <v>13.5107807</v>
      </c>
      <c r="N202" s="4">
        <v>5.4385013339622432</v>
      </c>
      <c r="O202" s="4">
        <v>14.267542971268467</v>
      </c>
      <c r="P202" s="1" t="str">
        <f>HYPERLINK(".\sm_car_251116_2258\sm_car_251116_2258_201_Ca230TrN_MaRAD_DrSt_ode23t_1.png","figure")</f>
        <v>figure</v>
      </c>
      <c r="Q202" t="s">
        <v>15</v>
      </c>
      <c r="W202" s="4">
        <f>M202-'2022a_251026_2256'!M202</f>
        <v>1.1803094000000005</v>
      </c>
    </row>
    <row r="203" spans="1:23" x14ac:dyDescent="0.25">
      <c r="A203">
        <v>202</v>
      </c>
      <c r="B203">
        <v>231</v>
      </c>
      <c r="C203" t="s">
        <v>160</v>
      </c>
      <c r="D203" t="s">
        <v>172</v>
      </c>
      <c r="E203" t="s">
        <v>162</v>
      </c>
      <c r="F203" t="s">
        <v>19</v>
      </c>
      <c r="G203" t="s">
        <v>26</v>
      </c>
      <c r="H203" t="s">
        <v>21</v>
      </c>
      <c r="I203" t="s">
        <v>70</v>
      </c>
      <c r="J203" t="s">
        <v>148</v>
      </c>
      <c r="K203" t="s">
        <v>23</v>
      </c>
      <c r="L203">
        <v>1494</v>
      </c>
      <c r="M203" s="4">
        <v>27.675940600000001</v>
      </c>
      <c r="N203" s="4">
        <v>36.485004924570887</v>
      </c>
      <c r="O203" s="4">
        <v>-0.14100730234173672</v>
      </c>
      <c r="P203" s="1" t="str">
        <f>HYPERLINK(".\sm_car_251116_2258\sm_car_251116_2258_202_Ca231TrN_MaSKD_DrSt_ode23t_1.png","figure")</f>
        <v>figure</v>
      </c>
      <c r="Q203" t="s">
        <v>15</v>
      </c>
      <c r="W203" s="4">
        <f>M203-'2022a_251026_2256'!M203</f>
        <v>0.7482167000000004</v>
      </c>
    </row>
    <row r="204" spans="1:23" x14ac:dyDescent="0.25">
      <c r="A204">
        <v>203</v>
      </c>
      <c r="B204">
        <v>231</v>
      </c>
      <c r="C204" t="s">
        <v>160</v>
      </c>
      <c r="D204" t="s">
        <v>172</v>
      </c>
      <c r="E204" t="s">
        <v>162</v>
      </c>
      <c r="F204" t="s">
        <v>19</v>
      </c>
      <c r="G204" t="s">
        <v>26</v>
      </c>
      <c r="H204" t="s">
        <v>21</v>
      </c>
      <c r="I204" t="s">
        <v>71</v>
      </c>
      <c r="J204" t="s">
        <v>148</v>
      </c>
      <c r="K204" t="s">
        <v>23</v>
      </c>
      <c r="L204">
        <v>764</v>
      </c>
      <c r="M204" s="4">
        <v>13.548087600000001</v>
      </c>
      <c r="N204" s="4">
        <v>6.5507681115443361</v>
      </c>
      <c r="O204" s="4">
        <v>3.933037423633285</v>
      </c>
      <c r="P204" s="1" t="str">
        <f>HYPERLINK(".\sm_car_251116_2258\sm_car_251116_2258_203_Ca231TrN_MaRAD_DrSt_ode23t_1.png","figure")</f>
        <v>figure</v>
      </c>
      <c r="Q204" t="s">
        <v>15</v>
      </c>
      <c r="W204" s="4">
        <f>M204-'2022a_251026_2256'!M204</f>
        <v>0.19781380000000048</v>
      </c>
    </row>
    <row r="205" spans="1:23" x14ac:dyDescent="0.25">
      <c r="A205">
        <v>204</v>
      </c>
      <c r="B205">
        <v>233</v>
      </c>
      <c r="C205" t="s">
        <v>45</v>
      </c>
      <c r="D205" t="s">
        <v>17</v>
      </c>
      <c r="E205" t="s">
        <v>107</v>
      </c>
      <c r="F205" t="s">
        <v>19</v>
      </c>
      <c r="G205" t="s">
        <v>182</v>
      </c>
      <c r="H205" t="s">
        <v>21</v>
      </c>
      <c r="I205" t="s">
        <v>70</v>
      </c>
      <c r="J205" t="s">
        <v>148</v>
      </c>
      <c r="K205" t="s">
        <v>23</v>
      </c>
      <c r="L205">
        <v>1605</v>
      </c>
      <c r="M205" s="4">
        <v>29.515481699999999</v>
      </c>
      <c r="N205" s="4">
        <v>36.362653866076364</v>
      </c>
      <c r="O205" s="4">
        <v>-0.33735484489685424</v>
      </c>
      <c r="P205" s="1" t="str">
        <f>HYPERLINK(".\sm_car_251116_2258\sm_car_251116_2258_204_Ca233TrN_MaSKD_DrSt_ode23t_1.png","figure")</f>
        <v>figure</v>
      </c>
      <c r="Q205" t="s">
        <v>15</v>
      </c>
      <c r="W205" s="4">
        <f>M205-'2022a_251026_2256'!M205</f>
        <v>2.1158377000000002</v>
      </c>
    </row>
    <row r="206" spans="1:23" x14ac:dyDescent="0.25">
      <c r="A206">
        <v>205</v>
      </c>
      <c r="B206">
        <v>233</v>
      </c>
      <c r="C206" t="s">
        <v>45</v>
      </c>
      <c r="D206" t="s">
        <v>17</v>
      </c>
      <c r="E206" t="s">
        <v>107</v>
      </c>
      <c r="F206" t="s">
        <v>19</v>
      </c>
      <c r="G206" t="s">
        <v>182</v>
      </c>
      <c r="H206" t="s">
        <v>21</v>
      </c>
      <c r="I206" t="s">
        <v>71</v>
      </c>
      <c r="J206" t="s">
        <v>148</v>
      </c>
      <c r="K206" t="s">
        <v>23</v>
      </c>
      <c r="L206">
        <v>898</v>
      </c>
      <c r="M206" s="4">
        <v>15.8411539</v>
      </c>
      <c r="N206" s="4">
        <v>-6.6889663405251092</v>
      </c>
      <c r="O206" s="4">
        <v>25.165488020678819</v>
      </c>
      <c r="P206" s="1" t="str">
        <f>HYPERLINK(".\sm_car_251116_2258\sm_car_251116_2258_205_Ca233TrN_MaRAD_DrSt_ode23t_1.png","figure")</f>
        <v>figure</v>
      </c>
      <c r="Q206" t="s">
        <v>15</v>
      </c>
      <c r="W206" s="4">
        <f>M206-'2022a_251026_2256'!M206</f>
        <v>1.6873167999999996</v>
      </c>
    </row>
    <row r="207" spans="1:23" x14ac:dyDescent="0.25">
      <c r="A207">
        <v>206</v>
      </c>
      <c r="B207">
        <v>234</v>
      </c>
      <c r="C207" t="s">
        <v>45</v>
      </c>
      <c r="D207" t="s">
        <v>17</v>
      </c>
      <c r="E207" t="s">
        <v>107</v>
      </c>
      <c r="F207" t="s">
        <v>19</v>
      </c>
      <c r="G207" t="s">
        <v>183</v>
      </c>
      <c r="H207" t="s">
        <v>21</v>
      </c>
      <c r="I207" t="s">
        <v>70</v>
      </c>
      <c r="J207" t="s">
        <v>148</v>
      </c>
      <c r="K207" t="s">
        <v>23</v>
      </c>
      <c r="L207">
        <v>3160</v>
      </c>
      <c r="M207" s="4">
        <v>55.214895800000001</v>
      </c>
      <c r="N207" s="4">
        <v>36.371931556713605</v>
      </c>
      <c r="O207" s="4">
        <v>-0.30517816546612803</v>
      </c>
      <c r="P207" s="1" t="str">
        <f>HYPERLINK(".\sm_car_251116_2258\sm_car_251116_2258_206_Ca234TrN_MaSKD_DrSt_ode23t_1.png","figure")</f>
        <v>figure</v>
      </c>
      <c r="Q207" t="s">
        <v>15</v>
      </c>
      <c r="W207" s="4">
        <f>M207-'2022a_251026_2256'!M207</f>
        <v>2.4139624000000026</v>
      </c>
    </row>
    <row r="208" spans="1:23" x14ac:dyDescent="0.25">
      <c r="A208">
        <v>207</v>
      </c>
      <c r="B208">
        <v>234</v>
      </c>
      <c r="C208" t="s">
        <v>45</v>
      </c>
      <c r="D208" t="s">
        <v>17</v>
      </c>
      <c r="E208" t="s">
        <v>107</v>
      </c>
      <c r="F208" t="s">
        <v>19</v>
      </c>
      <c r="G208" t="s">
        <v>183</v>
      </c>
      <c r="H208" t="s">
        <v>21</v>
      </c>
      <c r="I208" t="s">
        <v>71</v>
      </c>
      <c r="J208" t="s">
        <v>148</v>
      </c>
      <c r="K208" t="s">
        <v>23</v>
      </c>
      <c r="L208">
        <v>1761</v>
      </c>
      <c r="M208" s="4">
        <v>32.988886100000002</v>
      </c>
      <c r="N208" s="4">
        <v>-6.4168636852051328</v>
      </c>
      <c r="O208" s="4">
        <v>25.310535322227601</v>
      </c>
      <c r="P208" s="1" t="str">
        <f>HYPERLINK(".\sm_car_251116_2258\sm_car_251116_2258_207_Ca234TrN_MaRAD_DrSt_ode23t_1.png","figure")</f>
        <v>figure</v>
      </c>
      <c r="Q208" t="s">
        <v>15</v>
      </c>
      <c r="W208" s="4">
        <f>M208-'2022a_251026_2256'!M208</f>
        <v>2.4892773000000012</v>
      </c>
    </row>
    <row r="209" spans="1:23" x14ac:dyDescent="0.25">
      <c r="A209">
        <v>208</v>
      </c>
      <c r="B209">
        <v>198</v>
      </c>
      <c r="C209" t="s">
        <v>105</v>
      </c>
      <c r="D209" t="s">
        <v>120</v>
      </c>
      <c r="E209" t="s">
        <v>107</v>
      </c>
      <c r="F209" t="s">
        <v>19</v>
      </c>
      <c r="G209" t="s">
        <v>20</v>
      </c>
      <c r="H209" t="s">
        <v>21</v>
      </c>
      <c r="I209" t="s">
        <v>70</v>
      </c>
      <c r="J209" t="s">
        <v>148</v>
      </c>
      <c r="K209" t="s">
        <v>23</v>
      </c>
      <c r="L209">
        <v>1399</v>
      </c>
      <c r="M209" s="4">
        <v>30.121963900000001</v>
      </c>
      <c r="N209" s="4">
        <v>36.384718639726941</v>
      </c>
      <c r="O209" s="4">
        <v>0.16194127610722706</v>
      </c>
      <c r="P209" s="1" t="str">
        <f>HYPERLINK(".\sm_car_251116_2258\sm_car_251116_2258_208_Ca198TrN_MaSKD_DrSt_ode23t_1.png","figure")</f>
        <v>figure</v>
      </c>
      <c r="Q209" t="s">
        <v>15</v>
      </c>
      <c r="W209" s="4">
        <f>M209-'2022a_251026_2256'!M209</f>
        <v>1.3107119000000012</v>
      </c>
    </row>
    <row r="210" spans="1:23" x14ac:dyDescent="0.25">
      <c r="A210">
        <v>209</v>
      </c>
      <c r="B210">
        <v>198</v>
      </c>
      <c r="C210" t="s">
        <v>105</v>
      </c>
      <c r="D210" t="s">
        <v>120</v>
      </c>
      <c r="E210" t="s">
        <v>107</v>
      </c>
      <c r="F210" t="s">
        <v>19</v>
      </c>
      <c r="G210" t="s">
        <v>20</v>
      </c>
      <c r="H210" t="s">
        <v>21</v>
      </c>
      <c r="I210" t="s">
        <v>71</v>
      </c>
      <c r="J210" t="s">
        <v>148</v>
      </c>
      <c r="K210" t="s">
        <v>23</v>
      </c>
      <c r="L210">
        <v>682</v>
      </c>
      <c r="M210" s="4">
        <v>15.032054799999999</v>
      </c>
      <c r="N210" s="4">
        <v>7.5264208153129992</v>
      </c>
      <c r="O210" s="4">
        <v>10.281341582433198</v>
      </c>
      <c r="P210" s="1" t="str">
        <f>HYPERLINK(".\sm_car_251116_2258\sm_car_251116_2258_209_Ca198TrN_MaRAD_DrSt_ode23t_1.png","figure")</f>
        <v>figure</v>
      </c>
      <c r="Q210" t="s">
        <v>15</v>
      </c>
      <c r="W210" s="4">
        <f>M210-'2022a_251026_2256'!M210</f>
        <v>0.40119799999999906</v>
      </c>
    </row>
    <row r="211" spans="1:23" x14ac:dyDescent="0.25">
      <c r="A211">
        <v>210</v>
      </c>
      <c r="B211">
        <v>189</v>
      </c>
      <c r="C211" t="s">
        <v>45</v>
      </c>
      <c r="D211" t="s">
        <v>17</v>
      </c>
      <c r="E211" t="s">
        <v>107</v>
      </c>
      <c r="F211" t="s">
        <v>19</v>
      </c>
      <c r="G211" t="s">
        <v>26</v>
      </c>
      <c r="H211" t="s">
        <v>21</v>
      </c>
      <c r="I211" t="s">
        <v>132</v>
      </c>
      <c r="J211" t="s">
        <v>148</v>
      </c>
      <c r="K211" t="s">
        <v>23</v>
      </c>
      <c r="L211">
        <v>559</v>
      </c>
      <c r="M211" s="4">
        <v>10.7035217</v>
      </c>
      <c r="N211" s="4">
        <v>136.22396858889715</v>
      </c>
      <c r="O211" s="4">
        <v>-13.795574585765852</v>
      </c>
      <c r="P211" s="1" t="str">
        <f>HYPERLINK(".\sm_car_251116_2258\sm_car_251116_2258_210_Ca189TrN_MaFSH_DrSt_ode23t_1.png","figure")</f>
        <v>figure</v>
      </c>
      <c r="Q211" t="s">
        <v>15</v>
      </c>
      <c r="W211" s="4">
        <f>M211-'2022a_251026_2256'!M211</f>
        <v>0.3150890000000004</v>
      </c>
    </row>
    <row r="212" spans="1:23" x14ac:dyDescent="0.25">
      <c r="A212">
        <v>211</v>
      </c>
      <c r="B212">
        <v>189</v>
      </c>
      <c r="C212" t="s">
        <v>45</v>
      </c>
      <c r="D212" t="s">
        <v>17</v>
      </c>
      <c r="E212" t="s">
        <v>107</v>
      </c>
      <c r="F212" t="s">
        <v>19</v>
      </c>
      <c r="G212" t="s">
        <v>26</v>
      </c>
      <c r="H212" t="s">
        <v>21</v>
      </c>
      <c r="I212" t="s">
        <v>133</v>
      </c>
      <c r="J212" t="s">
        <v>148</v>
      </c>
      <c r="K212" t="s">
        <v>23</v>
      </c>
      <c r="L212">
        <v>432</v>
      </c>
      <c r="M212" s="4">
        <v>7.6534981999999996</v>
      </c>
      <c r="N212" s="4">
        <v>129.60730815272521</v>
      </c>
      <c r="O212" s="4">
        <v>-9.3311985285360866</v>
      </c>
      <c r="P212" s="1" t="str">
        <f>HYPERLINK(".\sm_car_251116_2258\sm_car_251116_2258_211_Ca189TrN_MaSWD_DrSt_ode23t_1.png","figure")</f>
        <v>figure</v>
      </c>
      <c r="Q212" t="s">
        <v>15</v>
      </c>
      <c r="W212" s="4">
        <f>M212-'2022a_251026_2256'!M212</f>
        <v>0.49150339999999915</v>
      </c>
    </row>
    <row r="213" spans="1:23" x14ac:dyDescent="0.25">
      <c r="A213">
        <v>212</v>
      </c>
      <c r="B213">
        <v>189</v>
      </c>
      <c r="C213" t="s">
        <v>45</v>
      </c>
      <c r="D213" t="s">
        <v>17</v>
      </c>
      <c r="E213" t="s">
        <v>107</v>
      </c>
      <c r="F213" t="s">
        <v>19</v>
      </c>
      <c r="G213" t="s">
        <v>26</v>
      </c>
      <c r="H213" t="s">
        <v>21</v>
      </c>
      <c r="I213" t="s">
        <v>134</v>
      </c>
      <c r="J213" t="s">
        <v>148</v>
      </c>
      <c r="K213" t="s">
        <v>23</v>
      </c>
      <c r="L213">
        <v>437</v>
      </c>
      <c r="M213" s="4">
        <v>8.6781623999999997</v>
      </c>
      <c r="N213" s="4">
        <v>113.39593700713297</v>
      </c>
      <c r="O213" s="4">
        <v>18.032710887852048</v>
      </c>
      <c r="P213" s="1" t="str">
        <f>HYPERLINK(".\sm_car_251116_2258\sm_car_251116_2258_212_Ca189TrN_MaRST_DrSt_ode23t_1.png","figure")</f>
        <v>figure</v>
      </c>
      <c r="Q213" t="s">
        <v>15</v>
      </c>
      <c r="W213" s="4">
        <f>M213-'2022a_251026_2256'!M213</f>
        <v>0.18122559999999943</v>
      </c>
    </row>
    <row r="214" spans="1:23" x14ac:dyDescent="0.25">
      <c r="A214">
        <v>213</v>
      </c>
      <c r="B214">
        <v>189</v>
      </c>
      <c r="C214" t="s">
        <v>45</v>
      </c>
      <c r="D214" t="s">
        <v>17</v>
      </c>
      <c r="E214" t="s">
        <v>107</v>
      </c>
      <c r="F214" t="s">
        <v>19</v>
      </c>
      <c r="G214" t="s">
        <v>26</v>
      </c>
      <c r="H214" t="s">
        <v>21</v>
      </c>
      <c r="I214" t="s">
        <v>135</v>
      </c>
      <c r="J214" t="s">
        <v>148</v>
      </c>
      <c r="K214" t="s">
        <v>23</v>
      </c>
      <c r="L214">
        <v>574</v>
      </c>
      <c r="M214" s="4">
        <v>19.895121100000001</v>
      </c>
      <c r="N214" s="4">
        <v>224.05794346685437</v>
      </c>
      <c r="O214" s="4">
        <v>0.10740996851455083</v>
      </c>
      <c r="P214" s="1" t="str">
        <f>HYPERLINK(".\sm_car_251116_2258\sm_car_251116_2258_213_Ca189TrN_MaSLA_DrSt_ode23t_1.png","figure")</f>
        <v>figure</v>
      </c>
      <c r="Q214" t="s">
        <v>15</v>
      </c>
      <c r="W214" s="4">
        <f>M214-'2022a_251026_2256'!M214</f>
        <v>1.2294063000000008</v>
      </c>
    </row>
    <row r="215" spans="1:23" x14ac:dyDescent="0.25">
      <c r="A215">
        <v>214</v>
      </c>
      <c r="B215">
        <v>218</v>
      </c>
      <c r="C215" t="s">
        <v>16</v>
      </c>
      <c r="D215" t="s">
        <v>128</v>
      </c>
      <c r="E215" t="s">
        <v>107</v>
      </c>
      <c r="F215" t="s">
        <v>19</v>
      </c>
      <c r="G215" t="s">
        <v>188</v>
      </c>
      <c r="H215" t="s">
        <v>21</v>
      </c>
      <c r="I215" t="s">
        <v>132</v>
      </c>
      <c r="J215" t="s">
        <v>148</v>
      </c>
      <c r="K215" t="s">
        <v>23</v>
      </c>
      <c r="L215">
        <v>574</v>
      </c>
      <c r="M215" s="4">
        <v>8.5760881999999992</v>
      </c>
      <c r="N215" s="4">
        <v>102.02064071969747</v>
      </c>
      <c r="O215" s="4">
        <v>-21.936078378147538</v>
      </c>
      <c r="P215" s="1" t="str">
        <f>HYPERLINK(".\sm_car_251116_2258\sm_car_251116_2258_214_Ca218TrN_MaFSH_DrSt_ode23t_1.png","figure")</f>
        <v>figure</v>
      </c>
      <c r="Q215" t="s">
        <v>15</v>
      </c>
      <c r="W215" s="4">
        <f>M215-'2022a_251026_2256'!M215</f>
        <v>0.7120457999999994</v>
      </c>
    </row>
    <row r="216" spans="1:23" x14ac:dyDescent="0.25">
      <c r="A216">
        <v>215</v>
      </c>
      <c r="B216">
        <v>218</v>
      </c>
      <c r="C216" t="s">
        <v>16</v>
      </c>
      <c r="D216" t="s">
        <v>128</v>
      </c>
      <c r="E216" t="s">
        <v>107</v>
      </c>
      <c r="F216" t="s">
        <v>19</v>
      </c>
      <c r="G216" t="s">
        <v>188</v>
      </c>
      <c r="H216" t="s">
        <v>21</v>
      </c>
      <c r="I216" t="s">
        <v>133</v>
      </c>
      <c r="J216" t="s">
        <v>148</v>
      </c>
      <c r="K216" t="s">
        <v>23</v>
      </c>
      <c r="L216">
        <v>457</v>
      </c>
      <c r="M216" s="4">
        <v>6.4859090999999998</v>
      </c>
      <c r="N216" s="4">
        <v>136.84204296121308</v>
      </c>
      <c r="O216" s="4">
        <v>-8.9111970959795652</v>
      </c>
      <c r="P216" s="1" t="str">
        <f>HYPERLINK(".\sm_car_251116_2258\sm_car_251116_2258_215_Ca218TrN_MaSWD_DrSt_ode23t_1.png","figure")</f>
        <v>figure</v>
      </c>
      <c r="Q216" t="s">
        <v>15</v>
      </c>
      <c r="W216" s="4">
        <f>M216-'2022a_251026_2256'!M216</f>
        <v>0.4433050999999999</v>
      </c>
    </row>
    <row r="217" spans="1:23" x14ac:dyDescent="0.25">
      <c r="A217">
        <v>216</v>
      </c>
      <c r="B217">
        <v>218</v>
      </c>
      <c r="C217" t="s">
        <v>16</v>
      </c>
      <c r="D217" t="s">
        <v>128</v>
      </c>
      <c r="E217" t="s">
        <v>107</v>
      </c>
      <c r="F217" t="s">
        <v>19</v>
      </c>
      <c r="G217" t="s">
        <v>188</v>
      </c>
      <c r="H217" t="s">
        <v>21</v>
      </c>
      <c r="I217" t="s">
        <v>134</v>
      </c>
      <c r="J217" t="s">
        <v>148</v>
      </c>
      <c r="K217" t="s">
        <v>23</v>
      </c>
      <c r="L217">
        <v>382</v>
      </c>
      <c r="M217" s="4">
        <v>6.1673198999999999</v>
      </c>
      <c r="N217" s="4">
        <v>102.53411985530329</v>
      </c>
      <c r="O217" s="4">
        <v>29.400872895518525</v>
      </c>
      <c r="P217" s="1" t="str">
        <f>HYPERLINK(".\sm_car_251116_2258\sm_car_251116_2258_216_Ca218TrN_MaRST_DrSt_ode23t_1.png","figure")</f>
        <v>figure</v>
      </c>
      <c r="Q217" t="s">
        <v>15</v>
      </c>
      <c r="W217" s="4">
        <f>M217-'2022a_251026_2256'!M217</f>
        <v>0.82365449999999996</v>
      </c>
    </row>
    <row r="218" spans="1:23" x14ac:dyDescent="0.25">
      <c r="A218">
        <v>217</v>
      </c>
      <c r="B218">
        <v>218</v>
      </c>
      <c r="C218" t="s">
        <v>16</v>
      </c>
      <c r="D218" t="s">
        <v>128</v>
      </c>
      <c r="E218" t="s">
        <v>107</v>
      </c>
      <c r="F218" t="s">
        <v>19</v>
      </c>
      <c r="G218" t="s">
        <v>188</v>
      </c>
      <c r="H218" t="s">
        <v>21</v>
      </c>
      <c r="I218" t="s">
        <v>135</v>
      </c>
      <c r="J218" t="s">
        <v>148</v>
      </c>
      <c r="K218" t="s">
        <v>23</v>
      </c>
      <c r="L218">
        <v>667</v>
      </c>
      <c r="M218" s="4">
        <v>18.6999323</v>
      </c>
      <c r="N218" s="4">
        <v>222.43998285698697</v>
      </c>
      <c r="O218" s="4">
        <v>0.10599610500536041</v>
      </c>
      <c r="P218" s="1" t="str">
        <f>HYPERLINK(".\sm_car_251116_2258\sm_car_251116_2258_217_Ca218TrN_MaSLA_DrSt_ode23t_1.png","figure")</f>
        <v>figure</v>
      </c>
      <c r="Q218" t="s">
        <v>15</v>
      </c>
      <c r="W218" s="4">
        <f>M218-'2022a_251026_2256'!M218</f>
        <v>1.2751580999999987</v>
      </c>
    </row>
    <row r="219" spans="1:23" x14ac:dyDescent="0.25">
      <c r="A219">
        <v>218</v>
      </c>
      <c r="B219">
        <v>232</v>
      </c>
      <c r="C219" t="s">
        <v>160</v>
      </c>
      <c r="D219" t="s">
        <v>172</v>
      </c>
      <c r="E219" t="s">
        <v>162</v>
      </c>
      <c r="F219" t="s">
        <v>179</v>
      </c>
      <c r="G219" t="s">
        <v>26</v>
      </c>
      <c r="H219" t="s">
        <v>21</v>
      </c>
      <c r="I219" t="s">
        <v>132</v>
      </c>
      <c r="J219" t="s">
        <v>148</v>
      </c>
      <c r="K219" t="s">
        <v>23</v>
      </c>
      <c r="L219">
        <v>667</v>
      </c>
      <c r="M219" s="4">
        <v>10.372126</v>
      </c>
      <c r="N219" s="4">
        <v>106.51533836696397</v>
      </c>
      <c r="O219" s="4">
        <v>-14.168189275881113</v>
      </c>
      <c r="P219" s="1" t="str">
        <f>HYPERLINK(".\sm_car_251116_2258\sm_car_251116_2258_218_Ca232TrN_MaFSH_DrSt_ode23t_1.png","figure")</f>
        <v>figure</v>
      </c>
      <c r="Q219" t="s">
        <v>15</v>
      </c>
      <c r="W219" s="4">
        <f>M219-'2022a_251026_2256'!M219</f>
        <v>0.32592239999999961</v>
      </c>
    </row>
    <row r="220" spans="1:23" x14ac:dyDescent="0.25">
      <c r="A220">
        <v>219</v>
      </c>
      <c r="B220">
        <v>156</v>
      </c>
      <c r="C220" t="s">
        <v>45</v>
      </c>
      <c r="D220" t="s">
        <v>17</v>
      </c>
      <c r="E220" t="s">
        <v>18</v>
      </c>
      <c r="F220" t="s">
        <v>19</v>
      </c>
      <c r="G220" t="s">
        <v>38</v>
      </c>
      <c r="H220" t="s">
        <v>21</v>
      </c>
      <c r="I220" t="s">
        <v>54</v>
      </c>
      <c r="J220" t="s">
        <v>148</v>
      </c>
      <c r="K220" t="s">
        <v>23</v>
      </c>
      <c r="L220">
        <v>25909</v>
      </c>
      <c r="M220" s="4">
        <v>364.06775770000002</v>
      </c>
      <c r="N220" s="4">
        <v>19.256169378023642</v>
      </c>
      <c r="O220" s="4">
        <v>2.7533168046468108</v>
      </c>
      <c r="P220" s="1" t="str">
        <f>HYPERLINK(".\sm_car_251116_2258\sm_car_251116_2258_219_Ca156TrN_MaIPA_DrSt_ode23t.png","figure")</f>
        <v>figure</v>
      </c>
      <c r="Q220" t="s">
        <v>15</v>
      </c>
      <c r="W220" s="4">
        <f>M220-'2022a_251026_2256'!M220</f>
        <v>9.9808189000000311</v>
      </c>
    </row>
    <row r="221" spans="1:23" x14ac:dyDescent="0.25">
      <c r="A221">
        <v>220</v>
      </c>
      <c r="B221">
        <v>130</v>
      </c>
      <c r="C221" t="s">
        <v>16</v>
      </c>
      <c r="D221" t="s">
        <v>17</v>
      </c>
      <c r="E221" t="s">
        <v>18</v>
      </c>
      <c r="F221" t="s">
        <v>19</v>
      </c>
      <c r="G221" t="s">
        <v>38</v>
      </c>
      <c r="H221" t="s">
        <v>21</v>
      </c>
      <c r="I221" t="s">
        <v>54</v>
      </c>
      <c r="J221" t="s">
        <v>148</v>
      </c>
      <c r="K221" t="s">
        <v>23</v>
      </c>
      <c r="L221">
        <v>18307</v>
      </c>
      <c r="M221" s="4">
        <v>262.24856779999999</v>
      </c>
      <c r="N221" s="4">
        <v>16.243535657949394</v>
      </c>
      <c r="O221" s="4">
        <v>0.55831097786633965</v>
      </c>
      <c r="P221" s="1" t="str">
        <f>HYPERLINK(".\sm_car_251116_2258\sm_car_251116_2258_220_Ca130TrN_MaIPA_DrSt_ode23t.png","figure")</f>
        <v>figure</v>
      </c>
      <c r="Q221" t="s">
        <v>15</v>
      </c>
      <c r="W221" s="4">
        <f>M221-'2022a_251026_2256'!M221</f>
        <v>7.5949542999999835</v>
      </c>
    </row>
    <row r="222" spans="1:23" x14ac:dyDescent="0.25">
      <c r="A222">
        <v>221</v>
      </c>
      <c r="B222">
        <v>171</v>
      </c>
      <c r="C222" t="s">
        <v>45</v>
      </c>
      <c r="D222" t="s">
        <v>17</v>
      </c>
      <c r="E222" t="s">
        <v>72</v>
      </c>
      <c r="F222" t="s">
        <v>19</v>
      </c>
      <c r="G222" t="s">
        <v>26</v>
      </c>
      <c r="H222" t="s">
        <v>21</v>
      </c>
      <c r="I222" t="s">
        <v>73</v>
      </c>
      <c r="J222" t="s">
        <v>148</v>
      </c>
      <c r="K222" t="s">
        <v>23</v>
      </c>
      <c r="L222">
        <v>1464</v>
      </c>
      <c r="M222" s="4">
        <v>22.785482900000002</v>
      </c>
      <c r="N222" s="4">
        <v>334.58452329425046</v>
      </c>
      <c r="O222" s="4">
        <v>0.65759029459677287</v>
      </c>
      <c r="P222" s="1" t="str">
        <f>HYPERLINK(".\sm_car_251116_2258\sm_car_251116_2258_221_Ca171TrN_MaRDP_DrSt_ode23t_1.png","figure")</f>
        <v>figure</v>
      </c>
      <c r="Q222" t="s">
        <v>15</v>
      </c>
      <c r="W222" s="4">
        <f>M222-'2022a_251026_2256'!M222</f>
        <v>-1.0636473999999971</v>
      </c>
    </row>
    <row r="223" spans="1:23" x14ac:dyDescent="0.25">
      <c r="A223">
        <v>222</v>
      </c>
      <c r="B223">
        <v>172</v>
      </c>
      <c r="C223" t="s">
        <v>46</v>
      </c>
      <c r="D223" t="s">
        <v>17</v>
      </c>
      <c r="E223" t="s">
        <v>72</v>
      </c>
      <c r="F223" t="s">
        <v>19</v>
      </c>
      <c r="G223" t="s">
        <v>26</v>
      </c>
      <c r="H223" t="s">
        <v>21</v>
      </c>
      <c r="I223" t="s">
        <v>73</v>
      </c>
      <c r="J223" t="s">
        <v>148</v>
      </c>
      <c r="K223" t="s">
        <v>23</v>
      </c>
      <c r="L223">
        <v>1233</v>
      </c>
      <c r="M223" s="4">
        <v>12.194438099999999</v>
      </c>
      <c r="N223" s="4">
        <v>135.67720926739133</v>
      </c>
      <c r="O223" s="4">
        <v>3.5762569919917137E-2</v>
      </c>
      <c r="P223" s="1" t="str">
        <f>HYPERLINK(".\sm_car_251116_2258\sm_car_251116_2258_222_Ca172TrN_MaRDP_DrSt_ode23t_1.png","figure")</f>
        <v>figure</v>
      </c>
      <c r="Q223" t="s">
        <v>15</v>
      </c>
      <c r="W223" s="4">
        <f>M223-'2022a_251026_2256'!M223</f>
        <v>6.6845100000000102E-2</v>
      </c>
    </row>
    <row r="224" spans="1:23" x14ac:dyDescent="0.25">
      <c r="A224">
        <v>223</v>
      </c>
      <c r="B224">
        <v>139</v>
      </c>
      <c r="C224" t="s">
        <v>45</v>
      </c>
      <c r="D224" t="s">
        <v>17</v>
      </c>
      <c r="E224" t="s">
        <v>18</v>
      </c>
      <c r="F224" t="s">
        <v>19</v>
      </c>
      <c r="G224" t="s">
        <v>26</v>
      </c>
      <c r="H224" t="s">
        <v>21</v>
      </c>
      <c r="I224" t="s">
        <v>74</v>
      </c>
      <c r="J224" t="s">
        <v>148</v>
      </c>
      <c r="K224" t="s">
        <v>23</v>
      </c>
      <c r="L224">
        <v>1586</v>
      </c>
      <c r="M224" s="4">
        <v>27.149230299999999</v>
      </c>
      <c r="N224" s="4">
        <v>361.10546009350293</v>
      </c>
      <c r="O224" s="4">
        <v>0.69754147527928811</v>
      </c>
      <c r="P224" s="1" t="str">
        <f>HYPERLINK(".\sm_car_251116_2258\sm_car_251116_2258_223_Ca139TrN_MaZPL_DrSt_ode23t_1.png","figure")</f>
        <v>figure</v>
      </c>
      <c r="Q224" t="s">
        <v>15</v>
      </c>
      <c r="W224" s="4">
        <f>M224-'2022a_251026_2256'!M224</f>
        <v>5.9768942999999979</v>
      </c>
    </row>
    <row r="225" spans="1:23" x14ac:dyDescent="0.25">
      <c r="A225">
        <v>224</v>
      </c>
      <c r="B225">
        <v>165</v>
      </c>
      <c r="C225" t="s">
        <v>45</v>
      </c>
      <c r="D225" t="s">
        <v>35</v>
      </c>
      <c r="E225" t="s">
        <v>49</v>
      </c>
      <c r="F225" t="s">
        <v>19</v>
      </c>
      <c r="G225" t="s">
        <v>26</v>
      </c>
      <c r="H225" t="s">
        <v>21</v>
      </c>
      <c r="I225" t="s">
        <v>74</v>
      </c>
      <c r="J225" t="s">
        <v>148</v>
      </c>
      <c r="K225" t="s">
        <v>23</v>
      </c>
      <c r="L225">
        <v>1976</v>
      </c>
      <c r="M225" s="4">
        <v>15.1506791</v>
      </c>
      <c r="N225" s="4">
        <v>397.79576464568521</v>
      </c>
      <c r="O225" s="4">
        <v>0.3406155520221863</v>
      </c>
      <c r="P225" s="1" t="str">
        <f>HYPERLINK(".\sm_car_251116_2258\sm_car_251116_2258_224_Ca165TrN_MaZPL_DrSt_ode23t_1.png","figure")</f>
        <v>figure</v>
      </c>
      <c r="Q225" t="s">
        <v>15</v>
      </c>
      <c r="W225" s="4">
        <f>M225-'2022a_251026_2256'!M225</f>
        <v>4.7973876000000004</v>
      </c>
    </row>
    <row r="226" spans="1:23" x14ac:dyDescent="0.25">
      <c r="A226">
        <v>225</v>
      </c>
      <c r="B226">
        <v>171</v>
      </c>
      <c r="C226" t="s">
        <v>45</v>
      </c>
      <c r="D226" t="s">
        <v>17</v>
      </c>
      <c r="E226" t="s">
        <v>72</v>
      </c>
      <c r="F226" t="s">
        <v>19</v>
      </c>
      <c r="G226" t="s">
        <v>26</v>
      </c>
      <c r="H226" t="s">
        <v>21</v>
      </c>
      <c r="I226" t="s">
        <v>74</v>
      </c>
      <c r="J226" t="s">
        <v>148</v>
      </c>
      <c r="K226" t="s">
        <v>23</v>
      </c>
      <c r="L226">
        <v>1585</v>
      </c>
      <c r="M226" s="4">
        <v>37.935203700000002</v>
      </c>
      <c r="N226" s="4">
        <v>360.99716095874396</v>
      </c>
      <c r="O226" s="4">
        <v>0.74174383716599546</v>
      </c>
      <c r="P226" s="1" t="str">
        <f>HYPERLINK(".\sm_car_251116_2258\sm_car_251116_2258_225_Ca171TrN_MaZPL_DrSt_ode23t_1.png","figure")</f>
        <v>figure</v>
      </c>
      <c r="Q226" t="s">
        <v>15</v>
      </c>
      <c r="W226" s="4">
        <f>M226-'2022a_251026_2256'!M226</f>
        <v>13.393706600000002</v>
      </c>
    </row>
    <row r="227" spans="1:23" x14ac:dyDescent="0.25">
      <c r="A227">
        <v>226</v>
      </c>
      <c r="B227">
        <v>165</v>
      </c>
      <c r="C227" t="s">
        <v>45</v>
      </c>
      <c r="D227" t="s">
        <v>35</v>
      </c>
      <c r="E227" t="s">
        <v>49</v>
      </c>
      <c r="F227" t="s">
        <v>19</v>
      </c>
      <c r="G227" t="s">
        <v>26</v>
      </c>
      <c r="H227" t="s">
        <v>21</v>
      </c>
      <c r="I227" t="s">
        <v>75</v>
      </c>
      <c r="J227" t="s">
        <v>148</v>
      </c>
      <c r="K227" t="s">
        <v>23</v>
      </c>
      <c r="L227">
        <v>491</v>
      </c>
      <c r="M227" s="4">
        <v>7.2234018000000004</v>
      </c>
      <c r="N227" s="4">
        <v>378.5133806392281</v>
      </c>
      <c r="O227" s="4">
        <v>0.32792709068456227</v>
      </c>
      <c r="P227" s="1" t="str">
        <f>HYPERLINK(".\sm_car_251116_2258\sm_car_251116_2258_226_Ca165TrN_MaCPL_DrSt_ode23t_1.png","figure")</f>
        <v>figure</v>
      </c>
      <c r="Q227" t="s">
        <v>15</v>
      </c>
      <c r="W227" s="4">
        <f>M227-'2022a_251026_2256'!M227</f>
        <v>2.5559958000000007</v>
      </c>
    </row>
    <row r="228" spans="1:23" x14ac:dyDescent="0.25">
      <c r="A228">
        <v>227</v>
      </c>
      <c r="B228">
        <v>170</v>
      </c>
      <c r="C228" t="s">
        <v>45</v>
      </c>
      <c r="D228" t="s">
        <v>35</v>
      </c>
      <c r="E228" t="s">
        <v>49</v>
      </c>
      <c r="F228" t="s">
        <v>19</v>
      </c>
      <c r="G228" t="s">
        <v>188</v>
      </c>
      <c r="H228" t="s">
        <v>21</v>
      </c>
      <c r="I228" t="s">
        <v>75</v>
      </c>
      <c r="J228" t="s">
        <v>148</v>
      </c>
      <c r="K228" t="s">
        <v>23</v>
      </c>
      <c r="L228">
        <v>461</v>
      </c>
      <c r="M228" s="4">
        <v>5.0225036999999997</v>
      </c>
      <c r="N228" s="4">
        <v>381.71710262592887</v>
      </c>
      <c r="O228" s="4">
        <v>0.33484229423909817</v>
      </c>
      <c r="P228" s="1" t="str">
        <f>HYPERLINK(".\sm_car_251116_2258\sm_car_251116_2258_227_Ca170TrN_MaCPL_DrSt_ode23t_1.png","figure")</f>
        <v>figure</v>
      </c>
      <c r="Q228" t="s">
        <v>15</v>
      </c>
      <c r="W228" s="4">
        <f>M228-'2022a_251026_2256'!M228</f>
        <v>1.6222782999999996</v>
      </c>
    </row>
    <row r="229" spans="1:23" x14ac:dyDescent="0.25">
      <c r="A229">
        <v>228</v>
      </c>
      <c r="B229">
        <v>171</v>
      </c>
      <c r="C229" t="s">
        <v>45</v>
      </c>
      <c r="D229" t="s">
        <v>17</v>
      </c>
      <c r="E229" t="s">
        <v>72</v>
      </c>
      <c r="F229" t="s">
        <v>19</v>
      </c>
      <c r="G229" t="s">
        <v>26</v>
      </c>
      <c r="H229" t="s">
        <v>21</v>
      </c>
      <c r="I229" t="s">
        <v>76</v>
      </c>
      <c r="J229" t="s">
        <v>148</v>
      </c>
      <c r="K229" t="s">
        <v>23</v>
      </c>
      <c r="L229">
        <v>2868</v>
      </c>
      <c r="M229" s="4">
        <v>67.564501100000001</v>
      </c>
      <c r="N229" s="4">
        <v>165.07788012865953</v>
      </c>
      <c r="O229" s="4">
        <v>1.1167464385825969E-3</v>
      </c>
      <c r="P229" s="1" t="str">
        <f>HYPERLINK(".\sm_car_251116_2258\sm_car_251116_2258_228_Ca171TrN_MaRDR_DrSt_ode23t_1.png","figure")</f>
        <v>figure</v>
      </c>
      <c r="Q229" t="s">
        <v>15</v>
      </c>
      <c r="W229" s="4">
        <f>M229-'2022a_251026_2256'!M229</f>
        <v>21.443899800000004</v>
      </c>
    </row>
    <row r="230" spans="1:23" x14ac:dyDescent="0.25">
      <c r="A230">
        <v>229</v>
      </c>
      <c r="B230">
        <v>172</v>
      </c>
      <c r="C230" t="s">
        <v>46</v>
      </c>
      <c r="D230" t="s">
        <v>17</v>
      </c>
      <c r="E230" t="s">
        <v>72</v>
      </c>
      <c r="F230" t="s">
        <v>19</v>
      </c>
      <c r="G230" t="s">
        <v>26</v>
      </c>
      <c r="H230" t="s">
        <v>21</v>
      </c>
      <c r="I230" t="s">
        <v>76</v>
      </c>
      <c r="J230" t="s">
        <v>148</v>
      </c>
      <c r="K230" t="s">
        <v>23</v>
      </c>
      <c r="L230">
        <v>3305</v>
      </c>
      <c r="M230" s="4">
        <v>37.895750499999998</v>
      </c>
      <c r="N230" s="4">
        <v>162.25462145803928</v>
      </c>
      <c r="O230" s="4">
        <v>3.7697190818660717E-4</v>
      </c>
      <c r="P230" s="1" t="str">
        <f>HYPERLINK(".\sm_car_251116_2258\sm_car_251116_2258_229_Ca172TrN_MaRDR_DrSt_ode23t_1.png","figure")</f>
        <v>figure</v>
      </c>
      <c r="Q230" t="s">
        <v>15</v>
      </c>
      <c r="W230" s="4">
        <f>M230-'2022a_251026_2256'!M230</f>
        <v>9.6180797999999967</v>
      </c>
    </row>
    <row r="231" spans="1:23" x14ac:dyDescent="0.25">
      <c r="A231">
        <v>230</v>
      </c>
      <c r="B231">
        <v>139</v>
      </c>
      <c r="C231" t="s">
        <v>45</v>
      </c>
      <c r="D231" t="s">
        <v>17</v>
      </c>
      <c r="E231" t="s">
        <v>18</v>
      </c>
      <c r="F231" t="s">
        <v>19</v>
      </c>
      <c r="G231" t="s">
        <v>26</v>
      </c>
      <c r="H231" t="s">
        <v>21</v>
      </c>
      <c r="I231" t="s">
        <v>77</v>
      </c>
      <c r="J231" t="s">
        <v>148</v>
      </c>
      <c r="K231" t="s">
        <v>23</v>
      </c>
      <c r="L231">
        <v>2917</v>
      </c>
      <c r="M231" s="4">
        <v>41.2715119</v>
      </c>
      <c r="N231" s="4">
        <v>189.27028386477934</v>
      </c>
      <c r="O231" s="4">
        <v>7.5533672008098259E-4</v>
      </c>
      <c r="P231" s="1" t="str">
        <f>HYPERLINK(".\sm_car_251116_2258\sm_car_251116_2258_230_Ca139TrN_MaZRR_DrSt_ode23t_1.png","figure")</f>
        <v>figure</v>
      </c>
      <c r="Q231" t="s">
        <v>15</v>
      </c>
      <c r="W231" s="4">
        <f>M231-'2022a_251026_2256'!M231</f>
        <v>8.1845593000000036</v>
      </c>
    </row>
    <row r="232" spans="1:23" x14ac:dyDescent="0.25">
      <c r="A232">
        <v>231</v>
      </c>
      <c r="B232">
        <v>165</v>
      </c>
      <c r="C232" t="s">
        <v>45</v>
      </c>
      <c r="D232" t="s">
        <v>35</v>
      </c>
      <c r="E232" t="s">
        <v>49</v>
      </c>
      <c r="F232" t="s">
        <v>19</v>
      </c>
      <c r="G232" t="s">
        <v>26</v>
      </c>
      <c r="H232" t="s">
        <v>21</v>
      </c>
      <c r="I232" t="s">
        <v>77</v>
      </c>
      <c r="J232" t="s">
        <v>148</v>
      </c>
      <c r="K232" t="s">
        <v>23</v>
      </c>
      <c r="L232">
        <v>3298</v>
      </c>
      <c r="M232" s="4">
        <v>23.9995379</v>
      </c>
      <c r="N232" s="4">
        <v>189.40970572686228</v>
      </c>
      <c r="O232" s="4">
        <v>5.3870159436473319E-5</v>
      </c>
      <c r="P232" s="1" t="str">
        <f>HYPERLINK(".\sm_car_251116_2258\sm_car_251116_2258_231_Ca165TrN_MaZRR_DrSt_ode23t_1.png","figure")</f>
        <v>figure</v>
      </c>
      <c r="Q232" t="s">
        <v>15</v>
      </c>
      <c r="W232" s="4">
        <f>M232-'2022a_251026_2256'!M232</f>
        <v>2.3521639000000008</v>
      </c>
    </row>
    <row r="233" spans="1:23" x14ac:dyDescent="0.25">
      <c r="A233">
        <v>232</v>
      </c>
      <c r="B233">
        <v>171</v>
      </c>
      <c r="C233" t="s">
        <v>45</v>
      </c>
      <c r="D233" t="s">
        <v>17</v>
      </c>
      <c r="E233" t="s">
        <v>72</v>
      </c>
      <c r="F233" t="s">
        <v>19</v>
      </c>
      <c r="G233" t="s">
        <v>26</v>
      </c>
      <c r="H233" t="s">
        <v>21</v>
      </c>
      <c r="I233" t="s">
        <v>77</v>
      </c>
      <c r="J233" t="s">
        <v>148</v>
      </c>
      <c r="K233" t="s">
        <v>23</v>
      </c>
      <c r="L233">
        <v>3028</v>
      </c>
      <c r="M233" s="4">
        <v>57.065460999999999</v>
      </c>
      <c r="N233" s="4">
        <v>189.26882196636083</v>
      </c>
      <c r="O233" s="4">
        <v>6.9654074432827788E-4</v>
      </c>
      <c r="P233" s="1" t="str">
        <f>HYPERLINK(".\sm_car_251116_2258\sm_car_251116_2258_232_Ca171TrN_MaZRR_DrSt_ode23t_1.png","figure")</f>
        <v>figure</v>
      </c>
      <c r="Q233" t="s">
        <v>15</v>
      </c>
      <c r="W233" s="4">
        <f>M233-'2022a_251026_2256'!M233</f>
        <v>6.9743081000000018</v>
      </c>
    </row>
    <row r="234" spans="1:23" x14ac:dyDescent="0.25">
      <c r="A234">
        <v>233</v>
      </c>
      <c r="B234">
        <v>170</v>
      </c>
      <c r="C234" t="s">
        <v>45</v>
      </c>
      <c r="D234" t="s">
        <v>35</v>
      </c>
      <c r="E234" t="s">
        <v>49</v>
      </c>
      <c r="F234" t="s">
        <v>19</v>
      </c>
      <c r="G234" t="s">
        <v>188</v>
      </c>
      <c r="H234" t="s">
        <v>21</v>
      </c>
      <c r="I234" t="s">
        <v>78</v>
      </c>
      <c r="J234" t="s">
        <v>148</v>
      </c>
      <c r="K234" t="s">
        <v>23</v>
      </c>
      <c r="L234">
        <v>6299</v>
      </c>
      <c r="M234" s="4">
        <v>26.0192351</v>
      </c>
      <c r="N234" s="4">
        <v>-5.9990769165489608</v>
      </c>
      <c r="O234" s="4">
        <v>-6.3281538773901072E-3</v>
      </c>
      <c r="P234" s="1" t="str">
        <f>HYPERLINK(".\sm_car_251116_2258\sm_car_251116_2258_233_Ca170TrN_MaCMP_DrSt_ode23t_1.png","figure")</f>
        <v>figure</v>
      </c>
      <c r="Q234" t="s">
        <v>15</v>
      </c>
      <c r="W234" s="4">
        <f>M234-'2022a_251026_2256'!M234</f>
        <v>3.4716632999999995</v>
      </c>
    </row>
    <row r="235" spans="1:23" x14ac:dyDescent="0.25">
      <c r="A235">
        <v>234</v>
      </c>
      <c r="B235">
        <v>170</v>
      </c>
      <c r="C235" t="s">
        <v>45</v>
      </c>
      <c r="D235" t="s">
        <v>35</v>
      </c>
      <c r="E235" t="s">
        <v>49</v>
      </c>
      <c r="F235" t="s">
        <v>19</v>
      </c>
      <c r="G235" t="s">
        <v>188</v>
      </c>
      <c r="H235" t="s">
        <v>21</v>
      </c>
      <c r="I235" t="s">
        <v>79</v>
      </c>
      <c r="J235" t="s">
        <v>148</v>
      </c>
      <c r="K235" t="s">
        <v>23</v>
      </c>
      <c r="L235">
        <v>1617</v>
      </c>
      <c r="M235" s="4">
        <v>13.3968294</v>
      </c>
      <c r="N235" s="4">
        <v>-5.9984521082395927</v>
      </c>
      <c r="O235" s="4">
        <v>-6.2505413515697456E-3</v>
      </c>
      <c r="P235" s="1" t="str">
        <f>HYPERLINK(".\sm_car_251116_2258\sm_car_251116_2258_234_Ca170TrN_MaCMF_DrSt_ode23t_1.png","figure")</f>
        <v>figure</v>
      </c>
      <c r="Q235" t="s">
        <v>15</v>
      </c>
      <c r="W235" s="4">
        <f>M235-'2022a_251026_2256'!M235</f>
        <v>1.4741517999999996</v>
      </c>
    </row>
    <row r="236" spans="1:23" x14ac:dyDescent="0.25">
      <c r="A236">
        <v>235</v>
      </c>
      <c r="B236">
        <v>170</v>
      </c>
      <c r="C236" t="s">
        <v>45</v>
      </c>
      <c r="D236" t="s">
        <v>35</v>
      </c>
      <c r="E236" t="s">
        <v>49</v>
      </c>
      <c r="F236" t="s">
        <v>19</v>
      </c>
      <c r="G236" t="s">
        <v>188</v>
      </c>
      <c r="H236" t="s">
        <v>21</v>
      </c>
      <c r="I236" t="s">
        <v>80</v>
      </c>
      <c r="J236" t="s">
        <v>148</v>
      </c>
      <c r="K236" t="s">
        <v>23</v>
      </c>
      <c r="L236">
        <v>5387</v>
      </c>
      <c r="M236" s="4">
        <v>46.889701500000001</v>
      </c>
      <c r="N236" s="4">
        <v>-216.3668880994052</v>
      </c>
      <c r="O236" s="4">
        <v>5.6821992224166484</v>
      </c>
      <c r="P236" s="1" t="str">
        <f>HYPERLINK(".\sm_car_251116_2258\sm_car_251116_2258_235_Ca170TrN_MaMPO_DrSt_ode23t_1.png","figure")</f>
        <v>figure</v>
      </c>
      <c r="Q236" t="s">
        <v>15</v>
      </c>
      <c r="W236" s="4">
        <f>M236-'2022a_251026_2256'!M236</f>
        <v>4.0685392000000036</v>
      </c>
    </row>
    <row r="237" spans="1:23" x14ac:dyDescent="0.25">
      <c r="A237">
        <v>236</v>
      </c>
      <c r="B237">
        <v>170</v>
      </c>
      <c r="C237" t="s">
        <v>45</v>
      </c>
      <c r="D237" t="s">
        <v>35</v>
      </c>
      <c r="E237" t="s">
        <v>49</v>
      </c>
      <c r="F237" t="s">
        <v>19</v>
      </c>
      <c r="G237" t="s">
        <v>188</v>
      </c>
      <c r="H237" t="s">
        <v>21</v>
      </c>
      <c r="I237" t="s">
        <v>81</v>
      </c>
      <c r="J237" t="s">
        <v>148</v>
      </c>
      <c r="K237" t="s">
        <v>23</v>
      </c>
      <c r="L237">
        <v>1210</v>
      </c>
      <c r="M237" s="4">
        <v>22.742038900000001</v>
      </c>
      <c r="N237" s="4">
        <v>-14.23795026576029</v>
      </c>
      <c r="O237" s="4">
        <v>-1.214388796117305E-2</v>
      </c>
      <c r="P237" s="1" t="str">
        <f>HYPERLINK(".\sm_car_251116_2258\sm_car_251116_2258_236_Ca170TrN_MaMCI_DrSt_ode23t_1.png","figure")</f>
        <v>figure</v>
      </c>
      <c r="Q237" t="s">
        <v>15</v>
      </c>
      <c r="W237" s="4">
        <f>M237-'2022a_251026_2256'!M237</f>
        <v>2.9729734000000008</v>
      </c>
    </row>
    <row r="238" spans="1:23" x14ac:dyDescent="0.25">
      <c r="A238">
        <v>237</v>
      </c>
      <c r="B238">
        <v>170</v>
      </c>
      <c r="C238" t="s">
        <v>45</v>
      </c>
      <c r="D238" t="s">
        <v>35</v>
      </c>
      <c r="E238" t="s">
        <v>49</v>
      </c>
      <c r="F238" t="s">
        <v>19</v>
      </c>
      <c r="G238" t="s">
        <v>188</v>
      </c>
      <c r="H238" t="s">
        <v>21</v>
      </c>
      <c r="I238" t="s">
        <v>110</v>
      </c>
      <c r="J238" t="s">
        <v>148</v>
      </c>
      <c r="K238" t="s">
        <v>23</v>
      </c>
      <c r="L238">
        <v>3785</v>
      </c>
      <c r="M238" s="4">
        <v>29.820057800000001</v>
      </c>
      <c r="N238" s="4">
        <v>-5.999241063177827</v>
      </c>
      <c r="O238" s="4">
        <v>-4.69369769511637E-3</v>
      </c>
      <c r="P238" s="1" t="str">
        <f>HYPERLINK(".\sm_car_251116_2258\sm_car_251116_2258_237_Ca170TrN_MaCHO_DrSt_ode23t_1.png","figure")</f>
        <v>figure</v>
      </c>
      <c r="Q238" t="s">
        <v>15</v>
      </c>
      <c r="W238" s="4">
        <f>M238-'2022a_251026_2256'!M238</f>
        <v>5.6811392000000005</v>
      </c>
    </row>
    <row r="239" spans="1:23" x14ac:dyDescent="0.25">
      <c r="A239">
        <v>238</v>
      </c>
      <c r="B239">
        <v>170</v>
      </c>
      <c r="C239" t="s">
        <v>45</v>
      </c>
      <c r="D239" t="s">
        <v>35</v>
      </c>
      <c r="E239" t="s">
        <v>49</v>
      </c>
      <c r="F239" t="s">
        <v>19</v>
      </c>
      <c r="G239" t="s">
        <v>188</v>
      </c>
      <c r="H239" t="s">
        <v>21</v>
      </c>
      <c r="I239" t="s">
        <v>111</v>
      </c>
      <c r="J239" t="s">
        <v>148</v>
      </c>
      <c r="K239" t="s">
        <v>23</v>
      </c>
      <c r="L239">
        <v>2641</v>
      </c>
      <c r="M239" s="4">
        <v>27.3422804</v>
      </c>
      <c r="N239" s="4">
        <v>-5.9994017984258488</v>
      </c>
      <c r="O239" s="4">
        <v>-4.7390090988919465E-3</v>
      </c>
      <c r="P239" s="1" t="str">
        <f>HYPERLINK(".\sm_car_251116_2258\sm_car_251116_2258_238_Ca170TrN_MaCHF_DrSt_ode23t_1.png","figure")</f>
        <v>figure</v>
      </c>
      <c r="Q239" t="s">
        <v>15</v>
      </c>
      <c r="W239" s="4">
        <f>M239-'2022a_251026_2256'!M239</f>
        <v>3.7794665000000016</v>
      </c>
    </row>
    <row r="240" spans="1:23" x14ac:dyDescent="0.25">
      <c r="A240">
        <v>239</v>
      </c>
      <c r="B240">
        <v>170</v>
      </c>
      <c r="C240" t="s">
        <v>45</v>
      </c>
      <c r="D240" t="s">
        <v>35</v>
      </c>
      <c r="E240" t="s">
        <v>49</v>
      </c>
      <c r="F240" t="s">
        <v>19</v>
      </c>
      <c r="G240" t="s">
        <v>188</v>
      </c>
      <c r="H240" t="s">
        <v>21</v>
      </c>
      <c r="I240" t="s">
        <v>82</v>
      </c>
      <c r="J240" t="s">
        <v>148</v>
      </c>
      <c r="K240" t="s">
        <v>23</v>
      </c>
      <c r="L240">
        <v>9297</v>
      </c>
      <c r="M240" s="4">
        <v>49.014680300000002</v>
      </c>
      <c r="N240" s="4">
        <v>-768.71600053891882</v>
      </c>
      <c r="O240" s="4">
        <v>638.64313333948121</v>
      </c>
      <c r="P240" s="1" t="str">
        <f>HYPERLINK(".\sm_car_251116_2258\sm_car_251116_2258_239_Ca170TrN_MaCKY_DrSt_ode23t_1.png","figure")</f>
        <v>figure</v>
      </c>
      <c r="Q240" t="s">
        <v>15</v>
      </c>
      <c r="W240" s="4">
        <f>M240-'2022a_251026_2256'!M240</f>
        <v>9.4944142000000014</v>
      </c>
    </row>
    <row r="241" spans="1:23" x14ac:dyDescent="0.25">
      <c r="A241">
        <v>240</v>
      </c>
      <c r="B241">
        <v>170</v>
      </c>
      <c r="C241" t="s">
        <v>45</v>
      </c>
      <c r="D241" t="s">
        <v>35</v>
      </c>
      <c r="E241" t="s">
        <v>49</v>
      </c>
      <c r="F241" t="s">
        <v>19</v>
      </c>
      <c r="G241" t="s">
        <v>188</v>
      </c>
      <c r="H241" t="s">
        <v>21</v>
      </c>
      <c r="I241" t="s">
        <v>83</v>
      </c>
      <c r="J241" t="s">
        <v>148</v>
      </c>
      <c r="K241" t="s">
        <v>23</v>
      </c>
      <c r="L241">
        <v>1724</v>
      </c>
      <c r="M241" s="4">
        <v>18.438073500000002</v>
      </c>
      <c r="N241" s="4">
        <v>-772.67627619643918</v>
      </c>
      <c r="O241" s="4">
        <v>640.74522380707151</v>
      </c>
      <c r="P241" s="1" t="str">
        <f>HYPERLINK(".\sm_car_251116_2258\sm_car_251116_2258_240_Ca170TrN_MaCKF_DrSt_ode23t_1.png","figure")</f>
        <v>figure</v>
      </c>
      <c r="Q241" t="s">
        <v>15</v>
      </c>
      <c r="W241" s="4">
        <f>M241-'2022a_251026_2256'!M241</f>
        <v>3.5267652000000016</v>
      </c>
    </row>
    <row r="242" spans="1:23" x14ac:dyDescent="0.25">
      <c r="A242">
        <v>241</v>
      </c>
      <c r="B242">
        <v>170</v>
      </c>
      <c r="C242" t="s">
        <v>45</v>
      </c>
      <c r="D242" t="s">
        <v>35</v>
      </c>
      <c r="E242" t="s">
        <v>49</v>
      </c>
      <c r="F242" t="s">
        <v>19</v>
      </c>
      <c r="G242" t="s">
        <v>188</v>
      </c>
      <c r="H242" t="s">
        <v>21</v>
      </c>
      <c r="I242" t="s">
        <v>84</v>
      </c>
      <c r="J242" t="s">
        <v>148</v>
      </c>
      <c r="K242" t="s">
        <v>23</v>
      </c>
      <c r="L242">
        <v>2268</v>
      </c>
      <c r="M242" s="4">
        <v>34.701592300000002</v>
      </c>
      <c r="N242" s="4">
        <v>189.31356980212755</v>
      </c>
      <c r="O242" s="4">
        <v>308.88773790177095</v>
      </c>
      <c r="P242" s="1" t="str">
        <f>HYPERLINK(".\sm_car_251116_2258\sm_car_251116_2258_241_Ca170TrN_MaCNN_DrSt_ode23t_1.png","figure")</f>
        <v>figure</v>
      </c>
      <c r="Q242" t="s">
        <v>15</v>
      </c>
      <c r="W242" s="4">
        <f>M242-'2022a_251026_2256'!M242</f>
        <v>5.7267417000000016</v>
      </c>
    </row>
    <row r="243" spans="1:23" x14ac:dyDescent="0.25">
      <c r="A243">
        <v>242</v>
      </c>
      <c r="B243">
        <v>170</v>
      </c>
      <c r="C243" t="s">
        <v>45</v>
      </c>
      <c r="D243" t="s">
        <v>35</v>
      </c>
      <c r="E243" t="s">
        <v>49</v>
      </c>
      <c r="F243" t="s">
        <v>19</v>
      </c>
      <c r="G243" t="s">
        <v>188</v>
      </c>
      <c r="H243" t="s">
        <v>21</v>
      </c>
      <c r="I243" t="s">
        <v>85</v>
      </c>
      <c r="J243" t="s">
        <v>148</v>
      </c>
      <c r="K243" t="s">
        <v>23</v>
      </c>
      <c r="L243">
        <v>3557</v>
      </c>
      <c r="M243" s="4">
        <v>164.8444825</v>
      </c>
      <c r="N243" s="4">
        <v>2981.6994285974338</v>
      </c>
      <c r="O243" s="4">
        <v>-3077.7705619199373</v>
      </c>
      <c r="P243" s="1" t="str">
        <f>HYPERLINK(".\sm_car_251116_2258\sm_car_251116_2258_242_Ca170TrN_MaCNF_DrSt_ode23t_1.png","figure")</f>
        <v>figure</v>
      </c>
      <c r="Q243" t="s">
        <v>15</v>
      </c>
      <c r="W243" s="4">
        <f>M243-'2022a_251026_2256'!M243</f>
        <v>3.5522885000000031</v>
      </c>
    </row>
    <row r="244" spans="1:23" x14ac:dyDescent="0.25">
      <c r="A244">
        <v>243</v>
      </c>
      <c r="B244">
        <v>170</v>
      </c>
      <c r="C244" t="s">
        <v>45</v>
      </c>
      <c r="D244" t="s">
        <v>35</v>
      </c>
      <c r="E244" t="s">
        <v>49</v>
      </c>
      <c r="F244" t="s">
        <v>19</v>
      </c>
      <c r="G244" t="s">
        <v>188</v>
      </c>
      <c r="H244" t="s">
        <v>21</v>
      </c>
      <c r="I244" t="s">
        <v>86</v>
      </c>
      <c r="J244" t="s">
        <v>148</v>
      </c>
      <c r="K244" t="s">
        <v>23</v>
      </c>
      <c r="L244">
        <v>3006</v>
      </c>
      <c r="M244" s="4">
        <v>23.345708299999998</v>
      </c>
      <c r="N244" s="4">
        <v>497.8633130490565</v>
      </c>
      <c r="O244" s="4">
        <v>-175.70293786799922</v>
      </c>
      <c r="P244" s="1" t="str">
        <f>HYPERLINK(".\sm_car_251116_2258\sm_car_251116_2258_243_Ca170TrN_MaCSZ_DrSt_ode23t_1.png","figure")</f>
        <v>figure</v>
      </c>
      <c r="Q244" t="s">
        <v>15</v>
      </c>
      <c r="W244" s="4">
        <f>M244-'2022a_251026_2256'!M244</f>
        <v>7.0054799999997641E-2</v>
      </c>
    </row>
    <row r="245" spans="1:23" x14ac:dyDescent="0.25">
      <c r="A245">
        <v>244</v>
      </c>
      <c r="B245">
        <v>170</v>
      </c>
      <c r="C245" t="s">
        <v>45</v>
      </c>
      <c r="D245" t="s">
        <v>35</v>
      </c>
      <c r="E245" t="s">
        <v>49</v>
      </c>
      <c r="F245" t="s">
        <v>19</v>
      </c>
      <c r="G245" t="s">
        <v>188</v>
      </c>
      <c r="H245" t="s">
        <v>21</v>
      </c>
      <c r="I245" t="s">
        <v>87</v>
      </c>
      <c r="J245" t="s">
        <v>148</v>
      </c>
      <c r="K245" t="s">
        <v>23</v>
      </c>
      <c r="L245">
        <v>5125</v>
      </c>
      <c r="M245" s="4">
        <v>126.7579997</v>
      </c>
      <c r="N245" s="4">
        <v>-8.9787463822973272</v>
      </c>
      <c r="O245" s="4">
        <v>8.1265911202612166E-3</v>
      </c>
      <c r="P245" s="1" t="str">
        <f>HYPERLINK(".\sm_car_251116_2258\sm_car_251116_2258_244_Ca170TrN_MaCSF_DrSt_ode23t_1.png","figure")</f>
        <v>figure</v>
      </c>
      <c r="Q245" t="s">
        <v>15</v>
      </c>
      <c r="W245" s="4">
        <f>M245-'2022a_251026_2256'!M245</f>
        <v>2.2937995000000058</v>
      </c>
    </row>
    <row r="246" spans="1:23" x14ac:dyDescent="0.25">
      <c r="A246">
        <v>245</v>
      </c>
      <c r="B246">
        <v>170</v>
      </c>
      <c r="C246" t="s">
        <v>45</v>
      </c>
      <c r="D246" t="s">
        <v>35</v>
      </c>
      <c r="E246" t="s">
        <v>49</v>
      </c>
      <c r="F246" t="s">
        <v>19</v>
      </c>
      <c r="G246" t="s">
        <v>188</v>
      </c>
      <c r="H246" t="s">
        <v>21</v>
      </c>
      <c r="I246" t="s">
        <v>88</v>
      </c>
      <c r="J246" t="s">
        <v>148</v>
      </c>
      <c r="K246" t="s">
        <v>23</v>
      </c>
      <c r="L246">
        <v>1617</v>
      </c>
      <c r="M246" s="4">
        <v>43.628932800000001</v>
      </c>
      <c r="N246" s="4">
        <v>247.79328154069458</v>
      </c>
      <c r="O246" s="4">
        <v>391.37851350458124</v>
      </c>
      <c r="P246" s="1" t="str">
        <f>HYPERLINK(".\sm_car_251116_2258\sm_car_251116_2258_245_Ca170TrN_MaCPU_DrSt_ode23t_1.png","figure")</f>
        <v>figure</v>
      </c>
      <c r="Q246" t="s">
        <v>15</v>
      </c>
      <c r="W246" s="4">
        <f>M246-'2022a_251026_2256'!M246</f>
        <v>2.8158281000000045</v>
      </c>
    </row>
    <row r="247" spans="1:23" x14ac:dyDescent="0.25">
      <c r="A247">
        <v>246</v>
      </c>
      <c r="B247">
        <v>170</v>
      </c>
      <c r="C247" t="s">
        <v>45</v>
      </c>
      <c r="D247" t="s">
        <v>35</v>
      </c>
      <c r="E247" t="s">
        <v>49</v>
      </c>
      <c r="F247" t="s">
        <v>19</v>
      </c>
      <c r="G247" t="s">
        <v>188</v>
      </c>
      <c r="H247" t="s">
        <v>21</v>
      </c>
      <c r="I247" t="s">
        <v>89</v>
      </c>
      <c r="J247" t="s">
        <v>148</v>
      </c>
      <c r="K247" t="s">
        <v>23</v>
      </c>
      <c r="L247">
        <v>2466</v>
      </c>
      <c r="M247" s="4">
        <v>32.171072899999999</v>
      </c>
      <c r="N247" s="4">
        <v>179.59000234636187</v>
      </c>
      <c r="O247" s="4">
        <v>-180.28252161593991</v>
      </c>
      <c r="P247" s="1" t="str">
        <f>HYPERLINK(".\sm_car_251116_2258\sm_car_251116_2258_246_Ca170TrN_MaCPD_DrSt_ode23t_1.png","figure")</f>
        <v>figure</v>
      </c>
      <c r="Q247" t="s">
        <v>15</v>
      </c>
      <c r="W247" s="4">
        <f>M247-'2022a_251026_2256'!M247</f>
        <v>1.806792699999999</v>
      </c>
    </row>
    <row r="248" spans="1:23" x14ac:dyDescent="0.25">
      <c r="A248">
        <v>247</v>
      </c>
      <c r="B248">
        <v>202</v>
      </c>
      <c r="C248" t="s">
        <v>45</v>
      </c>
      <c r="D248" t="s">
        <v>35</v>
      </c>
      <c r="E248" t="s">
        <v>107</v>
      </c>
      <c r="F248" t="s">
        <v>19</v>
      </c>
      <c r="G248" t="s">
        <v>188</v>
      </c>
      <c r="H248" t="s">
        <v>21</v>
      </c>
      <c r="I248" t="s">
        <v>79</v>
      </c>
      <c r="J248" t="s">
        <v>148</v>
      </c>
      <c r="K248" t="s">
        <v>23</v>
      </c>
      <c r="L248">
        <v>1635</v>
      </c>
      <c r="M248" s="4">
        <v>5.1826942000000003</v>
      </c>
      <c r="N248" s="4">
        <v>-5.9991130369005505</v>
      </c>
      <c r="O248" s="4">
        <v>-6.174553701024787E-3</v>
      </c>
      <c r="P248" s="1" t="str">
        <f>HYPERLINK(".\sm_car_251116_2258\sm_car_251116_2258_247_Ca202TrN_MaCMF_DrSt_ode23t_1.png","figure")</f>
        <v>figure</v>
      </c>
      <c r="Q248" t="s">
        <v>15</v>
      </c>
      <c r="W248" s="4">
        <f>M248-'2022a_251026_2256'!M248</f>
        <v>-0.48039649999999945</v>
      </c>
    </row>
    <row r="249" spans="1:23" x14ac:dyDescent="0.25">
      <c r="A249">
        <v>248</v>
      </c>
      <c r="B249">
        <v>202</v>
      </c>
      <c r="C249" t="s">
        <v>45</v>
      </c>
      <c r="D249" t="s">
        <v>35</v>
      </c>
      <c r="E249" t="s">
        <v>107</v>
      </c>
      <c r="F249" t="s">
        <v>19</v>
      </c>
      <c r="G249" t="s">
        <v>188</v>
      </c>
      <c r="H249" t="s">
        <v>21</v>
      </c>
      <c r="I249" t="s">
        <v>80</v>
      </c>
      <c r="J249" t="s">
        <v>148</v>
      </c>
      <c r="K249" t="s">
        <v>23</v>
      </c>
      <c r="L249">
        <v>5367</v>
      </c>
      <c r="M249" s="4">
        <v>32.333964899999998</v>
      </c>
      <c r="N249" s="4">
        <v>-217.49333607968032</v>
      </c>
      <c r="O249" s="4">
        <v>5.8591981140250748</v>
      </c>
      <c r="P249" s="1" t="str">
        <f>HYPERLINK(".\sm_car_251116_2258\sm_car_251116_2258_248_Ca202TrN_MaMPO_DrSt_ode23t_1.png","figure")</f>
        <v>figure</v>
      </c>
      <c r="Q249" t="s">
        <v>15</v>
      </c>
      <c r="W249" s="4">
        <f>M249-'2022a_251026_2256'!M249</f>
        <v>1.2406748999999984</v>
      </c>
    </row>
    <row r="250" spans="1:23" x14ac:dyDescent="0.25">
      <c r="A250">
        <v>249</v>
      </c>
      <c r="B250">
        <v>202</v>
      </c>
      <c r="C250" t="s">
        <v>45</v>
      </c>
      <c r="D250" t="s">
        <v>35</v>
      </c>
      <c r="E250" t="s">
        <v>107</v>
      </c>
      <c r="F250" t="s">
        <v>19</v>
      </c>
      <c r="G250" t="s">
        <v>188</v>
      </c>
      <c r="H250" t="s">
        <v>21</v>
      </c>
      <c r="I250" t="s">
        <v>81</v>
      </c>
      <c r="J250" t="s">
        <v>148</v>
      </c>
      <c r="K250" t="s">
        <v>23</v>
      </c>
      <c r="L250">
        <v>1195</v>
      </c>
      <c r="M250" s="4">
        <v>12.3172351</v>
      </c>
      <c r="N250" s="4">
        <v>-14.230475054048874</v>
      </c>
      <c r="O250" s="4">
        <v>-6.6785544601657421E-3</v>
      </c>
      <c r="P250" s="1" t="str">
        <f>HYPERLINK(".\sm_car_251116_2258\sm_car_251116_2258_249_Ca202TrN_MaMCI_DrSt_ode23t_1.png","figure")</f>
        <v>figure</v>
      </c>
      <c r="Q250" t="s">
        <v>15</v>
      </c>
      <c r="W250" s="4">
        <f>M250-'2022a_251026_2256'!M250</f>
        <v>1.5267399999999043E-2</v>
      </c>
    </row>
    <row r="251" spans="1:23" x14ac:dyDescent="0.25">
      <c r="A251">
        <v>250</v>
      </c>
      <c r="B251">
        <v>202</v>
      </c>
      <c r="C251" t="s">
        <v>45</v>
      </c>
      <c r="D251" t="s">
        <v>35</v>
      </c>
      <c r="E251" t="s">
        <v>107</v>
      </c>
      <c r="F251" t="s">
        <v>19</v>
      </c>
      <c r="G251" t="s">
        <v>188</v>
      </c>
      <c r="H251" t="s">
        <v>21</v>
      </c>
      <c r="I251" t="s">
        <v>83</v>
      </c>
      <c r="J251" t="s">
        <v>148</v>
      </c>
      <c r="K251" t="s">
        <v>23</v>
      </c>
      <c r="L251">
        <v>2876</v>
      </c>
      <c r="M251" s="4">
        <v>11.024942299999999</v>
      </c>
      <c r="N251" s="4">
        <v>-5.9967599757358716</v>
      </c>
      <c r="O251" s="4">
        <v>-2.6152970750457961E-2</v>
      </c>
      <c r="P251" s="1" t="str">
        <f>HYPERLINK(".\sm_car_251116_2258\sm_car_251116_2258_250_Ca202TrN_MaCKF_DrSt_ode23t_1.png","figure")</f>
        <v>figure</v>
      </c>
      <c r="Q251" t="s">
        <v>15</v>
      </c>
      <c r="W251" s="4">
        <f>M251-'2022a_251026_2256'!M251</f>
        <v>-0.88169180000000047</v>
      </c>
    </row>
    <row r="252" spans="1:23" x14ac:dyDescent="0.25">
      <c r="A252">
        <v>251</v>
      </c>
      <c r="B252">
        <v>202</v>
      </c>
      <c r="C252" t="s">
        <v>45</v>
      </c>
      <c r="D252" t="s">
        <v>35</v>
      </c>
      <c r="E252" t="s">
        <v>107</v>
      </c>
      <c r="F252" t="s">
        <v>19</v>
      </c>
      <c r="G252" t="s">
        <v>188</v>
      </c>
      <c r="H252" t="s">
        <v>21</v>
      </c>
      <c r="I252" t="s">
        <v>85</v>
      </c>
      <c r="J252" t="s">
        <v>148</v>
      </c>
      <c r="K252" t="s">
        <v>23</v>
      </c>
      <c r="L252">
        <v>8360</v>
      </c>
      <c r="M252" s="4">
        <v>242.45842529999999</v>
      </c>
      <c r="N252" s="4">
        <v>-8.9781757971358171</v>
      </c>
      <c r="O252" s="4">
        <v>2.3794324531505762E-2</v>
      </c>
      <c r="P252" s="1" t="str">
        <f>HYPERLINK(".\sm_car_251116_2258\sm_car_251116_2258_251_Ca202TrN_MaCNF_DrSt_ode23t_1.png","figure")</f>
        <v>figure</v>
      </c>
      <c r="Q252" t="s">
        <v>15</v>
      </c>
      <c r="W252" s="4">
        <f>M252-'2022a_251026_2256'!M252</f>
        <v>10.555919299999999</v>
      </c>
    </row>
    <row r="253" spans="1:23" x14ac:dyDescent="0.25">
      <c r="A253">
        <v>252</v>
      </c>
      <c r="B253">
        <v>202</v>
      </c>
      <c r="C253" t="s">
        <v>45</v>
      </c>
      <c r="D253" t="s">
        <v>35</v>
      </c>
      <c r="E253" t="s">
        <v>107</v>
      </c>
      <c r="F253" t="s">
        <v>19</v>
      </c>
      <c r="G253" t="s">
        <v>188</v>
      </c>
      <c r="H253" t="s">
        <v>21</v>
      </c>
      <c r="I253" t="s">
        <v>87</v>
      </c>
      <c r="J253" t="s">
        <v>148</v>
      </c>
      <c r="K253" t="s">
        <v>23</v>
      </c>
      <c r="L253">
        <v>5157</v>
      </c>
      <c r="M253" s="4">
        <v>71.317618199999998</v>
      </c>
      <c r="N253" s="4">
        <v>-8.9900981534315569</v>
      </c>
      <c r="O253" s="4">
        <v>8.180138961622483E-3</v>
      </c>
      <c r="P253" s="1" t="str">
        <f>HYPERLINK(".\sm_car_251116_2258\sm_car_251116_2258_252_Ca202TrN_MaCSF_DrSt_ode23t_1.png","figure")</f>
        <v>figure</v>
      </c>
      <c r="Q253" t="s">
        <v>15</v>
      </c>
      <c r="W253" s="4">
        <f>M253-'2022a_251026_2256'!M253</f>
        <v>6.1016900000000049</v>
      </c>
    </row>
    <row r="254" spans="1:23" x14ac:dyDescent="0.25">
      <c r="A254">
        <v>253</v>
      </c>
      <c r="B254">
        <v>202</v>
      </c>
      <c r="C254" t="s">
        <v>45</v>
      </c>
      <c r="D254" t="s">
        <v>35</v>
      </c>
      <c r="E254" t="s">
        <v>107</v>
      </c>
      <c r="F254" t="s">
        <v>19</v>
      </c>
      <c r="G254" t="s">
        <v>188</v>
      </c>
      <c r="H254" t="s">
        <v>21</v>
      </c>
      <c r="I254" t="s">
        <v>78</v>
      </c>
      <c r="J254" t="s">
        <v>148</v>
      </c>
      <c r="K254" t="s">
        <v>23</v>
      </c>
      <c r="L254">
        <v>7199</v>
      </c>
      <c r="M254" s="4">
        <v>26.828561100000002</v>
      </c>
      <c r="N254" s="4">
        <v>-5.9988907716602711</v>
      </c>
      <c r="O254" s="4">
        <v>-6.2432342963856073E-3</v>
      </c>
      <c r="P254" s="1" t="str">
        <f>HYPERLINK(".\sm_car_251116_2258\sm_car_251116_2258_253_Ca202TrN_MaCMP_DrSt_ode23t_1.png","figure")</f>
        <v>figure</v>
      </c>
      <c r="Q254" t="s">
        <v>15</v>
      </c>
      <c r="W254" s="4">
        <f>M254-'2022a_251026_2256'!M254</f>
        <v>1.7231430000000003</v>
      </c>
    </row>
    <row r="255" spans="1:23" x14ac:dyDescent="0.25">
      <c r="A255">
        <v>254</v>
      </c>
      <c r="B255">
        <v>202</v>
      </c>
      <c r="C255" t="s">
        <v>45</v>
      </c>
      <c r="D255" t="s">
        <v>35</v>
      </c>
      <c r="E255" t="s">
        <v>107</v>
      </c>
      <c r="F255" t="s">
        <v>19</v>
      </c>
      <c r="G255" t="s">
        <v>188</v>
      </c>
      <c r="H255" t="s">
        <v>21</v>
      </c>
      <c r="I255" t="s">
        <v>82</v>
      </c>
      <c r="J255" t="s">
        <v>148</v>
      </c>
      <c r="K255" t="s">
        <v>23</v>
      </c>
      <c r="L255">
        <v>20050</v>
      </c>
      <c r="M255" s="4">
        <v>88.396120600000003</v>
      </c>
      <c r="N255" s="4">
        <v>-5.9994553843777556</v>
      </c>
      <c r="O255" s="4">
        <v>-2.79228268452241E-2</v>
      </c>
      <c r="P255" s="1" t="str">
        <f>HYPERLINK(".\sm_car_251116_2258\sm_car_251116_2258_254_Ca202TrN_MaCKY_DrSt_ode23t_1.png","figure")</f>
        <v>figure</v>
      </c>
      <c r="Q255" t="s">
        <v>15</v>
      </c>
      <c r="W255" s="4">
        <f>M255-'2022a_251026_2256'!M255</f>
        <v>10.619413000000009</v>
      </c>
    </row>
    <row r="256" spans="1:23" x14ac:dyDescent="0.25">
      <c r="A256">
        <v>255</v>
      </c>
      <c r="B256">
        <v>202</v>
      </c>
      <c r="C256" t="s">
        <v>45</v>
      </c>
      <c r="D256" t="s">
        <v>35</v>
      </c>
      <c r="E256" t="s">
        <v>107</v>
      </c>
      <c r="F256" t="s">
        <v>19</v>
      </c>
      <c r="G256" t="s">
        <v>188</v>
      </c>
      <c r="H256" t="s">
        <v>21</v>
      </c>
      <c r="I256" t="s">
        <v>75</v>
      </c>
      <c r="J256" t="s">
        <v>148</v>
      </c>
      <c r="K256" t="s">
        <v>23</v>
      </c>
      <c r="L256">
        <v>474</v>
      </c>
      <c r="M256" s="4">
        <v>4.1915608000000004</v>
      </c>
      <c r="N256" s="4">
        <v>380.66458331191734</v>
      </c>
      <c r="O256" s="4">
        <v>0.33255620780143091</v>
      </c>
      <c r="P256" s="1" t="str">
        <f>HYPERLINK(".\sm_car_251116_2258\sm_car_251116_2258_255_Ca202TrN_MaCPL_DrSt_ode23t_1.png","figure")</f>
        <v>figure</v>
      </c>
      <c r="Q256" t="s">
        <v>15</v>
      </c>
      <c r="W256" s="4">
        <f>M256-'2022a_251026_2256'!M256</f>
        <v>1.6522727000000006</v>
      </c>
    </row>
    <row r="257" spans="1:23" x14ac:dyDescent="0.25">
      <c r="A257">
        <v>256</v>
      </c>
      <c r="B257">
        <v>140</v>
      </c>
      <c r="C257" t="s">
        <v>45</v>
      </c>
      <c r="D257" t="s">
        <v>17</v>
      </c>
      <c r="E257" t="s">
        <v>49</v>
      </c>
      <c r="F257" t="s">
        <v>19</v>
      </c>
      <c r="G257" t="s">
        <v>26</v>
      </c>
      <c r="H257" t="s">
        <v>21</v>
      </c>
      <c r="I257" t="s">
        <v>112</v>
      </c>
      <c r="J257" t="s">
        <v>148</v>
      </c>
      <c r="K257" t="s">
        <v>23</v>
      </c>
      <c r="L257">
        <v>2616</v>
      </c>
      <c r="M257" s="4">
        <v>44.184126800000001</v>
      </c>
      <c r="N257" s="4">
        <v>189.14197238163842</v>
      </c>
      <c r="O257" s="4">
        <v>7.0175916945456034E-4</v>
      </c>
      <c r="P257" s="1" t="str">
        <f>HYPERLINK(".\sm_car_251116_2258\sm_car_251116_2258_256_Ca140TrN_MaCRR_DrSt_ode23t_1.png","figure")</f>
        <v>figure</v>
      </c>
      <c r="Q257" t="s">
        <v>15</v>
      </c>
      <c r="W257" s="4">
        <f>M257-'2022a_251026_2256'!M257</f>
        <v>6.5645153000000036</v>
      </c>
    </row>
    <row r="258" spans="1:23" x14ac:dyDescent="0.25">
      <c r="A258">
        <v>257</v>
      </c>
      <c r="B258">
        <v>189</v>
      </c>
      <c r="C258" t="s">
        <v>45</v>
      </c>
      <c r="D258" t="s">
        <v>17</v>
      </c>
      <c r="E258" t="s">
        <v>107</v>
      </c>
      <c r="F258" t="s">
        <v>19</v>
      </c>
      <c r="G258" t="s">
        <v>26</v>
      </c>
      <c r="H258" t="s">
        <v>21</v>
      </c>
      <c r="I258" t="s">
        <v>112</v>
      </c>
      <c r="J258" t="s">
        <v>148</v>
      </c>
      <c r="K258" t="s">
        <v>23</v>
      </c>
      <c r="L258">
        <v>3207</v>
      </c>
      <c r="M258" s="4">
        <v>39.002586600000001</v>
      </c>
      <c r="N258" s="4">
        <v>189.18144296237162</v>
      </c>
      <c r="O258" s="4">
        <v>6.5997042027577844E-4</v>
      </c>
      <c r="P258" s="1" t="str">
        <f>HYPERLINK(".\sm_car_251116_2258\sm_car_251116_2258_257_Ca189TrN_MaCRR_DrSt_ode23t_1.png","figure")</f>
        <v>figure</v>
      </c>
      <c r="Q258" t="s">
        <v>15</v>
      </c>
      <c r="W258" s="4">
        <f>M258-'2022a_251026_2256'!M258</f>
        <v>5.217936899999998</v>
      </c>
    </row>
    <row r="259" spans="1:23" x14ac:dyDescent="0.25">
      <c r="A259">
        <v>258</v>
      </c>
      <c r="B259">
        <v>173</v>
      </c>
      <c r="C259" t="s">
        <v>45</v>
      </c>
      <c r="D259" t="s">
        <v>35</v>
      </c>
      <c r="E259" t="s">
        <v>49</v>
      </c>
      <c r="F259" t="s">
        <v>19</v>
      </c>
      <c r="G259" t="s">
        <v>90</v>
      </c>
      <c r="H259" t="s">
        <v>21</v>
      </c>
      <c r="I259" t="s">
        <v>91</v>
      </c>
      <c r="J259" t="s">
        <v>148</v>
      </c>
      <c r="K259" t="s">
        <v>92</v>
      </c>
      <c r="L259">
        <v>1585</v>
      </c>
      <c r="M259" s="4">
        <v>68.126706200000001</v>
      </c>
      <c r="N259" s="4">
        <v>51.299534188168501</v>
      </c>
      <c r="O259" s="4">
        <v>9.1604319329928793E-3</v>
      </c>
      <c r="P259" s="1" t="str">
        <f>HYPERLINK(".\sm_car_251116_2258\sm_car_251116_2258_258_Ca173TrN_MaDCA_DrSt_daessc_1.png","figure")</f>
        <v>figure</v>
      </c>
      <c r="Q259" t="s">
        <v>15</v>
      </c>
      <c r="W259" s="4">
        <f>M259-'2022a_251026_2256'!M259</f>
        <v>9.8946903000000006</v>
      </c>
    </row>
    <row r="260" spans="1:23" x14ac:dyDescent="0.25">
      <c r="A260">
        <v>259</v>
      </c>
      <c r="B260">
        <v>173</v>
      </c>
      <c r="C260" t="s">
        <v>45</v>
      </c>
      <c r="D260" t="s">
        <v>35</v>
      </c>
      <c r="E260" t="s">
        <v>49</v>
      </c>
      <c r="F260" t="s">
        <v>19</v>
      </c>
      <c r="G260" t="s">
        <v>90</v>
      </c>
      <c r="H260" t="s">
        <v>21</v>
      </c>
      <c r="I260" t="s">
        <v>93</v>
      </c>
      <c r="J260" t="s">
        <v>148</v>
      </c>
      <c r="K260" t="s">
        <v>92</v>
      </c>
      <c r="L260">
        <v>4058</v>
      </c>
      <c r="M260" s="4">
        <v>115.1995632</v>
      </c>
      <c r="N260" s="4">
        <v>980.46354871327242</v>
      </c>
      <c r="O260" s="4">
        <v>0.73484804721980235</v>
      </c>
      <c r="P260" s="1" t="str">
        <f>HYPERLINK(".\sm_car_251116_2258\sm_car_251116_2258_259_Ca173TrN_MaDC1_DrSt_daessc_1.png","figure")</f>
        <v>figure</v>
      </c>
      <c r="Q260" t="s">
        <v>15</v>
      </c>
      <c r="W260" s="4">
        <f>M260-'2022a_251026_2256'!M260</f>
        <v>17.849029700000003</v>
      </c>
    </row>
    <row r="261" spans="1:23" x14ac:dyDescent="0.25">
      <c r="A261">
        <v>260</v>
      </c>
      <c r="B261">
        <v>165</v>
      </c>
      <c r="C261" t="s">
        <v>45</v>
      </c>
      <c r="D261" t="s">
        <v>35</v>
      </c>
      <c r="E261" t="s">
        <v>49</v>
      </c>
      <c r="F261" t="s">
        <v>19</v>
      </c>
      <c r="G261" t="s">
        <v>26</v>
      </c>
      <c r="H261" t="s">
        <v>21</v>
      </c>
      <c r="I261" t="s">
        <v>91</v>
      </c>
      <c r="J261" t="s">
        <v>148</v>
      </c>
      <c r="K261" t="s">
        <v>23</v>
      </c>
      <c r="L261">
        <v>320</v>
      </c>
      <c r="M261" s="4">
        <v>4.7052535000000004</v>
      </c>
      <c r="N261" s="4">
        <v>53.50828056692022</v>
      </c>
      <c r="O261" s="4">
        <v>1.0033865208921076E-2</v>
      </c>
      <c r="P261" s="1" t="str">
        <f>HYPERLINK(".\sm_car_251116_2258\sm_car_251116_2258_260_Ca165TrN_MaDCA_DrSt_ode23t_1.png","figure")</f>
        <v>figure</v>
      </c>
      <c r="Q261" t="s">
        <v>15</v>
      </c>
      <c r="W261" s="4">
        <f>M261-'2022a_251026_2256'!M261</f>
        <v>0.8324240000000005</v>
      </c>
    </row>
    <row r="262" spans="1:23" x14ac:dyDescent="0.25">
      <c r="A262">
        <v>261</v>
      </c>
      <c r="B262">
        <v>165</v>
      </c>
      <c r="C262" t="s">
        <v>45</v>
      </c>
      <c r="D262" t="s">
        <v>35</v>
      </c>
      <c r="E262" t="s">
        <v>49</v>
      </c>
      <c r="F262" t="s">
        <v>19</v>
      </c>
      <c r="G262" t="s">
        <v>26</v>
      </c>
      <c r="H262" t="s">
        <v>21</v>
      </c>
      <c r="I262" t="s">
        <v>93</v>
      </c>
      <c r="J262" t="s">
        <v>148</v>
      </c>
      <c r="K262" t="s">
        <v>23</v>
      </c>
      <c r="L262">
        <v>1186</v>
      </c>
      <c r="M262" s="4">
        <v>10.0938482</v>
      </c>
      <c r="N262" s="4">
        <v>992.6536892903797</v>
      </c>
      <c r="O262" s="4">
        <v>0.79320278077776707</v>
      </c>
      <c r="P262" s="1" t="str">
        <f>HYPERLINK(".\sm_car_251116_2258\sm_car_251116_2258_261_Ca165TrN_MaDC1_DrSt_ode23t_1.png","figure")</f>
        <v>figure</v>
      </c>
      <c r="Q262" t="s">
        <v>15</v>
      </c>
      <c r="W262" s="4">
        <f>M262-'2022a_251026_2256'!M262</f>
        <v>1.9332518000000007</v>
      </c>
    </row>
    <row r="263" spans="1:23" x14ac:dyDescent="0.25">
      <c r="A263">
        <v>262</v>
      </c>
      <c r="B263">
        <v>196</v>
      </c>
      <c r="C263" t="s">
        <v>45</v>
      </c>
      <c r="D263" t="s">
        <v>35</v>
      </c>
      <c r="E263" t="s">
        <v>107</v>
      </c>
      <c r="F263" t="s">
        <v>19</v>
      </c>
      <c r="G263" t="s">
        <v>90</v>
      </c>
      <c r="H263" t="s">
        <v>21</v>
      </c>
      <c r="I263" t="s">
        <v>93</v>
      </c>
      <c r="J263" t="s">
        <v>148</v>
      </c>
      <c r="K263" t="s">
        <v>92</v>
      </c>
      <c r="L263">
        <v>4137</v>
      </c>
      <c r="M263" s="4">
        <v>61.859238400000002</v>
      </c>
      <c r="N263" s="4">
        <v>980.46102738336697</v>
      </c>
      <c r="O263" s="4">
        <v>0.73496340483276612</v>
      </c>
      <c r="P263" s="1" t="str">
        <f>HYPERLINK(".\sm_car_251116_2258\sm_car_251116_2258_262_Ca196TrN_MaDC1_DrSt_daessc_1.png","figure")</f>
        <v>figure</v>
      </c>
      <c r="Q263" t="s">
        <v>15</v>
      </c>
      <c r="W263" s="4">
        <f>M263-'2022a_251026_2256'!M263</f>
        <v>10.152692600000002</v>
      </c>
    </row>
    <row r="264" spans="1:23" x14ac:dyDescent="0.25">
      <c r="A264">
        <v>263</v>
      </c>
      <c r="B264">
        <v>179</v>
      </c>
      <c r="C264" t="s">
        <v>45</v>
      </c>
      <c r="D264" t="s">
        <v>57</v>
      </c>
      <c r="E264" t="s">
        <v>18</v>
      </c>
      <c r="F264" t="s">
        <v>19</v>
      </c>
      <c r="G264" t="s">
        <v>26</v>
      </c>
      <c r="H264" t="s">
        <v>21</v>
      </c>
      <c r="I264" t="s">
        <v>22</v>
      </c>
      <c r="J264" t="s">
        <v>148</v>
      </c>
      <c r="K264" t="s">
        <v>23</v>
      </c>
      <c r="L264">
        <v>475</v>
      </c>
      <c r="M264" s="4">
        <v>7.0204215999999997</v>
      </c>
      <c r="N264" s="4">
        <v>147.79791096322953</v>
      </c>
      <c r="O264" s="4">
        <v>9.6090719978941308E-2</v>
      </c>
      <c r="P264" s="1" t="str">
        <f>HYPERLINK(".\sm_car_251116_2258\sm_car_251116_2258_263_Ca179TrN_MaWOT_DrSt_ode23t_1.png","figure")</f>
        <v>figure</v>
      </c>
      <c r="Q264" t="s">
        <v>15</v>
      </c>
      <c r="W264" s="4">
        <f>M264-'2022a_251026_2256'!M264</f>
        <v>2.1113361999999993</v>
      </c>
    </row>
    <row r="265" spans="1:23" x14ac:dyDescent="0.25">
      <c r="A265">
        <v>264</v>
      </c>
      <c r="B265">
        <v>180</v>
      </c>
      <c r="C265" t="s">
        <v>45</v>
      </c>
      <c r="D265" t="s">
        <v>57</v>
      </c>
      <c r="E265" t="s">
        <v>49</v>
      </c>
      <c r="F265" t="s">
        <v>19</v>
      </c>
      <c r="G265" t="s">
        <v>26</v>
      </c>
      <c r="H265" t="s">
        <v>21</v>
      </c>
      <c r="I265" t="s">
        <v>22</v>
      </c>
      <c r="J265" t="s">
        <v>148</v>
      </c>
      <c r="K265" t="s">
        <v>23</v>
      </c>
      <c r="L265">
        <v>501</v>
      </c>
      <c r="M265" s="4">
        <v>8.1461217000000001</v>
      </c>
      <c r="N265" s="4">
        <v>147.84848020290528</v>
      </c>
      <c r="O265" s="4">
        <v>9.6072610475325157E-2</v>
      </c>
      <c r="P265" s="1" t="str">
        <f>HYPERLINK(".\sm_car_251116_2258\sm_car_251116_2258_264_Ca180TrN_MaWOT_DrSt_ode23t_1.png","figure")</f>
        <v>figure</v>
      </c>
      <c r="Q265" t="s">
        <v>15</v>
      </c>
      <c r="W265" s="4">
        <f>M265-'2022a_251026_2256'!M265</f>
        <v>0.63938770000000034</v>
      </c>
    </row>
    <row r="266" spans="1:23" x14ac:dyDescent="0.25">
      <c r="A266">
        <v>265</v>
      </c>
      <c r="B266">
        <v>197</v>
      </c>
      <c r="C266" t="s">
        <v>45</v>
      </c>
      <c r="D266" t="s">
        <v>57</v>
      </c>
      <c r="E266" t="s">
        <v>107</v>
      </c>
      <c r="F266" t="s">
        <v>19</v>
      </c>
      <c r="G266" t="s">
        <v>26</v>
      </c>
      <c r="H266" t="s">
        <v>21</v>
      </c>
      <c r="I266" t="s">
        <v>22</v>
      </c>
      <c r="J266" t="s">
        <v>148</v>
      </c>
      <c r="K266" t="s">
        <v>23</v>
      </c>
      <c r="L266">
        <v>450</v>
      </c>
      <c r="M266" s="4">
        <v>2.6372428000000001</v>
      </c>
      <c r="N266" s="4">
        <v>147.81194962631631</v>
      </c>
      <c r="O266" s="4">
        <v>9.5951331480630425E-2</v>
      </c>
      <c r="P266" s="1" t="str">
        <f>HYPERLINK(".\sm_car_251116_2258\sm_car_251116_2258_265_Ca197TrN_MaWOT_DrSt_ode23t_1.png","figure")</f>
        <v>figure</v>
      </c>
      <c r="Q266" t="s">
        <v>15</v>
      </c>
      <c r="W266" s="4">
        <f>M266-'2022a_251026_2256'!M266</f>
        <v>0.43154260000000022</v>
      </c>
    </row>
    <row r="267" spans="1:23" x14ac:dyDescent="0.25">
      <c r="A267">
        <v>266</v>
      </c>
      <c r="B267">
        <v>182</v>
      </c>
      <c r="C267" t="s">
        <v>45</v>
      </c>
      <c r="D267" t="s">
        <v>17</v>
      </c>
      <c r="E267" t="s">
        <v>49</v>
      </c>
      <c r="F267" t="s">
        <v>19</v>
      </c>
      <c r="G267" t="s">
        <v>26</v>
      </c>
      <c r="H267" t="s">
        <v>21</v>
      </c>
      <c r="I267" t="s">
        <v>64</v>
      </c>
      <c r="J267" t="s">
        <v>148</v>
      </c>
      <c r="K267" t="s">
        <v>23</v>
      </c>
      <c r="L267">
        <v>425</v>
      </c>
      <c r="M267" s="4">
        <v>15.3371847</v>
      </c>
      <c r="N267" s="4">
        <v>61.843650858857856</v>
      </c>
      <c r="O267" s="4">
        <v>-24.157975329121015</v>
      </c>
      <c r="P267" s="1" t="str">
        <f>HYPERLINK(".\sm_car_251116_2258\sm_car_251116_2258_266_Ca182TrN_MaTUR_DrSt_ode23t_1.png","figure")</f>
        <v>figure</v>
      </c>
      <c r="Q267" t="s">
        <v>15</v>
      </c>
      <c r="W267" s="4">
        <f>M267-'2022a_251026_2256'!M267</f>
        <v>2.0547764999999991</v>
      </c>
    </row>
    <row r="268" spans="1:23" x14ac:dyDescent="0.25">
      <c r="A268">
        <v>267</v>
      </c>
      <c r="B268">
        <v>203</v>
      </c>
      <c r="C268" t="s">
        <v>45</v>
      </c>
      <c r="D268" t="s">
        <v>17</v>
      </c>
      <c r="E268" t="s">
        <v>107</v>
      </c>
      <c r="F268" t="s">
        <v>19</v>
      </c>
      <c r="G268" t="s">
        <v>26</v>
      </c>
      <c r="H268" t="s">
        <v>21</v>
      </c>
      <c r="I268" t="s">
        <v>64</v>
      </c>
      <c r="J268" t="s">
        <v>148</v>
      </c>
      <c r="K268" t="s">
        <v>23</v>
      </c>
      <c r="L268">
        <v>377</v>
      </c>
      <c r="M268" s="4">
        <v>5.5315006000000002</v>
      </c>
      <c r="N268" s="4">
        <v>61.845585844015361</v>
      </c>
      <c r="O268" s="4">
        <v>-24.168117234201031</v>
      </c>
      <c r="P268" s="1" t="str">
        <f>HYPERLINK(".\sm_car_251116_2258\sm_car_251116_2258_267_Ca203TrN_MaTUR_DrSt_ode23t_1.png","figure")</f>
        <v>figure</v>
      </c>
      <c r="Q268" t="s">
        <v>15</v>
      </c>
      <c r="W268" s="4">
        <f>M268-'2022a_251026_2256'!M268</f>
        <v>1.1815114000000007</v>
      </c>
    </row>
    <row r="269" spans="1:23" x14ac:dyDescent="0.25">
      <c r="A269">
        <v>268</v>
      </c>
      <c r="B269">
        <v>185</v>
      </c>
      <c r="C269" t="s">
        <v>45</v>
      </c>
      <c r="D269" t="s">
        <v>17</v>
      </c>
      <c r="E269" t="s">
        <v>18</v>
      </c>
      <c r="F269" t="s">
        <v>19</v>
      </c>
      <c r="G269" t="s">
        <v>26</v>
      </c>
      <c r="H269" t="s">
        <v>21</v>
      </c>
      <c r="I269" t="s">
        <v>64</v>
      </c>
      <c r="J269" t="s">
        <v>148</v>
      </c>
      <c r="K269" t="s">
        <v>23</v>
      </c>
      <c r="L269">
        <v>541</v>
      </c>
      <c r="M269" s="4">
        <v>26.0894838</v>
      </c>
      <c r="N269" s="4">
        <v>111.94380736259289</v>
      </c>
      <c r="O269" s="4">
        <v>-78.487309931742885</v>
      </c>
      <c r="P269" s="1" t="str">
        <f>HYPERLINK(".\sm_car_251116_2258\sm_car_251116_2258_268_Ca185TrN_MaTUR_DrSt_ode23t_1.png","figure")</f>
        <v>figure</v>
      </c>
      <c r="Q269" t="s">
        <v>15</v>
      </c>
      <c r="W269" s="4">
        <f>M269-'2022a_251026_2256'!M269</f>
        <v>5.0042204000000012</v>
      </c>
    </row>
    <row r="270" spans="1:23" x14ac:dyDescent="0.25">
      <c r="A270">
        <v>269</v>
      </c>
      <c r="B270">
        <v>188</v>
      </c>
      <c r="C270" t="s">
        <v>45</v>
      </c>
      <c r="D270" t="s">
        <v>113</v>
      </c>
      <c r="E270" t="s">
        <v>49</v>
      </c>
      <c r="F270" t="s">
        <v>19</v>
      </c>
      <c r="G270" t="s">
        <v>26</v>
      </c>
      <c r="H270" t="s">
        <v>21</v>
      </c>
      <c r="I270" t="s">
        <v>64</v>
      </c>
      <c r="J270" t="s">
        <v>148</v>
      </c>
      <c r="K270" t="s">
        <v>23</v>
      </c>
      <c r="L270">
        <v>545</v>
      </c>
      <c r="M270" s="4">
        <v>9.9377285000000004</v>
      </c>
      <c r="N270" s="4">
        <v>140.61608082205137</v>
      </c>
      <c r="O270" s="4">
        <v>-71.731282511533919</v>
      </c>
      <c r="P270" s="1" t="str">
        <f>HYPERLINK(".\sm_car_251116_2258\sm_car_251116_2258_269_Ca188TrN_MaTUR_DrSt_ode23t_1.png","figure")</f>
        <v>figure</v>
      </c>
      <c r="Q270" t="s">
        <v>15</v>
      </c>
      <c r="W270" s="4">
        <f>M270-'2022a_251026_2256'!M270</f>
        <v>2.0736056000000005</v>
      </c>
    </row>
    <row r="271" spans="1:23" x14ac:dyDescent="0.25">
      <c r="A271">
        <v>270</v>
      </c>
      <c r="B271" t="s">
        <v>94</v>
      </c>
      <c r="C271" t="s">
        <v>95</v>
      </c>
      <c r="D271" t="s">
        <v>35</v>
      </c>
      <c r="E271" t="s">
        <v>18</v>
      </c>
      <c r="F271" t="s">
        <v>19</v>
      </c>
      <c r="G271" t="s">
        <v>96</v>
      </c>
      <c r="H271" t="s">
        <v>21</v>
      </c>
      <c r="I271" t="s">
        <v>22</v>
      </c>
      <c r="J271" t="s">
        <v>148</v>
      </c>
      <c r="K271" t="s">
        <v>23</v>
      </c>
      <c r="L271">
        <v>436</v>
      </c>
      <c r="M271" s="4">
        <v>16.3247976</v>
      </c>
      <c r="N271" s="4">
        <v>79.219818829831254</v>
      </c>
      <c r="O271" s="4">
        <v>-0.33364484011650863</v>
      </c>
      <c r="P271" s="1" t="str">
        <f>HYPERLINK(".\sm_car_251116_2258\sm_car_Axle3_251116_2258_270_CaAxle3_000TrN_MaWOT_DrSt_ode23t_1.png","figure")</f>
        <v>figure</v>
      </c>
      <c r="Q271" t="s">
        <v>15</v>
      </c>
      <c r="W271" s="4">
        <f>M271-'2022a_251026_2256'!M271</f>
        <v>3.7743538999999995</v>
      </c>
    </row>
    <row r="272" spans="1:23" x14ac:dyDescent="0.25">
      <c r="A272">
        <v>271</v>
      </c>
      <c r="B272" t="s">
        <v>99</v>
      </c>
      <c r="C272" t="s">
        <v>100</v>
      </c>
      <c r="D272" t="s">
        <v>35</v>
      </c>
      <c r="E272" t="s">
        <v>18</v>
      </c>
      <c r="F272" t="s">
        <v>19</v>
      </c>
      <c r="G272" t="s">
        <v>96</v>
      </c>
      <c r="H272" t="s">
        <v>21</v>
      </c>
      <c r="I272" t="s">
        <v>22</v>
      </c>
      <c r="J272" t="s">
        <v>148</v>
      </c>
      <c r="K272" t="s">
        <v>23</v>
      </c>
      <c r="L272">
        <v>550</v>
      </c>
      <c r="M272" s="4">
        <v>18.829042000000001</v>
      </c>
      <c r="N272" s="4">
        <v>61.779965246863227</v>
      </c>
      <c r="O272" s="4">
        <v>-7.8806101538501441E-2</v>
      </c>
      <c r="P272" s="1" t="str">
        <f>HYPERLINK(".\sm_car_251116_2258\sm_car_Axle3_251116_2258_271_CaAxle3_008TrN_MaWOT_DrSt_ode23t_1.png","figure")</f>
        <v>figure</v>
      </c>
      <c r="Q272" t="s">
        <v>15</v>
      </c>
      <c r="W272" s="4">
        <f>M272-'2022a_251026_2256'!M272</f>
        <v>4.8656368000000008</v>
      </c>
    </row>
    <row r="273" spans="1:23" x14ac:dyDescent="0.25">
      <c r="A273">
        <v>272</v>
      </c>
      <c r="B273" t="s">
        <v>97</v>
      </c>
      <c r="C273" t="s">
        <v>95</v>
      </c>
      <c r="D273" t="s">
        <v>35</v>
      </c>
      <c r="E273" t="s">
        <v>49</v>
      </c>
      <c r="F273" t="s">
        <v>19</v>
      </c>
      <c r="G273" t="s">
        <v>98</v>
      </c>
      <c r="H273" t="s">
        <v>21</v>
      </c>
      <c r="I273" t="s">
        <v>22</v>
      </c>
      <c r="J273" t="s">
        <v>148</v>
      </c>
      <c r="K273" t="s">
        <v>23</v>
      </c>
      <c r="L273">
        <v>424</v>
      </c>
      <c r="M273" s="4">
        <v>15.4370572</v>
      </c>
      <c r="N273" s="4">
        <v>79.244220046451531</v>
      </c>
      <c r="O273" s="4">
        <v>-0.31301972908609804</v>
      </c>
      <c r="P273" s="1" t="str">
        <f>HYPERLINK(".\sm_car_251116_2258\sm_car_Axle3_251116_2258_272_CaAxle3_003TrN_MaWOT_DrSt_ode23t_1.png","figure")</f>
        <v>figure</v>
      </c>
      <c r="Q273" t="s">
        <v>15</v>
      </c>
      <c r="W273" s="4">
        <f>M273-'2022a_251026_2256'!M273</f>
        <v>1.1529132999999998</v>
      </c>
    </row>
    <row r="274" spans="1:23" x14ac:dyDescent="0.25">
      <c r="A274">
        <v>273</v>
      </c>
      <c r="B274" t="s">
        <v>114</v>
      </c>
      <c r="C274" t="s">
        <v>95</v>
      </c>
      <c r="D274" t="s">
        <v>35</v>
      </c>
      <c r="E274" t="s">
        <v>107</v>
      </c>
      <c r="F274" t="s">
        <v>19</v>
      </c>
      <c r="G274" t="s">
        <v>98</v>
      </c>
      <c r="H274" t="s">
        <v>21</v>
      </c>
      <c r="I274" t="s">
        <v>22</v>
      </c>
      <c r="J274" t="s">
        <v>148</v>
      </c>
      <c r="K274" t="s">
        <v>23</v>
      </c>
      <c r="L274">
        <v>429</v>
      </c>
      <c r="M274" s="4">
        <v>2.3937550999999999</v>
      </c>
      <c r="N274" s="4">
        <v>80.123292057732073</v>
      </c>
      <c r="O274" s="4">
        <v>-0.31923679570934638</v>
      </c>
      <c r="P274" s="1" t="str">
        <f>HYPERLINK(".\sm_car_251116_2258\sm_car_Axle3_251116_2258_273_CaAxle3_017TrN_MaWOT_DrSt_ode23t_1.png","figure")</f>
        <v>figure</v>
      </c>
      <c r="Q274" t="s">
        <v>15</v>
      </c>
      <c r="W274" s="4">
        <f>M274-'2022a_251026_2256'!M274</f>
        <v>0.2824996999999998</v>
      </c>
    </row>
    <row r="275" spans="1:23" x14ac:dyDescent="0.25">
      <c r="A275">
        <v>274</v>
      </c>
      <c r="B275" t="s">
        <v>101</v>
      </c>
      <c r="C275" t="s">
        <v>100</v>
      </c>
      <c r="D275" t="s">
        <v>35</v>
      </c>
      <c r="E275" t="s">
        <v>49</v>
      </c>
      <c r="F275" t="s">
        <v>19</v>
      </c>
      <c r="G275" t="s">
        <v>96</v>
      </c>
      <c r="H275" t="s">
        <v>102</v>
      </c>
      <c r="I275" t="s">
        <v>22</v>
      </c>
      <c r="J275" t="s">
        <v>148</v>
      </c>
      <c r="K275" t="s">
        <v>23</v>
      </c>
      <c r="L275">
        <v>393</v>
      </c>
      <c r="M275" s="4">
        <v>38.558432000000003</v>
      </c>
      <c r="N275" s="4">
        <v>44.215687554524308</v>
      </c>
      <c r="O275" s="4">
        <v>2.2703787046339734E-2</v>
      </c>
      <c r="P275" s="1" t="str">
        <f>HYPERLINK(".\sm_car_251116_2258\sm_car_Axle3_251116_2258_274_CaAxle3_010TrK_MaWOT_DrSt_ode23t_1.png","figure")</f>
        <v>figure</v>
      </c>
      <c r="Q275" t="s">
        <v>15</v>
      </c>
      <c r="W275" s="4">
        <f>M275-'2022a_251026_2256'!M275</f>
        <v>3.2893321000000029</v>
      </c>
    </row>
    <row r="276" spans="1:23" x14ac:dyDescent="0.25">
      <c r="A276">
        <v>275</v>
      </c>
      <c r="B276" t="s">
        <v>101</v>
      </c>
      <c r="C276" t="s">
        <v>100</v>
      </c>
      <c r="D276" t="s">
        <v>35</v>
      </c>
      <c r="E276" t="s">
        <v>49</v>
      </c>
      <c r="F276" t="s">
        <v>19</v>
      </c>
      <c r="G276" t="s">
        <v>96</v>
      </c>
      <c r="H276" t="s">
        <v>102</v>
      </c>
      <c r="I276" t="s">
        <v>22</v>
      </c>
      <c r="J276" t="s">
        <v>148</v>
      </c>
      <c r="K276" t="s">
        <v>23</v>
      </c>
      <c r="L276">
        <v>405</v>
      </c>
      <c r="M276" s="4">
        <v>38.710260599999998</v>
      </c>
      <c r="N276" s="4">
        <v>44.315236631812866</v>
      </c>
      <c r="O276" s="4">
        <v>2.2834485521606031E-2</v>
      </c>
      <c r="P276" s="1" t="str">
        <f>HYPERLINK(".\sm_car_251116_2258\sm_car_Axle3_251116_2258_275_CaAxle3_010TrK_MaWOT_DrSt_ode23t_1.png","figure")</f>
        <v>figure</v>
      </c>
      <c r="Q276" t="s">
        <v>15</v>
      </c>
      <c r="W276" s="4">
        <f>M276-'2022a_251026_2256'!M276</f>
        <v>3.5167198999999982</v>
      </c>
    </row>
    <row r="277" spans="1:23" x14ac:dyDescent="0.25">
      <c r="A277">
        <v>276</v>
      </c>
      <c r="B277" t="s">
        <v>115</v>
      </c>
      <c r="C277" t="s">
        <v>100</v>
      </c>
      <c r="D277" t="s">
        <v>35</v>
      </c>
      <c r="E277" t="s">
        <v>107</v>
      </c>
      <c r="F277" t="s">
        <v>19</v>
      </c>
      <c r="G277" t="s">
        <v>96</v>
      </c>
      <c r="H277" t="s">
        <v>102</v>
      </c>
      <c r="I277" t="s">
        <v>22</v>
      </c>
      <c r="J277" t="s">
        <v>148</v>
      </c>
      <c r="K277" t="s">
        <v>23</v>
      </c>
      <c r="L277">
        <v>400</v>
      </c>
      <c r="M277" s="4">
        <v>3.7589383000000001</v>
      </c>
      <c r="N277" s="4">
        <v>48.183509483690855</v>
      </c>
      <c r="O277" s="4">
        <v>2.6472795461983133E-2</v>
      </c>
      <c r="P277" s="1" t="str">
        <f>HYPERLINK(".\sm_car_251116_2258\sm_car_Axle3_251116_2258_276_CaAxle3_019TrK_MaWOT_DrSt_ode23t_1.png","figure")</f>
        <v>figure</v>
      </c>
      <c r="Q277" t="s">
        <v>15</v>
      </c>
      <c r="W277" s="4">
        <f>M277-'2022a_251026_2256'!M277</f>
        <v>0.6303763</v>
      </c>
    </row>
    <row r="278" spans="1:23" x14ac:dyDescent="0.25">
      <c r="A278">
        <v>277</v>
      </c>
      <c r="B278" t="s">
        <v>115</v>
      </c>
      <c r="C278" t="s">
        <v>100</v>
      </c>
      <c r="D278" t="s">
        <v>35</v>
      </c>
      <c r="E278" t="s">
        <v>107</v>
      </c>
      <c r="F278" t="s">
        <v>19</v>
      </c>
      <c r="G278" t="s">
        <v>96</v>
      </c>
      <c r="H278" t="s">
        <v>102</v>
      </c>
      <c r="I278" t="s">
        <v>22</v>
      </c>
      <c r="J278" t="s">
        <v>148</v>
      </c>
      <c r="K278" t="s">
        <v>23</v>
      </c>
      <c r="L278">
        <v>401</v>
      </c>
      <c r="M278" s="4">
        <v>3.5712429999999999</v>
      </c>
      <c r="N278" s="4">
        <v>48.113116830482731</v>
      </c>
      <c r="O278" s="4">
        <v>2.6374442083525775E-2</v>
      </c>
      <c r="P278" s="1" t="str">
        <f>HYPERLINK(".\sm_car_251116_2258\sm_car_Axle3_251116_2258_277_CaAxle3_019TrK_MaWOT_DrSt_ode23t_1.png","figure")</f>
        <v>figure</v>
      </c>
      <c r="Q278" t="s">
        <v>15</v>
      </c>
      <c r="W278" s="4">
        <f>M278-'2022a_251026_2256'!M278</f>
        <v>0.5725560999999999</v>
      </c>
    </row>
    <row r="279" spans="1:23" x14ac:dyDescent="0.25">
      <c r="A279">
        <v>278</v>
      </c>
      <c r="B279" t="s">
        <v>115</v>
      </c>
      <c r="C279" t="s">
        <v>100</v>
      </c>
      <c r="D279" t="s">
        <v>35</v>
      </c>
      <c r="E279" t="s">
        <v>107</v>
      </c>
      <c r="F279" t="s">
        <v>19</v>
      </c>
      <c r="G279" t="s">
        <v>96</v>
      </c>
      <c r="H279" t="s">
        <v>102</v>
      </c>
      <c r="I279" t="s">
        <v>53</v>
      </c>
      <c r="J279" t="s">
        <v>148</v>
      </c>
      <c r="K279" t="s">
        <v>23</v>
      </c>
      <c r="L279">
        <v>642</v>
      </c>
      <c r="M279" s="4">
        <v>5.1859836000000001</v>
      </c>
      <c r="N279" s="4">
        <v>254.02977791298019</v>
      </c>
      <c r="O279" s="4">
        <v>-0.11226903862541571</v>
      </c>
      <c r="P279" s="1" t="str">
        <f>HYPERLINK(".\sm_car_251116_2258\sm_car_Axle3_251116_2258_278_CaAxle3_019TrK_MaDLC_DrSt_ode23t_1.png","figure")</f>
        <v>figure</v>
      </c>
      <c r="Q279" t="s">
        <v>15</v>
      </c>
      <c r="W279" s="4">
        <f>M279-'2022a_251026_2256'!M279</f>
        <v>0.67494299999999985</v>
      </c>
    </row>
    <row r="280" spans="1:23" x14ac:dyDescent="0.25">
      <c r="A280">
        <v>279</v>
      </c>
      <c r="B280" t="s">
        <v>115</v>
      </c>
      <c r="C280" t="s">
        <v>100</v>
      </c>
      <c r="D280" t="s">
        <v>35</v>
      </c>
      <c r="E280" t="s">
        <v>107</v>
      </c>
      <c r="F280" t="s">
        <v>19</v>
      </c>
      <c r="G280" t="s">
        <v>96</v>
      </c>
      <c r="H280" t="s">
        <v>102</v>
      </c>
      <c r="I280" t="s">
        <v>53</v>
      </c>
      <c r="J280" t="s">
        <v>148</v>
      </c>
      <c r="K280" t="s">
        <v>23</v>
      </c>
      <c r="L280">
        <v>789</v>
      </c>
      <c r="M280" s="4">
        <v>5.2375844999999996</v>
      </c>
      <c r="N280" s="4">
        <v>253.85784893402069</v>
      </c>
      <c r="O280" s="4">
        <v>-0.11426928151503635</v>
      </c>
      <c r="P280" s="1" t="str">
        <f>HYPERLINK(".\sm_car_251116_2258\sm_car_Axle3_251116_2258_279_CaAxle3_019TrK_MaDLC_DrSt_ode23t_1.png","figure")</f>
        <v>figure</v>
      </c>
      <c r="Q280" t="s">
        <v>15</v>
      </c>
      <c r="W280" s="4">
        <f>M280-'2022a_251026_2256'!M280</f>
        <v>0.66718299999999964</v>
      </c>
    </row>
    <row r="281" spans="1:23" x14ac:dyDescent="0.25">
      <c r="A281">
        <v>280</v>
      </c>
      <c r="B281" t="s">
        <v>115</v>
      </c>
      <c r="C281" t="s">
        <v>100</v>
      </c>
      <c r="D281" t="s">
        <v>35</v>
      </c>
      <c r="E281" t="s">
        <v>107</v>
      </c>
      <c r="F281" t="s">
        <v>19</v>
      </c>
      <c r="G281" t="s">
        <v>96</v>
      </c>
      <c r="H281" t="s">
        <v>102</v>
      </c>
      <c r="I281" t="s">
        <v>53</v>
      </c>
      <c r="J281" t="s">
        <v>148</v>
      </c>
      <c r="K281" t="s">
        <v>23</v>
      </c>
      <c r="L281">
        <v>628</v>
      </c>
      <c r="M281" s="4">
        <v>5.8198841999999997</v>
      </c>
      <c r="N281" s="4">
        <v>254.04476005379507</v>
      </c>
      <c r="O281" s="4">
        <v>-0.11140811791203031</v>
      </c>
      <c r="P281" s="1" t="str">
        <f>HYPERLINK(".\sm_car_251116_2258\sm_car_Axle3_251116_2258_280_CaAxle3_019TrK_MaDLC_DrSt_ode23t_1.png","figure")</f>
        <v>figure</v>
      </c>
      <c r="Q281" t="s">
        <v>15</v>
      </c>
      <c r="W281" s="4">
        <f>M281-'2022a_251026_2256'!M281</f>
        <v>1.3930689999999997</v>
      </c>
    </row>
    <row r="282" spans="1:23" x14ac:dyDescent="0.25">
      <c r="A282">
        <v>281</v>
      </c>
      <c r="B282" t="s">
        <v>115</v>
      </c>
      <c r="C282" t="s">
        <v>100</v>
      </c>
      <c r="D282" t="s">
        <v>35</v>
      </c>
      <c r="E282" t="s">
        <v>107</v>
      </c>
      <c r="F282" t="s">
        <v>19</v>
      </c>
      <c r="G282" t="s">
        <v>96</v>
      </c>
      <c r="H282" t="s">
        <v>102</v>
      </c>
      <c r="I282" t="s">
        <v>53</v>
      </c>
      <c r="J282" t="s">
        <v>148</v>
      </c>
      <c r="K282" t="s">
        <v>23</v>
      </c>
      <c r="L282">
        <v>828</v>
      </c>
      <c r="M282" s="4">
        <v>6.1171987000000003</v>
      </c>
      <c r="N282" s="4">
        <v>253.56907878331242</v>
      </c>
      <c r="O282" s="4">
        <v>-0.1060654330944093</v>
      </c>
      <c r="P282" s="1" t="str">
        <f>HYPERLINK(".\sm_car_251116_2258\sm_car_Axle3_251116_2258_281_CaAxle3_019TrK_MaDLC_DrSt_ode23t_1.png","figure")</f>
        <v>figure</v>
      </c>
      <c r="Q282" t="s">
        <v>15</v>
      </c>
      <c r="W282" s="4">
        <f>M282-'2022a_251026_2256'!M282</f>
        <v>0.97154340000000072</v>
      </c>
    </row>
    <row r="283" spans="1:23" x14ac:dyDescent="0.25">
      <c r="A283">
        <v>282</v>
      </c>
      <c r="B283" t="s">
        <v>138</v>
      </c>
      <c r="C283" t="s">
        <v>139</v>
      </c>
      <c r="D283" t="s">
        <v>35</v>
      </c>
      <c r="E283" t="s">
        <v>49</v>
      </c>
      <c r="F283" t="s">
        <v>19</v>
      </c>
      <c r="G283" t="s">
        <v>96</v>
      </c>
      <c r="H283" t="s">
        <v>102</v>
      </c>
      <c r="I283" t="s">
        <v>22</v>
      </c>
      <c r="J283" t="s">
        <v>148</v>
      </c>
      <c r="K283" t="s">
        <v>23</v>
      </c>
      <c r="L283">
        <v>379</v>
      </c>
      <c r="M283" s="4">
        <v>3.4465256000000002</v>
      </c>
      <c r="N283" s="4">
        <v>136.83020521097052</v>
      </c>
      <c r="O283" s="4">
        <v>0.19636473300660356</v>
      </c>
      <c r="P283" s="1" t="str">
        <f>HYPERLINK(".\sm_car_251116_2258\sm_car_Axle3_251116_2258_282_CaAxle3_023TrK_MaWOT_DrSt_ode23t_1.png","figure")</f>
        <v>figure</v>
      </c>
      <c r="Q283" t="s">
        <v>15</v>
      </c>
      <c r="W283" s="4">
        <f>M283-'2022a_251026_2256'!M283</f>
        <v>0.48339350000000003</v>
      </c>
    </row>
  </sheetData>
  <autoFilter ref="A1:Q283" xr:uid="{C4EE9376-E14F-4A00-9488-89EF91C9082E}"/>
  <conditionalFormatting sqref="W3:W28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{456D6CD9-AD80-4E16-B54D-9B489B9E9A93}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6D6CD9-AD80-4E16-B54D-9B489B9E9A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W3:W283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F2A89-8714-435C-A226-2791DF3C04CE}">
  <dimension ref="A1:S287"/>
  <sheetViews>
    <sheetView workbookViewId="0">
      <selection activeCell="T10" sqref="T10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S1" s="2" t="s">
        <v>193</v>
      </c>
    </row>
    <row r="2" spans="1:19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188</v>
      </c>
      <c r="H2" t="s">
        <v>21</v>
      </c>
      <c r="I2" t="s">
        <v>22</v>
      </c>
      <c r="J2" t="s">
        <v>148</v>
      </c>
      <c r="K2" t="s">
        <v>23</v>
      </c>
      <c r="L2">
        <v>415</v>
      </c>
      <c r="M2">
        <v>6.4397903000000003</v>
      </c>
      <c r="N2">
        <v>230.06110401850631</v>
      </c>
      <c r="O2">
        <v>-7.7390488127199323E-3</v>
      </c>
      <c r="P2" s="1" t="str">
        <f>HYPERLINK(".\sm_car_260116_2048\sm_car_260116_2048_001_Ca000TrN_MaWOT_DrSt_ode23t.png","figure")</f>
        <v>figure</v>
      </c>
      <c r="Q2" t="s">
        <v>15</v>
      </c>
      <c r="S2" s="2" t="s">
        <v>116</v>
      </c>
    </row>
    <row r="3" spans="1:19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188</v>
      </c>
      <c r="H3" t="s">
        <v>21</v>
      </c>
      <c r="I3" t="s">
        <v>24</v>
      </c>
      <c r="J3" t="s">
        <v>148</v>
      </c>
      <c r="K3" t="s">
        <v>23</v>
      </c>
      <c r="L3">
        <v>518</v>
      </c>
      <c r="M3">
        <v>6.6416487000000002</v>
      </c>
      <c r="N3">
        <v>70.867045635634994</v>
      </c>
      <c r="O3">
        <v>-0.53370171597824634</v>
      </c>
      <c r="P3" s="1" t="str">
        <f>HYPERLINK(".\sm_car_260116_2048\sm_car_260116_2048_002_Ca000TrN_MaLSS_DrSt_ode23t.png","figure")</f>
        <v>figure</v>
      </c>
      <c r="Q3" t="s">
        <v>15</v>
      </c>
      <c r="S3" s="2" t="s">
        <v>117</v>
      </c>
    </row>
    <row r="4" spans="1:19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188</v>
      </c>
      <c r="H4" t="s">
        <v>21</v>
      </c>
      <c r="I4" t="s">
        <v>22</v>
      </c>
      <c r="J4" t="s">
        <v>148</v>
      </c>
      <c r="K4" t="s">
        <v>23</v>
      </c>
      <c r="L4">
        <v>425</v>
      </c>
      <c r="M4">
        <v>7.1965893999999997</v>
      </c>
      <c r="N4">
        <v>229.09722320981587</v>
      </c>
      <c r="O4">
        <v>-1.7534705514768548E-2</v>
      </c>
      <c r="P4" s="1" t="str">
        <f>HYPERLINK(".\sm_car_260116_2048\sm_car_260116_2048_003_Ca001TrN_MaWOT_DrSt_ode23t.png","figure")</f>
        <v>figure</v>
      </c>
      <c r="Q4" t="s">
        <v>15</v>
      </c>
      <c r="S4" s="2" t="s">
        <v>118</v>
      </c>
    </row>
    <row r="5" spans="1:19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188</v>
      </c>
      <c r="H5" t="s">
        <v>21</v>
      </c>
      <c r="I5" t="s">
        <v>24</v>
      </c>
      <c r="J5" t="s">
        <v>148</v>
      </c>
      <c r="K5" t="s">
        <v>23</v>
      </c>
      <c r="L5">
        <v>537</v>
      </c>
      <c r="M5">
        <v>8.1152841000000002</v>
      </c>
      <c r="N5">
        <v>70.58368271990004</v>
      </c>
      <c r="O5">
        <v>-0.52684541438972887</v>
      </c>
      <c r="P5" s="1" t="str">
        <f>HYPERLINK(".\sm_car_260116_2048\sm_car_260116_2048_004_Ca001TrN_MaLSS_DrSt_ode23t.png","figure")</f>
        <v>figure</v>
      </c>
      <c r="Q5" t="s">
        <v>15</v>
      </c>
      <c r="S5" t="s">
        <v>194</v>
      </c>
    </row>
    <row r="6" spans="1:19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188</v>
      </c>
      <c r="H6" t="s">
        <v>21</v>
      </c>
      <c r="I6" t="s">
        <v>22</v>
      </c>
      <c r="J6" t="s">
        <v>148</v>
      </c>
      <c r="K6" t="s">
        <v>23</v>
      </c>
      <c r="L6">
        <v>450</v>
      </c>
      <c r="M6">
        <v>11.507093599999999</v>
      </c>
      <c r="N6">
        <v>229.04489247590635</v>
      </c>
      <c r="O6">
        <v>5.0433329842262536E-2</v>
      </c>
      <c r="P6" s="1" t="str">
        <f>HYPERLINK(".\sm_car_260116_2048\sm_car_260116_2048_005_Ca002TrN_MaWOT_DrSt_ode23t.png","figure")</f>
        <v>figure</v>
      </c>
      <c r="Q6" t="s">
        <v>15</v>
      </c>
    </row>
    <row r="7" spans="1:19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188</v>
      </c>
      <c r="H7" t="s">
        <v>21</v>
      </c>
      <c r="I7" t="s">
        <v>24</v>
      </c>
      <c r="J7" t="s">
        <v>148</v>
      </c>
      <c r="K7" t="s">
        <v>23</v>
      </c>
      <c r="L7">
        <v>520</v>
      </c>
      <c r="M7">
        <v>10.957692700000001</v>
      </c>
      <c r="N7">
        <v>70.585653557677915</v>
      </c>
      <c r="O7">
        <v>-0.52521481932063996</v>
      </c>
      <c r="P7" s="1" t="str">
        <f>HYPERLINK(".\sm_car_260116_2048\sm_car_260116_2048_006_Ca002TrN_MaLSS_DrSt_ode23t.png","figure")</f>
        <v>figure</v>
      </c>
      <c r="Q7" t="s">
        <v>15</v>
      </c>
    </row>
    <row r="8" spans="1:19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188</v>
      </c>
      <c r="H8" t="s">
        <v>21</v>
      </c>
      <c r="I8" t="s">
        <v>22</v>
      </c>
      <c r="J8" t="s">
        <v>148</v>
      </c>
      <c r="K8" t="s">
        <v>23</v>
      </c>
      <c r="L8">
        <v>465</v>
      </c>
      <c r="M8">
        <v>11.580197500000001</v>
      </c>
      <c r="N8">
        <v>228.50098544368885</v>
      </c>
      <c r="O8">
        <v>4.4147618957668229E-2</v>
      </c>
      <c r="P8" s="1" t="str">
        <f>HYPERLINK(".\sm_car_260116_2048\sm_car_260116_2048_007_Ca003TrN_MaWOT_DrSt_ode23t.png","figure")</f>
        <v>figure</v>
      </c>
      <c r="Q8" t="s">
        <v>15</v>
      </c>
    </row>
    <row r="9" spans="1:19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188</v>
      </c>
      <c r="H9" t="s">
        <v>21</v>
      </c>
      <c r="I9" t="s">
        <v>24</v>
      </c>
      <c r="J9" t="s">
        <v>148</v>
      </c>
      <c r="K9" t="s">
        <v>23</v>
      </c>
      <c r="L9">
        <v>542</v>
      </c>
      <c r="M9">
        <v>10.831437299999999</v>
      </c>
      <c r="N9">
        <v>70.449603149744661</v>
      </c>
      <c r="O9">
        <v>-0.520344278228144</v>
      </c>
      <c r="P9" s="1" t="str">
        <f>HYPERLINK(".\sm_car_260116_2048\sm_car_260116_2048_008_Ca003TrN_MaLSS_DrSt_ode23t.png","figure")</f>
        <v>figure</v>
      </c>
      <c r="Q9" t="s">
        <v>15</v>
      </c>
    </row>
    <row r="10" spans="1:19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188</v>
      </c>
      <c r="H10" t="s">
        <v>21</v>
      </c>
      <c r="I10" t="s">
        <v>22</v>
      </c>
      <c r="J10" t="s">
        <v>148</v>
      </c>
      <c r="K10" t="s">
        <v>23</v>
      </c>
      <c r="L10">
        <v>1109</v>
      </c>
      <c r="M10">
        <v>10.831273700000001</v>
      </c>
      <c r="N10">
        <v>230.10462016195655</v>
      </c>
      <c r="O10">
        <v>-8.093147685615254E-3</v>
      </c>
      <c r="P10" s="1" t="str">
        <f>HYPERLINK(".\sm_car_260116_2048\sm_car_260116_2048_009_Ca004TrN_MaWOT_DrSt_ode23t.png","figure")</f>
        <v>figure</v>
      </c>
      <c r="Q10" t="s">
        <v>15</v>
      </c>
    </row>
    <row r="11" spans="1:19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188</v>
      </c>
      <c r="H11" t="s">
        <v>21</v>
      </c>
      <c r="I11" t="s">
        <v>24</v>
      </c>
      <c r="J11" t="s">
        <v>148</v>
      </c>
      <c r="K11" t="s">
        <v>23</v>
      </c>
      <c r="L11">
        <v>1235</v>
      </c>
      <c r="M11">
        <v>12.052343199999999</v>
      </c>
      <c r="N11">
        <v>70.878885401069837</v>
      </c>
      <c r="O11">
        <v>-0.53647311138677611</v>
      </c>
      <c r="P11" s="1" t="str">
        <f>HYPERLINK(".\sm_car_260116_2048\sm_car_260116_2048_010_Ca004TrN_MaLSS_DrSt_ode23t.png","figure")</f>
        <v>figure</v>
      </c>
      <c r="Q11" t="s">
        <v>15</v>
      </c>
    </row>
    <row r="12" spans="1:19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188</v>
      </c>
      <c r="H12" t="s">
        <v>21</v>
      </c>
      <c r="I12" t="s">
        <v>22</v>
      </c>
      <c r="J12" t="s">
        <v>148</v>
      </c>
      <c r="K12" t="s">
        <v>23</v>
      </c>
      <c r="L12">
        <v>1089</v>
      </c>
      <c r="M12">
        <v>12.010039799999999</v>
      </c>
      <c r="N12">
        <v>229.14813963155498</v>
      </c>
      <c r="O12">
        <v>-1.4244729123873628E-2</v>
      </c>
      <c r="P12" s="1" t="str">
        <f>HYPERLINK(".\sm_car_260116_2048\sm_car_260116_2048_011_Ca005TrN_MaWOT_DrSt_ode23t.png","figure")</f>
        <v>figure</v>
      </c>
      <c r="Q12" t="s">
        <v>15</v>
      </c>
    </row>
    <row r="13" spans="1:19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188</v>
      </c>
      <c r="H13" t="s">
        <v>21</v>
      </c>
      <c r="I13" t="s">
        <v>24</v>
      </c>
      <c r="J13" t="s">
        <v>148</v>
      </c>
      <c r="K13" t="s">
        <v>23</v>
      </c>
      <c r="L13">
        <v>1214</v>
      </c>
      <c r="M13">
        <v>13.4988095</v>
      </c>
      <c r="N13">
        <v>70.6039615737741</v>
      </c>
      <c r="O13">
        <v>-0.53174069817547431</v>
      </c>
      <c r="P13" s="1" t="str">
        <f>HYPERLINK(".\sm_car_260116_2048\sm_car_260116_2048_012_Ca005TrN_MaLSS_DrSt_ode23t.png","figure")</f>
        <v>figure</v>
      </c>
      <c r="Q13" t="s">
        <v>15</v>
      </c>
    </row>
    <row r="14" spans="1:19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188</v>
      </c>
      <c r="H14" t="s">
        <v>21</v>
      </c>
      <c r="I14" t="s">
        <v>22</v>
      </c>
      <c r="J14" t="s">
        <v>148</v>
      </c>
      <c r="K14" t="s">
        <v>23</v>
      </c>
      <c r="L14">
        <v>1238</v>
      </c>
      <c r="M14">
        <v>16.3023758</v>
      </c>
      <c r="N14">
        <v>229.12751350992957</v>
      </c>
      <c r="O14">
        <v>4.658378510746837E-2</v>
      </c>
      <c r="P14" s="1" t="str">
        <f>HYPERLINK(".\sm_car_260116_2048\sm_car_260116_2048_013_Ca006TrN_MaWOT_DrSt_ode23t.png","figure")</f>
        <v>figure</v>
      </c>
      <c r="Q14" t="s">
        <v>15</v>
      </c>
    </row>
    <row r="15" spans="1:19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188</v>
      </c>
      <c r="H15" t="s">
        <v>21</v>
      </c>
      <c r="I15" t="s">
        <v>24</v>
      </c>
      <c r="J15" t="s">
        <v>148</v>
      </c>
      <c r="K15" t="s">
        <v>23</v>
      </c>
      <c r="L15">
        <v>1304</v>
      </c>
      <c r="M15">
        <v>16.0009002</v>
      </c>
      <c r="N15">
        <v>70.593626680372964</v>
      </c>
      <c r="O15">
        <v>-0.52889524811926758</v>
      </c>
      <c r="P15" s="1" t="str">
        <f>HYPERLINK(".\sm_car_260116_2048\sm_car_260116_2048_014_Ca006TrN_MaLSS_DrSt_ode23t.png","figure")</f>
        <v>figure</v>
      </c>
      <c r="Q15" t="s">
        <v>15</v>
      </c>
    </row>
    <row r="16" spans="1:19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188</v>
      </c>
      <c r="H16" t="s">
        <v>21</v>
      </c>
      <c r="I16" t="s">
        <v>22</v>
      </c>
      <c r="J16" t="s">
        <v>148</v>
      </c>
      <c r="K16" t="s">
        <v>23</v>
      </c>
      <c r="L16">
        <v>1195</v>
      </c>
      <c r="M16">
        <v>18.3835835</v>
      </c>
      <c r="N16">
        <v>228.71656022656805</v>
      </c>
      <c r="O16">
        <v>4.8619103506078822E-2</v>
      </c>
      <c r="P16" s="1" t="str">
        <f>HYPERLINK(".\sm_car_260116_2048\sm_car_260116_2048_015_Ca007TrN_MaWOT_DrSt_ode23t.png","figure")</f>
        <v>figure</v>
      </c>
      <c r="Q16" t="s">
        <v>15</v>
      </c>
    </row>
    <row r="17" spans="1:17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188</v>
      </c>
      <c r="H17" t="s">
        <v>21</v>
      </c>
      <c r="I17" t="s">
        <v>24</v>
      </c>
      <c r="J17" t="s">
        <v>148</v>
      </c>
      <c r="K17" t="s">
        <v>23</v>
      </c>
      <c r="L17">
        <v>1260</v>
      </c>
      <c r="M17">
        <v>16.502868100000001</v>
      </c>
      <c r="N17">
        <v>70.462916326953888</v>
      </c>
      <c r="O17">
        <v>-0.52380853237485692</v>
      </c>
      <c r="P17" s="1" t="str">
        <f>HYPERLINK(".\sm_car_260116_2048\sm_car_260116_2048_016_Ca007TrN_MaLSS_DrSt_ode23t.png","figure")</f>
        <v>figure</v>
      </c>
      <c r="Q17" t="s">
        <v>15</v>
      </c>
    </row>
    <row r="18" spans="1:17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188</v>
      </c>
      <c r="H18" t="s">
        <v>21</v>
      </c>
      <c r="I18" t="s">
        <v>22</v>
      </c>
      <c r="J18" t="s">
        <v>148</v>
      </c>
      <c r="K18" t="s">
        <v>23</v>
      </c>
      <c r="L18">
        <v>426</v>
      </c>
      <c r="M18">
        <v>5.4169480999999999</v>
      </c>
      <c r="N18">
        <v>230.68439542009924</v>
      </c>
      <c r="O18">
        <v>-7.6640821119501587E-2</v>
      </c>
      <c r="P18" s="1" t="str">
        <f>HYPERLINK(".\sm_car_260116_2048\sm_car_260116_2048_017_Ca016TrN_MaWOT_DrSt_ode23t.png","figure")</f>
        <v>figure</v>
      </c>
      <c r="Q18" t="s">
        <v>15</v>
      </c>
    </row>
    <row r="19" spans="1:17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188</v>
      </c>
      <c r="H19" t="s">
        <v>21</v>
      </c>
      <c r="I19" t="s">
        <v>24</v>
      </c>
      <c r="J19" t="s">
        <v>148</v>
      </c>
      <c r="K19" t="s">
        <v>23</v>
      </c>
      <c r="L19">
        <v>497</v>
      </c>
      <c r="M19">
        <v>5.8697927999999999</v>
      </c>
      <c r="N19">
        <v>71.140415761923705</v>
      </c>
      <c r="O19">
        <v>-2.1722636958163385E-2</v>
      </c>
      <c r="P19" s="1" t="str">
        <f>HYPERLINK(".\sm_car_260116_2048\sm_car_260116_2048_018_Ca016TrN_MaLSS_DrSt_ode23t.png","figure")</f>
        <v>figure</v>
      </c>
      <c r="Q19" t="s">
        <v>15</v>
      </c>
    </row>
    <row r="20" spans="1:17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188</v>
      </c>
      <c r="H20" t="s">
        <v>21</v>
      </c>
      <c r="I20" t="s">
        <v>22</v>
      </c>
      <c r="J20" t="s">
        <v>148</v>
      </c>
      <c r="K20" t="s">
        <v>23</v>
      </c>
      <c r="L20">
        <v>403</v>
      </c>
      <c r="M20">
        <v>8.4312620000000003</v>
      </c>
      <c r="N20">
        <v>229.85696837120236</v>
      </c>
      <c r="O20">
        <v>4.4508410273923407E-3</v>
      </c>
      <c r="P20" s="1" t="str">
        <f>HYPERLINK(".\sm_car_260116_2048\sm_car_260116_2048_019_Ca032TrN_MaWOT_DrSt_ode23t.png","figure")</f>
        <v>figure</v>
      </c>
      <c r="Q20" t="s">
        <v>15</v>
      </c>
    </row>
    <row r="21" spans="1:17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188</v>
      </c>
      <c r="H21" t="s">
        <v>21</v>
      </c>
      <c r="I21" t="s">
        <v>24</v>
      </c>
      <c r="J21" t="s">
        <v>148</v>
      </c>
      <c r="K21" t="s">
        <v>23</v>
      </c>
      <c r="L21">
        <v>526</v>
      </c>
      <c r="M21">
        <v>9.0317778999999998</v>
      </c>
      <c r="N21">
        <v>70.882833304405423</v>
      </c>
      <c r="O21">
        <v>-0.51626514606274365</v>
      </c>
      <c r="P21" s="1" t="str">
        <f>HYPERLINK(".\sm_car_260116_2048\sm_car_260116_2048_020_Ca032TrN_MaLSS_DrSt_ode23t.png","figure")</f>
        <v>figure</v>
      </c>
      <c r="Q21" t="s">
        <v>15</v>
      </c>
    </row>
    <row r="22" spans="1:17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188</v>
      </c>
      <c r="H22" t="s">
        <v>21</v>
      </c>
      <c r="I22" t="s">
        <v>22</v>
      </c>
      <c r="J22" t="s">
        <v>148</v>
      </c>
      <c r="K22" t="s">
        <v>23</v>
      </c>
      <c r="L22">
        <v>411</v>
      </c>
      <c r="M22">
        <v>8.3957189999999997</v>
      </c>
      <c r="N22">
        <v>230.08356373808579</v>
      </c>
      <c r="O22">
        <v>-2.0761740787554966E-2</v>
      </c>
      <c r="P22" s="1" t="str">
        <f>HYPERLINK(".\sm_car_260116_2048\sm_car_260116_2048_021_Ca048TrN_MaWOT_DrSt_ode23t.png","figure")</f>
        <v>figure</v>
      </c>
      <c r="Q22" t="s">
        <v>15</v>
      </c>
    </row>
    <row r="23" spans="1:17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188</v>
      </c>
      <c r="H23" t="s">
        <v>21</v>
      </c>
      <c r="I23" t="s">
        <v>24</v>
      </c>
      <c r="J23" t="s">
        <v>148</v>
      </c>
      <c r="K23" t="s">
        <v>23</v>
      </c>
      <c r="L23">
        <v>534</v>
      </c>
      <c r="M23">
        <v>7.8547722000000002</v>
      </c>
      <c r="N23">
        <v>70.877292486844382</v>
      </c>
      <c r="O23">
        <v>-0.52194551061642991</v>
      </c>
      <c r="P23" s="1" t="str">
        <f>HYPERLINK(".\sm_car_260116_2048\sm_car_260116_2048_022_Ca048TrN_MaLSS_DrSt_ode23t.png","figure")</f>
        <v>figure</v>
      </c>
      <c r="Q23" t="s">
        <v>15</v>
      </c>
    </row>
    <row r="24" spans="1:17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188</v>
      </c>
      <c r="H24" t="s">
        <v>21</v>
      </c>
      <c r="I24" t="s">
        <v>22</v>
      </c>
      <c r="J24" t="s">
        <v>148</v>
      </c>
      <c r="K24" t="s">
        <v>23</v>
      </c>
      <c r="L24">
        <v>400</v>
      </c>
      <c r="M24">
        <v>8.2011176999999993</v>
      </c>
      <c r="N24">
        <v>230.21267550645004</v>
      </c>
      <c r="O24">
        <v>3.8480099348549503E-3</v>
      </c>
      <c r="P24" s="1" t="str">
        <f>HYPERLINK(".\sm_car_260116_2048\sm_car_260116_2048_023_Ca064TrN_MaWOT_DrSt_ode23t.png","figure")</f>
        <v>figure</v>
      </c>
      <c r="Q24" t="s">
        <v>15</v>
      </c>
    </row>
    <row r="25" spans="1:17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188</v>
      </c>
      <c r="H25" t="s">
        <v>21</v>
      </c>
      <c r="I25" t="s">
        <v>24</v>
      </c>
      <c r="J25" t="s">
        <v>148</v>
      </c>
      <c r="K25" t="s">
        <v>23</v>
      </c>
      <c r="L25">
        <v>509</v>
      </c>
      <c r="M25">
        <v>8.2201132000000001</v>
      </c>
      <c r="N25">
        <v>70.89837404559303</v>
      </c>
      <c r="O25">
        <v>-0.51181781574624707</v>
      </c>
      <c r="P25" s="1" t="str">
        <f>HYPERLINK(".\sm_car_260116_2048\sm_car_260116_2048_024_Ca064TrN_MaLSS_DrSt_ode23t.png","figure")</f>
        <v>figure</v>
      </c>
      <c r="Q25" t="s">
        <v>15</v>
      </c>
    </row>
    <row r="26" spans="1:17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188</v>
      </c>
      <c r="H26" t="s">
        <v>21</v>
      </c>
      <c r="I26" t="s">
        <v>22</v>
      </c>
      <c r="J26" t="s">
        <v>148</v>
      </c>
      <c r="K26" t="s">
        <v>23</v>
      </c>
      <c r="L26">
        <v>427</v>
      </c>
      <c r="M26">
        <v>8.0866662999999992</v>
      </c>
      <c r="N26">
        <v>230.12559841779242</v>
      </c>
      <c r="O26">
        <v>-2.3472093653452267E-2</v>
      </c>
      <c r="P26" s="1" t="str">
        <f>HYPERLINK(".\sm_car_260116_2048\sm_car_260116_2048_025_Ca080TrN_MaWOT_DrSt_ode23t.png","figure")</f>
        <v>figure</v>
      </c>
      <c r="Q26" t="s">
        <v>15</v>
      </c>
    </row>
    <row r="27" spans="1:17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188</v>
      </c>
      <c r="H27" t="s">
        <v>21</v>
      </c>
      <c r="I27" t="s">
        <v>24</v>
      </c>
      <c r="J27" t="s">
        <v>148</v>
      </c>
      <c r="K27" t="s">
        <v>23</v>
      </c>
      <c r="L27">
        <v>524</v>
      </c>
      <c r="M27">
        <v>8.3131500999999997</v>
      </c>
      <c r="N27">
        <v>70.873251479146887</v>
      </c>
      <c r="O27">
        <v>-0.51779628258003241</v>
      </c>
      <c r="P27" s="1" t="str">
        <f>HYPERLINK(".\sm_car_260116_2048\sm_car_260116_2048_026_Ca080TrN_MaLSS_DrSt_ode23t.png","figure")</f>
        <v>figure</v>
      </c>
      <c r="Q27" t="s">
        <v>15</v>
      </c>
    </row>
    <row r="28" spans="1:17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188</v>
      </c>
      <c r="H28" t="s">
        <v>21</v>
      </c>
      <c r="I28" t="s">
        <v>22</v>
      </c>
      <c r="J28" t="s">
        <v>148</v>
      </c>
      <c r="K28" t="s">
        <v>23</v>
      </c>
      <c r="L28">
        <v>417</v>
      </c>
      <c r="M28">
        <v>6.2538469000000001</v>
      </c>
      <c r="N28">
        <v>231.7985002108002</v>
      </c>
      <c r="O28">
        <v>1.6875847262352944E-2</v>
      </c>
      <c r="P28" s="1" t="str">
        <f>HYPERLINK(".\sm_car_260116_2048\sm_car_260116_2048_027_Ca096TrN_MaWOT_DrSt_ode23t.png","figure")</f>
        <v>figure</v>
      </c>
      <c r="Q28" t="s">
        <v>15</v>
      </c>
    </row>
    <row r="29" spans="1:17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188</v>
      </c>
      <c r="H29" t="s">
        <v>21</v>
      </c>
      <c r="I29" t="s">
        <v>24</v>
      </c>
      <c r="J29" t="s">
        <v>148</v>
      </c>
      <c r="K29" t="s">
        <v>23</v>
      </c>
      <c r="L29">
        <v>514</v>
      </c>
      <c r="M29">
        <v>6.2608541000000004</v>
      </c>
      <c r="N29">
        <v>71.375005676338304</v>
      </c>
      <c r="O29">
        <v>-0.52112412540679565</v>
      </c>
      <c r="P29" s="1" t="str">
        <f>HYPERLINK(".\sm_car_260116_2048\sm_car_260116_2048_028_Ca096TrN_MaLSS_DrSt_ode23t.png","figure")</f>
        <v>figure</v>
      </c>
      <c r="Q29" t="s">
        <v>15</v>
      </c>
    </row>
    <row r="30" spans="1:17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188</v>
      </c>
      <c r="H30" t="s">
        <v>21</v>
      </c>
      <c r="I30" t="s">
        <v>22</v>
      </c>
      <c r="J30" t="s">
        <v>148</v>
      </c>
      <c r="K30" t="s">
        <v>23</v>
      </c>
      <c r="L30">
        <v>378</v>
      </c>
      <c r="M30">
        <v>2.4368777000000001</v>
      </c>
      <c r="N30">
        <v>242.70668965493786</v>
      </c>
      <c r="O30">
        <v>0.23571762531575524</v>
      </c>
      <c r="P30" s="1" t="str">
        <f>HYPERLINK(".\sm_car_260116_2048\sm_car_260116_2048_029_Ca112TrN_MaWOT_DrSt_ode23t.png","figure")</f>
        <v>figure</v>
      </c>
      <c r="Q30" t="s">
        <v>15</v>
      </c>
    </row>
    <row r="31" spans="1:17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188</v>
      </c>
      <c r="H31" t="s">
        <v>21</v>
      </c>
      <c r="I31" t="s">
        <v>24</v>
      </c>
      <c r="J31" t="s">
        <v>148</v>
      </c>
      <c r="K31" t="s">
        <v>23</v>
      </c>
      <c r="L31">
        <v>484</v>
      </c>
      <c r="M31">
        <v>2.6088341000000002</v>
      </c>
      <c r="N31">
        <v>74.671083334168515</v>
      </c>
      <c r="O31">
        <v>-0.3369934257717313</v>
      </c>
      <c r="P31" s="1" t="str">
        <f>HYPERLINK(".\sm_car_260116_2048\sm_car_260116_2048_030_Ca112TrN_MaLSS_DrSt_ode23t.png","figure")</f>
        <v>figure</v>
      </c>
      <c r="Q31" t="s">
        <v>15</v>
      </c>
    </row>
    <row r="32" spans="1:17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188</v>
      </c>
      <c r="H32" t="s">
        <v>21</v>
      </c>
      <c r="I32" t="s">
        <v>22</v>
      </c>
      <c r="J32" t="s">
        <v>148</v>
      </c>
      <c r="K32" t="s">
        <v>23</v>
      </c>
      <c r="L32">
        <v>359</v>
      </c>
      <c r="M32">
        <v>2.6428919</v>
      </c>
      <c r="N32">
        <v>241.58045438747075</v>
      </c>
      <c r="O32">
        <v>0.23244622126603201</v>
      </c>
      <c r="P32" s="1" t="str">
        <f>HYPERLINK(".\sm_car_260116_2048\sm_car_260116_2048_031_Ca113TrN_MaWOT_DrSt_ode23t.png","figure")</f>
        <v>figure</v>
      </c>
      <c r="Q32" t="s">
        <v>15</v>
      </c>
    </row>
    <row r="33" spans="1:17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188</v>
      </c>
      <c r="H33" t="s">
        <v>21</v>
      </c>
      <c r="I33" t="s">
        <v>24</v>
      </c>
      <c r="J33" t="s">
        <v>148</v>
      </c>
      <c r="K33" t="s">
        <v>23</v>
      </c>
      <c r="L33">
        <v>472</v>
      </c>
      <c r="M33">
        <v>2.9919281</v>
      </c>
      <c r="N33">
        <v>74.340532747993649</v>
      </c>
      <c r="O33">
        <v>-0.33335204490696801</v>
      </c>
      <c r="P33" s="1" t="str">
        <f>HYPERLINK(".\sm_car_260116_2048\sm_car_260116_2048_032_Ca113TrN_MaLSS_DrSt_ode23t.png","figure")</f>
        <v>figure</v>
      </c>
      <c r="Q33" t="s">
        <v>15</v>
      </c>
    </row>
    <row r="34" spans="1:17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188</v>
      </c>
      <c r="H34" t="s">
        <v>21</v>
      </c>
      <c r="I34" t="s">
        <v>22</v>
      </c>
      <c r="J34" t="s">
        <v>148</v>
      </c>
      <c r="K34" t="s">
        <v>23</v>
      </c>
      <c r="L34">
        <v>365</v>
      </c>
      <c r="M34">
        <v>2.8682311</v>
      </c>
      <c r="N34">
        <v>241.54135549521669</v>
      </c>
      <c r="O34">
        <v>0.23257023722638706</v>
      </c>
      <c r="P34" s="1" t="str">
        <f>HYPERLINK(".\sm_car_260116_2048\sm_car_260116_2048_033_Ca114TrN_MaWOT_DrSt_ode23t.png","figure")</f>
        <v>figure</v>
      </c>
      <c r="Q34" t="s">
        <v>15</v>
      </c>
    </row>
    <row r="35" spans="1:17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188</v>
      </c>
      <c r="H35" t="s">
        <v>21</v>
      </c>
      <c r="I35" t="s">
        <v>24</v>
      </c>
      <c r="J35" t="s">
        <v>148</v>
      </c>
      <c r="K35" t="s">
        <v>23</v>
      </c>
      <c r="L35">
        <v>474</v>
      </c>
      <c r="M35">
        <v>3.2616087</v>
      </c>
      <c r="N35">
        <v>74.357376080465997</v>
      </c>
      <c r="O35">
        <v>-0.33401217897315755</v>
      </c>
      <c r="P35" s="1" t="str">
        <f>HYPERLINK(".\sm_car_260116_2048\sm_car_260116_2048_034_Ca114TrN_MaLSS_DrSt_ode23t.png","figure")</f>
        <v>figure</v>
      </c>
      <c r="Q35" t="s">
        <v>15</v>
      </c>
    </row>
    <row r="36" spans="1:17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188</v>
      </c>
      <c r="H36" t="s">
        <v>21</v>
      </c>
      <c r="I36" t="s">
        <v>22</v>
      </c>
      <c r="J36" t="s">
        <v>148</v>
      </c>
      <c r="K36" t="s">
        <v>23</v>
      </c>
      <c r="L36">
        <v>402</v>
      </c>
      <c r="M36">
        <v>3.0822802999999999</v>
      </c>
      <c r="N36">
        <v>241.25491004899072</v>
      </c>
      <c r="O36">
        <v>0.23086755550324103</v>
      </c>
      <c r="P36" s="1" t="str">
        <f>HYPERLINK(".\sm_car_260116_2048\sm_car_260116_2048_035_Ca115TrN_MaWOT_DrSt_ode23t.png","figure")</f>
        <v>figure</v>
      </c>
      <c r="Q36" t="s">
        <v>15</v>
      </c>
    </row>
    <row r="37" spans="1:17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188</v>
      </c>
      <c r="H37" t="s">
        <v>21</v>
      </c>
      <c r="I37" t="s">
        <v>24</v>
      </c>
      <c r="J37" t="s">
        <v>148</v>
      </c>
      <c r="K37" t="s">
        <v>23</v>
      </c>
      <c r="L37">
        <v>505</v>
      </c>
      <c r="M37">
        <v>3.1575693999999999</v>
      </c>
      <c r="N37">
        <v>74.216397484708779</v>
      </c>
      <c r="O37">
        <v>-0.33149412046077237</v>
      </c>
      <c r="P37" s="1" t="str">
        <f>HYPERLINK(".\sm_car_260116_2048\sm_car_260116_2048_036_Ca115TrN_MaLSS_DrSt_ode23t.png","figure")</f>
        <v>figure</v>
      </c>
      <c r="Q37" t="s">
        <v>15</v>
      </c>
    </row>
    <row r="38" spans="1:17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188</v>
      </c>
      <c r="H38" t="s">
        <v>21</v>
      </c>
      <c r="I38" t="s">
        <v>22</v>
      </c>
      <c r="J38" t="s">
        <v>148</v>
      </c>
      <c r="K38" t="s">
        <v>23</v>
      </c>
      <c r="L38">
        <v>917</v>
      </c>
      <c r="M38">
        <v>4.1056400000000002</v>
      </c>
      <c r="N38">
        <v>242.55284377109695</v>
      </c>
      <c r="O38">
        <v>0.23659137482604095</v>
      </c>
      <c r="P38" s="1" t="str">
        <f>HYPERLINK(".\sm_car_260116_2048\sm_car_260116_2048_037_Ca116TrN_MaWOT_DrSt_ode23t.png","figure")</f>
        <v>figure</v>
      </c>
      <c r="Q38" t="s">
        <v>15</v>
      </c>
    </row>
    <row r="39" spans="1:17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188</v>
      </c>
      <c r="H39" t="s">
        <v>21</v>
      </c>
      <c r="I39" t="s">
        <v>24</v>
      </c>
      <c r="J39" t="s">
        <v>148</v>
      </c>
      <c r="K39" t="s">
        <v>23</v>
      </c>
      <c r="L39">
        <v>1057</v>
      </c>
      <c r="M39">
        <v>4.7321062999999999</v>
      </c>
      <c r="N39">
        <v>74.662659723869751</v>
      </c>
      <c r="O39">
        <v>-0.3401055901651473</v>
      </c>
      <c r="P39" s="1" t="str">
        <f>HYPERLINK(".\sm_car_260116_2048\sm_car_260116_2048_038_Ca116TrN_MaLSS_DrSt_ode23t.png","figure")</f>
        <v>figure</v>
      </c>
      <c r="Q39" t="s">
        <v>15</v>
      </c>
    </row>
    <row r="40" spans="1:17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188</v>
      </c>
      <c r="H40" t="s">
        <v>21</v>
      </c>
      <c r="I40" t="s">
        <v>22</v>
      </c>
      <c r="J40" t="s">
        <v>148</v>
      </c>
      <c r="K40" t="s">
        <v>23</v>
      </c>
      <c r="L40">
        <v>976</v>
      </c>
      <c r="M40">
        <v>5.3514701000000002</v>
      </c>
      <c r="N40">
        <v>241.52386708211642</v>
      </c>
      <c r="O40">
        <v>0.23290662762157971</v>
      </c>
      <c r="P40" s="1" t="str">
        <f>HYPERLINK(".\sm_car_260116_2048\sm_car_260116_2048_039_Ca117TrN_MaWOT_DrSt_ode23t.png","figure")</f>
        <v>figure</v>
      </c>
      <c r="Q40" t="s">
        <v>15</v>
      </c>
    </row>
    <row r="41" spans="1:17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188</v>
      </c>
      <c r="H41" t="s">
        <v>21</v>
      </c>
      <c r="I41" t="s">
        <v>24</v>
      </c>
      <c r="J41" t="s">
        <v>148</v>
      </c>
      <c r="K41" t="s">
        <v>23</v>
      </c>
      <c r="L41">
        <v>1079</v>
      </c>
      <c r="M41">
        <v>5.7615822000000003</v>
      </c>
      <c r="N41">
        <v>74.339236723579447</v>
      </c>
      <c r="O41">
        <v>-0.3364896403856712</v>
      </c>
      <c r="P41" s="1" t="str">
        <f>HYPERLINK(".\sm_car_260116_2048\sm_car_260116_2048_040_Ca117TrN_MaLSS_DrSt_ode23t.png","figure")</f>
        <v>figure</v>
      </c>
      <c r="Q41" t="s">
        <v>15</v>
      </c>
    </row>
    <row r="42" spans="1:17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188</v>
      </c>
      <c r="H42" t="s">
        <v>21</v>
      </c>
      <c r="I42" t="s">
        <v>22</v>
      </c>
      <c r="J42" t="s">
        <v>148</v>
      </c>
      <c r="K42" t="s">
        <v>23</v>
      </c>
      <c r="L42">
        <v>947</v>
      </c>
      <c r="M42">
        <v>4.8482301000000003</v>
      </c>
      <c r="N42">
        <v>241.23064820859912</v>
      </c>
      <c r="O42">
        <v>0.23252480072032861</v>
      </c>
      <c r="P42" s="1" t="str">
        <f>HYPERLINK(".\sm_car_260116_2048\sm_car_260116_2048_041_Ca118TrN_MaWOT_DrSt_ode23t.png","figure")</f>
        <v>figure</v>
      </c>
      <c r="Q42" t="s">
        <v>15</v>
      </c>
    </row>
    <row r="43" spans="1:17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188</v>
      </c>
      <c r="H43" t="s">
        <v>21</v>
      </c>
      <c r="I43" t="s">
        <v>24</v>
      </c>
      <c r="J43" t="s">
        <v>148</v>
      </c>
      <c r="K43" t="s">
        <v>23</v>
      </c>
      <c r="L43">
        <v>1083</v>
      </c>
      <c r="M43">
        <v>5.7764160999999996</v>
      </c>
      <c r="N43">
        <v>74.337064431350825</v>
      </c>
      <c r="O43">
        <v>-0.33611418080232897</v>
      </c>
      <c r="P43" s="1" t="str">
        <f>HYPERLINK(".\sm_car_260116_2048\sm_car_260116_2048_042_Ca118TrN_MaLSS_DrSt_ode23t.png","figure")</f>
        <v>figure</v>
      </c>
      <c r="Q43" t="s">
        <v>15</v>
      </c>
    </row>
    <row r="44" spans="1:17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188</v>
      </c>
      <c r="H44" t="s">
        <v>21</v>
      </c>
      <c r="I44" t="s">
        <v>22</v>
      </c>
      <c r="J44" t="s">
        <v>148</v>
      </c>
      <c r="K44" t="s">
        <v>23</v>
      </c>
      <c r="L44">
        <v>996</v>
      </c>
      <c r="M44">
        <v>5.3607488999999999</v>
      </c>
      <c r="N44">
        <v>240.99456068308641</v>
      </c>
      <c r="O44">
        <v>0.23171030835918666</v>
      </c>
      <c r="P44" s="1" t="str">
        <f>HYPERLINK(".\sm_car_260116_2048\sm_car_260116_2048_043_Ca119TrN_MaWOT_DrSt_ode23t.png","figure")</f>
        <v>figure</v>
      </c>
      <c r="Q44" t="s">
        <v>15</v>
      </c>
    </row>
    <row r="45" spans="1:17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188</v>
      </c>
      <c r="H45" t="s">
        <v>21</v>
      </c>
      <c r="I45" t="s">
        <v>24</v>
      </c>
      <c r="J45" t="s">
        <v>148</v>
      </c>
      <c r="K45" t="s">
        <v>23</v>
      </c>
      <c r="L45">
        <v>1102</v>
      </c>
      <c r="M45">
        <v>5.5613466999999996</v>
      </c>
      <c r="N45">
        <v>74.191532230919705</v>
      </c>
      <c r="O45">
        <v>-0.33400091905824675</v>
      </c>
      <c r="P45" s="1" t="str">
        <f>HYPERLINK(".\sm_car_260116_2048\sm_car_260116_2048_044_Ca119TrN_MaLSS_DrSt_ode23t.png","figure")</f>
        <v>figure</v>
      </c>
      <c r="Q45" t="s">
        <v>15</v>
      </c>
    </row>
    <row r="46" spans="1:17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148</v>
      </c>
      <c r="K46" t="s">
        <v>23</v>
      </c>
      <c r="L46">
        <v>319</v>
      </c>
      <c r="M46">
        <v>5.5751841000000004</v>
      </c>
      <c r="N46">
        <v>98.913216420318008</v>
      </c>
      <c r="O46">
        <v>-1.628448296461726E-2</v>
      </c>
      <c r="P46" s="1" t="str">
        <f>HYPERLINK(".\sm_car_260116_2048\sm_car_260116_2048_045_Ca128TrN_MaWOT_DrSt_ode23t.png","figure")</f>
        <v>figure</v>
      </c>
      <c r="Q46" t="s">
        <v>15</v>
      </c>
    </row>
    <row r="47" spans="1:17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148</v>
      </c>
      <c r="K47" t="s">
        <v>23</v>
      </c>
      <c r="L47">
        <v>436</v>
      </c>
      <c r="M47">
        <v>6.6534002000000001</v>
      </c>
      <c r="N47">
        <v>36.704367369315733</v>
      </c>
      <c r="O47">
        <v>-0.12796802240426292</v>
      </c>
      <c r="P47" s="1" t="str">
        <f>HYPERLINK(".\sm_car_260116_2048\sm_car_260116_2048_046_Ca128TrN_MaLSS_DrSt_ode23t.png","figure")</f>
        <v>figure</v>
      </c>
      <c r="Q47" t="s">
        <v>15</v>
      </c>
    </row>
    <row r="48" spans="1:17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148</v>
      </c>
      <c r="K48" t="s">
        <v>23</v>
      </c>
      <c r="L48">
        <v>342</v>
      </c>
      <c r="M48">
        <v>6.3885582000000003</v>
      </c>
      <c r="N48">
        <v>228.49534618032985</v>
      </c>
      <c r="O48">
        <v>5.1920132838771137E-2</v>
      </c>
      <c r="P48" s="1" t="str">
        <f>HYPERLINK(".\sm_car_260116_2048\sm_car_260116_2048_047_Ca129TrN_MaWOT_DrSt_ode23t.png","figure")</f>
        <v>figure</v>
      </c>
      <c r="Q48" t="s">
        <v>15</v>
      </c>
    </row>
    <row r="49" spans="1:17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148</v>
      </c>
      <c r="K49" t="s">
        <v>23</v>
      </c>
      <c r="L49">
        <v>488</v>
      </c>
      <c r="M49">
        <v>8.0048191000000006</v>
      </c>
      <c r="N49">
        <v>70.40358081763631</v>
      </c>
      <c r="O49">
        <v>-0.52176681021596838</v>
      </c>
      <c r="P49" s="1" t="str">
        <f>HYPERLINK(".\sm_car_260116_2048\sm_car_260116_2048_048_Ca129TrN_MaLSS_DrSt_ode23t.png","figure")</f>
        <v>figure</v>
      </c>
      <c r="Q49" t="s">
        <v>15</v>
      </c>
    </row>
    <row r="50" spans="1:17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148</v>
      </c>
      <c r="K50" t="s">
        <v>23</v>
      </c>
      <c r="L50">
        <v>802</v>
      </c>
      <c r="M50">
        <v>22.1782863</v>
      </c>
      <c r="N50">
        <v>215.76360044141381</v>
      </c>
      <c r="O50">
        <v>-1.5803771660740642</v>
      </c>
      <c r="P50" s="1" t="str">
        <f>HYPERLINK(".\sm_car_260116_2048\sm_car_260116_2048_049_Ca130TrN_MaWOT_DrSt_ode23t.png","figure")</f>
        <v>figure</v>
      </c>
      <c r="Q50" t="s">
        <v>15</v>
      </c>
    </row>
    <row r="51" spans="1:17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148</v>
      </c>
      <c r="K51" t="s">
        <v>23</v>
      </c>
      <c r="L51">
        <v>782</v>
      </c>
      <c r="M51">
        <v>19.627799700000001</v>
      </c>
      <c r="N51">
        <v>68.404521376531719</v>
      </c>
      <c r="O51">
        <v>-0.53864350045946141</v>
      </c>
      <c r="P51" s="1" t="str">
        <f>HYPERLINK(".\sm_car_260116_2048\sm_car_260116_2048_050_Ca130TrN_MaLSS_DrSt_ode23t.png","figure")</f>
        <v>figure</v>
      </c>
      <c r="Q51" t="s">
        <v>15</v>
      </c>
    </row>
    <row r="52" spans="1:17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148</v>
      </c>
      <c r="K52" t="s">
        <v>23</v>
      </c>
      <c r="L52">
        <v>371</v>
      </c>
      <c r="M52">
        <v>4.3720024999999998</v>
      </c>
      <c r="N52">
        <v>229.17712449125187</v>
      </c>
      <c r="O52">
        <v>-4.6544069045343556E-2</v>
      </c>
      <c r="P52" s="1" t="str">
        <f>HYPERLINK(".\sm_car_260116_2048\sm_car_260116_2048_051_Ca131TrN_MaWOT_DrSt_ode23t.png","figure")</f>
        <v>figure</v>
      </c>
      <c r="Q52" t="s">
        <v>15</v>
      </c>
    </row>
    <row r="53" spans="1:17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148</v>
      </c>
      <c r="K53" t="s">
        <v>23</v>
      </c>
      <c r="L53">
        <v>496</v>
      </c>
      <c r="M53">
        <v>5.3330751999999997</v>
      </c>
      <c r="N53">
        <v>70.601598403849664</v>
      </c>
      <c r="O53">
        <v>-0.52626048358629474</v>
      </c>
      <c r="P53" s="1" t="str">
        <f>HYPERLINK(".\sm_car_260116_2048\sm_car_260116_2048_052_Ca131TrN_MaLSS_DrSt_ode23t.png","figure")</f>
        <v>figure</v>
      </c>
      <c r="Q53" t="s">
        <v>15</v>
      </c>
    </row>
    <row r="54" spans="1:17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148</v>
      </c>
      <c r="K54" t="s">
        <v>23</v>
      </c>
      <c r="L54">
        <v>352</v>
      </c>
      <c r="M54">
        <v>4.6601445999999997</v>
      </c>
      <c r="N54">
        <v>229.21116541638659</v>
      </c>
      <c r="O54">
        <v>-1.2054538546592329E-2</v>
      </c>
      <c r="P54" s="1" t="str">
        <f>HYPERLINK(".\sm_car_260116_2048\sm_car_260116_2048_053_Ca132TrN_MaWOT_DrSt_ode23t.png","figure")</f>
        <v>figure</v>
      </c>
      <c r="Q54" t="s">
        <v>15</v>
      </c>
    </row>
    <row r="55" spans="1:17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148</v>
      </c>
      <c r="K55" t="s">
        <v>23</v>
      </c>
      <c r="L55">
        <v>487</v>
      </c>
      <c r="M55">
        <v>5.1357480999999998</v>
      </c>
      <c r="N55">
        <v>70.622038448231962</v>
      </c>
      <c r="O55">
        <v>-0.52745665715290146</v>
      </c>
      <c r="P55" s="1" t="str">
        <f>HYPERLINK(".\sm_car_260116_2048\sm_car_260116_2048_054_Ca132TrN_MaLSS_DrSt_ode23t.png","figure")</f>
        <v>figure</v>
      </c>
      <c r="Q55" t="s">
        <v>15</v>
      </c>
    </row>
    <row r="56" spans="1:17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148</v>
      </c>
      <c r="K56" t="s">
        <v>23</v>
      </c>
      <c r="L56">
        <v>366</v>
      </c>
      <c r="M56">
        <v>4.2916420999999998</v>
      </c>
      <c r="N56">
        <v>229.07987265446846</v>
      </c>
      <c r="O56">
        <v>-1.7921192940353058E-2</v>
      </c>
      <c r="P56" s="1" t="str">
        <f>HYPERLINK(".\sm_car_260116_2048\sm_car_260116_2048_055_Ca133TrN_MaWOT_DrSt_ode23t.png","figure")</f>
        <v>figure</v>
      </c>
      <c r="Q56" t="s">
        <v>15</v>
      </c>
    </row>
    <row r="57" spans="1:17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148</v>
      </c>
      <c r="K57" t="s">
        <v>23</v>
      </c>
      <c r="L57">
        <v>495</v>
      </c>
      <c r="M57">
        <v>5.1733786999999998</v>
      </c>
      <c r="N57">
        <v>70.60822868171617</v>
      </c>
      <c r="O57">
        <v>-0.52738708544992507</v>
      </c>
      <c r="P57" s="1" t="str">
        <f>HYPERLINK(".\sm_car_260116_2048\sm_car_260116_2048_056_Ca133TrN_MaLSS_DrSt_ode23t.png","figure")</f>
        <v>figure</v>
      </c>
      <c r="Q57" t="s">
        <v>15</v>
      </c>
    </row>
    <row r="58" spans="1:17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148</v>
      </c>
      <c r="K58" t="s">
        <v>23</v>
      </c>
      <c r="L58">
        <v>345</v>
      </c>
      <c r="M58">
        <v>4.5731061000000004</v>
      </c>
      <c r="N58">
        <v>229.18867135093504</v>
      </c>
      <c r="O58">
        <v>-1.4580949923013625E-2</v>
      </c>
      <c r="P58" s="1" t="str">
        <f>HYPERLINK(".\sm_car_260116_2048\sm_car_260116_2048_057_Ca134TrN_MaWOT_DrSt_ode23t.png","figure")</f>
        <v>figure</v>
      </c>
      <c r="Q58" t="s">
        <v>15</v>
      </c>
    </row>
    <row r="59" spans="1:17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148</v>
      </c>
      <c r="K59" t="s">
        <v>23</v>
      </c>
      <c r="L59">
        <v>490</v>
      </c>
      <c r="M59">
        <v>5.2398414999999998</v>
      </c>
      <c r="N59">
        <v>70.607384412148065</v>
      </c>
      <c r="O59">
        <v>-0.52532890318401892</v>
      </c>
      <c r="P59" s="1" t="str">
        <f>HYPERLINK(".\sm_car_260116_2048\sm_car_260116_2048_058_Ca134TrN_MaLSS_DrSt_ode23t.png","figure")</f>
        <v>figure</v>
      </c>
      <c r="Q59" t="s">
        <v>15</v>
      </c>
    </row>
    <row r="60" spans="1:17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148</v>
      </c>
      <c r="K60" t="s">
        <v>23</v>
      </c>
      <c r="L60">
        <v>345</v>
      </c>
      <c r="M60">
        <v>4.9911893000000003</v>
      </c>
      <c r="N60">
        <v>229.09599133929149</v>
      </c>
      <c r="O60">
        <v>-1.6143134829401096E-2</v>
      </c>
      <c r="P60" s="1" t="str">
        <f>HYPERLINK(".\sm_car_260116_2048\sm_car_260116_2048_059_Ca135TrN_MaWOT_DrSt_ode23t.png","figure")</f>
        <v>figure</v>
      </c>
      <c r="Q60" t="s">
        <v>15</v>
      </c>
    </row>
    <row r="61" spans="1:17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148</v>
      </c>
      <c r="K61" t="s">
        <v>23</v>
      </c>
      <c r="L61">
        <v>495</v>
      </c>
      <c r="M61">
        <v>5.1655689999999996</v>
      </c>
      <c r="N61">
        <v>70.602838134615041</v>
      </c>
      <c r="O61">
        <v>-0.509420980304365</v>
      </c>
      <c r="P61" s="1" t="str">
        <f>HYPERLINK(".\sm_car_260116_2048\sm_car_260116_2048_060_Ca135TrN_MaLSS_DrSt_ode23t.png","figure")</f>
        <v>figure</v>
      </c>
      <c r="Q61" t="s">
        <v>15</v>
      </c>
    </row>
    <row r="62" spans="1:17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148</v>
      </c>
      <c r="K62" t="s">
        <v>23</v>
      </c>
      <c r="L62">
        <v>392</v>
      </c>
      <c r="M62">
        <v>5.9931844999999999</v>
      </c>
      <c r="N62">
        <v>229.18127303553271</v>
      </c>
      <c r="O62">
        <v>5.0203433599056595E-2</v>
      </c>
      <c r="P62" s="1" t="str">
        <f>HYPERLINK(".\sm_car_260116_2048\sm_car_260116_2048_061_Ca136TrN_MaWOT_DrSt_ode23t.png","figure")</f>
        <v>figure</v>
      </c>
      <c r="Q62" t="s">
        <v>15</v>
      </c>
    </row>
    <row r="63" spans="1:17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148</v>
      </c>
      <c r="K63" t="s">
        <v>23</v>
      </c>
      <c r="L63">
        <v>522</v>
      </c>
      <c r="M63">
        <v>6.8262722</v>
      </c>
      <c r="N63">
        <v>70.609619678820778</v>
      </c>
      <c r="O63">
        <v>-0.52239920949967211</v>
      </c>
      <c r="P63" s="1" t="str">
        <f>HYPERLINK(".\sm_car_260116_2048\sm_car_260116_2048_062_Ca136TrN_MaLSS_DrSt_ode23t.png","figure")</f>
        <v>figure</v>
      </c>
      <c r="Q63" t="s">
        <v>15</v>
      </c>
    </row>
    <row r="64" spans="1:17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148</v>
      </c>
      <c r="K64" t="s">
        <v>23</v>
      </c>
      <c r="L64">
        <v>328</v>
      </c>
      <c r="M64">
        <v>3.8420149000000001</v>
      </c>
      <c r="N64">
        <v>229.95650595380968</v>
      </c>
      <c r="O64">
        <v>0.13771493433258289</v>
      </c>
      <c r="P64" s="1" t="str">
        <f>HYPERLINK(".\sm_car_260116_2048\sm_car_260116_2048_063_Ca137TrN_MaWOT_DrSt_ode23t.png","figure")</f>
        <v>figure</v>
      </c>
      <c r="Q64" t="s">
        <v>15</v>
      </c>
    </row>
    <row r="65" spans="1:17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148</v>
      </c>
      <c r="K65" t="s">
        <v>23</v>
      </c>
      <c r="L65">
        <v>490</v>
      </c>
      <c r="M65">
        <v>4.5276322999999996</v>
      </c>
      <c r="N65">
        <v>70.869123996066364</v>
      </c>
      <c r="O65">
        <v>-0.50520070010073559</v>
      </c>
      <c r="P65" s="1" t="str">
        <f>HYPERLINK(".\sm_car_260116_2048\sm_car_260116_2048_064_Ca137TrN_MaLSS_DrSt_ode23t.png","figure")</f>
        <v>figure</v>
      </c>
      <c r="Q65" t="s">
        <v>15</v>
      </c>
    </row>
    <row r="66" spans="1:17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148</v>
      </c>
      <c r="K66" t="s">
        <v>23</v>
      </c>
      <c r="L66">
        <v>334</v>
      </c>
      <c r="M66">
        <v>5.9038487999999996</v>
      </c>
      <c r="N66">
        <v>230.06157010523327</v>
      </c>
      <c r="O66">
        <v>0.14728370369953839</v>
      </c>
      <c r="P66" s="1" t="str">
        <f>HYPERLINK(".\sm_car_260116_2048\sm_car_260116_2048_065_Ca138TrN_MaWOT_DrSt_ode23t.png","figure")</f>
        <v>figure</v>
      </c>
      <c r="Q66" t="s">
        <v>15</v>
      </c>
    </row>
    <row r="67" spans="1:17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148</v>
      </c>
      <c r="K67" t="s">
        <v>23</v>
      </c>
      <c r="L67">
        <v>488</v>
      </c>
      <c r="M67">
        <v>6.5566719000000004</v>
      </c>
      <c r="N67">
        <v>70.766369241475488</v>
      </c>
      <c r="O67">
        <v>-0.81689728060981193</v>
      </c>
      <c r="P67" s="1" t="str">
        <f>HYPERLINK(".\sm_car_260116_2048\sm_car_260116_2048_066_Ca138TrN_MaLSS_DrSt_ode23t.png","figure")</f>
        <v>figure</v>
      </c>
      <c r="Q67" t="s">
        <v>15</v>
      </c>
    </row>
    <row r="68" spans="1:17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148</v>
      </c>
      <c r="K68" t="s">
        <v>23</v>
      </c>
      <c r="L68">
        <v>696</v>
      </c>
      <c r="M68">
        <v>26.798226</v>
      </c>
      <c r="N68">
        <v>402.21676819539459</v>
      </c>
      <c r="O68">
        <v>1.7663109197198756</v>
      </c>
      <c r="P68" s="1" t="str">
        <f>HYPERLINK(".\sm_car_260116_2048\sm_car_260116_2048_067_Ca139TrN_MaWOT_DrSt_ode23t.png","figure")</f>
        <v>figure</v>
      </c>
      <c r="Q68" t="s">
        <v>15</v>
      </c>
    </row>
    <row r="69" spans="1:17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148</v>
      </c>
      <c r="K69" t="s">
        <v>23</v>
      </c>
      <c r="L69">
        <v>635</v>
      </c>
      <c r="M69">
        <v>17.120109299999999</v>
      </c>
      <c r="N69">
        <v>153.03893787834298</v>
      </c>
      <c r="O69">
        <v>-0.57496092157321121</v>
      </c>
      <c r="P69" s="1" t="str">
        <f>HYPERLINK(".\sm_car_260116_2048\sm_car_260116_2048_068_Ca139TrN_MaLSS_DrSt_ode23t.png","figure")</f>
        <v>figure</v>
      </c>
      <c r="Q69" t="s">
        <v>15</v>
      </c>
    </row>
    <row r="70" spans="1:17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148</v>
      </c>
      <c r="K70" t="s">
        <v>23</v>
      </c>
      <c r="L70">
        <v>1891</v>
      </c>
      <c r="M70">
        <v>30.979342500000001</v>
      </c>
      <c r="N70">
        <v>402.3093238000825</v>
      </c>
      <c r="O70">
        <v>1.7121153887950993</v>
      </c>
      <c r="P70" s="1" t="str">
        <f>HYPERLINK(".\sm_car_260116_2048\sm_car_260116_2048_069_Ca141TrN_MaWOT_DrSt_ode23t.png","figure")</f>
        <v>figure</v>
      </c>
      <c r="Q70" t="s">
        <v>15</v>
      </c>
    </row>
    <row r="71" spans="1:17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148</v>
      </c>
      <c r="K71" t="s">
        <v>23</v>
      </c>
      <c r="L71">
        <v>1862</v>
      </c>
      <c r="M71">
        <v>25.611129600000002</v>
      </c>
      <c r="N71">
        <v>153.1037219866846</v>
      </c>
      <c r="O71">
        <v>-0.57009636301674771</v>
      </c>
      <c r="P71" s="1" t="str">
        <f>HYPERLINK(".\sm_car_260116_2048\sm_car_260116_2048_070_Ca141TrN_MaLSS_DrSt_ode23t.png","figure")</f>
        <v>figure</v>
      </c>
      <c r="Q71" t="s">
        <v>15</v>
      </c>
    </row>
    <row r="72" spans="1:17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148</v>
      </c>
      <c r="K72" t="s">
        <v>23</v>
      </c>
      <c r="L72">
        <v>340</v>
      </c>
      <c r="M72">
        <v>12.331474699999999</v>
      </c>
      <c r="N72">
        <v>62.428375066207224</v>
      </c>
      <c r="O72">
        <v>1.9516052410026494E-2</v>
      </c>
      <c r="P72" s="1" t="str">
        <f>HYPERLINK(".\sm_car_260116_2048\sm_car_260116_2048_071_Ca143TrN_MaWOT_DrSt_ode23t.png","figure")</f>
        <v>figure</v>
      </c>
      <c r="Q72" t="s">
        <v>15</v>
      </c>
    </row>
    <row r="73" spans="1:17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148</v>
      </c>
      <c r="K73" t="s">
        <v>23</v>
      </c>
      <c r="L73">
        <v>474</v>
      </c>
      <c r="M73">
        <v>15.7793701</v>
      </c>
      <c r="N73">
        <v>24.932439310559353</v>
      </c>
      <c r="O73">
        <v>-5.2436909096597685E-2</v>
      </c>
      <c r="P73" s="1" t="str">
        <f>HYPERLINK(".\sm_car_260116_2048\sm_car_260116_2048_072_Ca143TrN_MaLSS_DrSt_ode23t.png","figure")</f>
        <v>figure</v>
      </c>
      <c r="Q73" t="s">
        <v>15</v>
      </c>
    </row>
    <row r="74" spans="1:17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148</v>
      </c>
      <c r="K74" t="s">
        <v>23</v>
      </c>
      <c r="L74">
        <v>316</v>
      </c>
      <c r="M74">
        <v>10.079977299999999</v>
      </c>
      <c r="N74">
        <v>76.986476302941625</v>
      </c>
      <c r="O74">
        <v>0.24361135886630739</v>
      </c>
      <c r="P74" s="1" t="str">
        <f>HYPERLINK(".\sm_car_260116_2048\sm_car_260116_2048_073_Ca144TrN_MaWOT_DrSt_ode23t.png","figure")</f>
        <v>figure</v>
      </c>
      <c r="Q74" t="s">
        <v>15</v>
      </c>
    </row>
    <row r="75" spans="1:17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148</v>
      </c>
      <c r="K75" t="s">
        <v>23</v>
      </c>
      <c r="L75">
        <v>464</v>
      </c>
      <c r="M75">
        <v>11.996775400000001</v>
      </c>
      <c r="N75">
        <v>35.47145411538488</v>
      </c>
      <c r="O75">
        <v>-3.1820174507193974E-2</v>
      </c>
      <c r="P75" s="1" t="str">
        <f>HYPERLINK(".\sm_car_260116_2048\sm_car_260116_2048_074_Ca144TrN_MaLSS_DrSt_ode23t.png","figure")</f>
        <v>figure</v>
      </c>
      <c r="Q75" t="s">
        <v>15</v>
      </c>
    </row>
    <row r="76" spans="1:17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148</v>
      </c>
      <c r="K76" t="s">
        <v>23</v>
      </c>
      <c r="L76">
        <v>2387</v>
      </c>
      <c r="M76">
        <v>26.790455900000001</v>
      </c>
      <c r="N76">
        <v>396.59425150891917</v>
      </c>
      <c r="O76">
        <v>-14.431667343977379</v>
      </c>
      <c r="P76" s="1" t="str">
        <f>HYPERLINK(".\sm_car_260116_2048\sm_car_260116_2048_075_Ca147TrN_MaWOT_DrSt_ode23t.png","figure")</f>
        <v>figure</v>
      </c>
      <c r="Q76" t="s">
        <v>15</v>
      </c>
    </row>
    <row r="77" spans="1:17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148</v>
      </c>
      <c r="K77" t="s">
        <v>23</v>
      </c>
      <c r="L77">
        <v>1272</v>
      </c>
      <c r="M77">
        <v>17.045556099999999</v>
      </c>
      <c r="N77">
        <v>150.41750991267654</v>
      </c>
      <c r="O77">
        <v>-2.165069734267755</v>
      </c>
      <c r="P77" s="1" t="str">
        <f>HYPERLINK(".\sm_car_260116_2048\sm_car_260116_2048_076_Ca147TrN_MaLSS_DrSt_ode23t.png","figure")</f>
        <v>figure</v>
      </c>
      <c r="Q77" t="s">
        <v>15</v>
      </c>
    </row>
    <row r="78" spans="1:17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148</v>
      </c>
      <c r="K78" t="s">
        <v>23</v>
      </c>
      <c r="L78">
        <v>286</v>
      </c>
      <c r="M78">
        <v>6.9086629999999998</v>
      </c>
      <c r="N78">
        <v>135.67636625089395</v>
      </c>
      <c r="O78">
        <v>1.6423226037668248E-3</v>
      </c>
      <c r="P78" s="1" t="str">
        <f>HYPERLINK(".\sm_car_260116_2048\sm_car_260116_2048_077_Ca215TrN_MaWOT_DrSt_ode23t.png","figure")</f>
        <v>figure</v>
      </c>
      <c r="Q78" t="s">
        <v>15</v>
      </c>
    </row>
    <row r="79" spans="1:17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148</v>
      </c>
      <c r="K79" t="s">
        <v>23</v>
      </c>
      <c r="L79">
        <v>452</v>
      </c>
      <c r="M79">
        <v>7.1932026000000002</v>
      </c>
      <c r="N79">
        <v>50.381882440086144</v>
      </c>
      <c r="O79">
        <v>-0.1145246546592999</v>
      </c>
      <c r="P79" s="1" t="str">
        <f>HYPERLINK(".\sm_car_260116_2048\sm_car_260116_2048_078_Ca215TrN_MaLSS_DrSt_ode23t.png","figure")</f>
        <v>figure</v>
      </c>
      <c r="Q79" t="s">
        <v>15</v>
      </c>
    </row>
    <row r="80" spans="1:17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188</v>
      </c>
      <c r="H80" t="s">
        <v>21</v>
      </c>
      <c r="I80" t="s">
        <v>22</v>
      </c>
      <c r="J80" t="s">
        <v>148</v>
      </c>
      <c r="K80" t="s">
        <v>23</v>
      </c>
      <c r="L80">
        <v>350</v>
      </c>
      <c r="M80">
        <v>4.5172610999999998</v>
      </c>
      <c r="N80">
        <v>229.84485262113222</v>
      </c>
      <c r="O80">
        <v>0.17294964971829085</v>
      </c>
      <c r="P80" s="1" t="str">
        <f>HYPERLINK(".\sm_car_260116_2048\sm_car_260116_2048_079_Ca218TrN_MaWOT_DrSt_ode23t.png","figure")</f>
        <v>figure</v>
      </c>
      <c r="Q80" t="s">
        <v>15</v>
      </c>
    </row>
    <row r="81" spans="1:17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188</v>
      </c>
      <c r="H81" t="s">
        <v>21</v>
      </c>
      <c r="I81" t="s">
        <v>24</v>
      </c>
      <c r="J81" t="s">
        <v>148</v>
      </c>
      <c r="K81" t="s">
        <v>23</v>
      </c>
      <c r="L81">
        <v>489</v>
      </c>
      <c r="M81">
        <v>5.5790810999999998</v>
      </c>
      <c r="N81">
        <v>70.781454168033505</v>
      </c>
      <c r="O81">
        <v>-0.53290319728474822</v>
      </c>
      <c r="P81" s="1" t="str">
        <f>HYPERLINK(".\sm_car_260116_2048\sm_car_260116_2048_080_Ca218TrN_MaLSS_DrSt_ode23t.png","figure")</f>
        <v>figure</v>
      </c>
      <c r="Q81" t="s">
        <v>15</v>
      </c>
    </row>
    <row r="82" spans="1:17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188</v>
      </c>
      <c r="H82" t="s">
        <v>21</v>
      </c>
      <c r="I82" t="s">
        <v>22</v>
      </c>
      <c r="J82" t="s">
        <v>148</v>
      </c>
      <c r="K82" t="s">
        <v>23</v>
      </c>
      <c r="L82">
        <v>380</v>
      </c>
      <c r="M82">
        <v>7.2691660999999996</v>
      </c>
      <c r="N82">
        <v>229.06044066358578</v>
      </c>
      <c r="O82">
        <v>0.1704991959855662</v>
      </c>
      <c r="P82" s="1" t="str">
        <f>HYPERLINK(".\sm_car_260116_2048\sm_car_260116_2048_081_Ca219TrN_MaWOT_DrSt_ode23t.png","figure")</f>
        <v>figure</v>
      </c>
      <c r="Q82" t="s">
        <v>15</v>
      </c>
    </row>
    <row r="83" spans="1:17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188</v>
      </c>
      <c r="H83" t="s">
        <v>21</v>
      </c>
      <c r="I83" t="s">
        <v>24</v>
      </c>
      <c r="J83" t="s">
        <v>148</v>
      </c>
      <c r="K83" t="s">
        <v>23</v>
      </c>
      <c r="L83">
        <v>518</v>
      </c>
      <c r="M83">
        <v>7.8265767000000004</v>
      </c>
      <c r="N83">
        <v>70.604393194676831</v>
      </c>
      <c r="O83">
        <v>-0.55500174713467498</v>
      </c>
      <c r="P83" s="1" t="str">
        <f>HYPERLINK(".\sm_car_260116_2048\sm_car_260116_2048_082_Ca219TrN_MaLSS_DrSt_ode23t.png","figure")</f>
        <v>figure</v>
      </c>
      <c r="Q83" t="s">
        <v>15</v>
      </c>
    </row>
    <row r="84" spans="1:17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188</v>
      </c>
      <c r="H84" t="s">
        <v>21</v>
      </c>
      <c r="I84" t="s">
        <v>22</v>
      </c>
      <c r="J84" t="s">
        <v>148</v>
      </c>
      <c r="K84" t="s">
        <v>23</v>
      </c>
      <c r="L84">
        <v>912</v>
      </c>
      <c r="M84">
        <v>34.463245100000002</v>
      </c>
      <c r="N84">
        <v>223.35110245991496</v>
      </c>
      <c r="O84">
        <v>-1.1863250563382353</v>
      </c>
      <c r="P84" s="1" t="str">
        <f>HYPERLINK(".\sm_car_260116_2048\sm_car_260116_2048_083_Ca220TrN_MaWOT_DrSt_ode23t.png","figure")</f>
        <v>figure</v>
      </c>
      <c r="Q84" t="s">
        <v>15</v>
      </c>
    </row>
    <row r="85" spans="1:17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188</v>
      </c>
      <c r="H85" t="s">
        <v>21</v>
      </c>
      <c r="I85" t="s">
        <v>24</v>
      </c>
      <c r="J85" t="s">
        <v>148</v>
      </c>
      <c r="K85" t="s">
        <v>23</v>
      </c>
      <c r="L85">
        <v>1092</v>
      </c>
      <c r="M85">
        <v>46.207633000000001</v>
      </c>
      <c r="N85">
        <v>69.324846472151037</v>
      </c>
      <c r="O85">
        <v>-1.496736095632849</v>
      </c>
      <c r="P85" s="1" t="str">
        <f>HYPERLINK(".\sm_car_260116_2048\sm_car_260116_2048_084_Ca220TrN_MaLSS_DrSt_ode23t.png","figure")</f>
        <v>figure</v>
      </c>
      <c r="Q85" t="s">
        <v>15</v>
      </c>
    </row>
    <row r="86" spans="1:17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148</v>
      </c>
      <c r="K86" t="s">
        <v>23</v>
      </c>
      <c r="L86">
        <v>462</v>
      </c>
      <c r="M86">
        <v>7.4487806000000001</v>
      </c>
      <c r="N86">
        <v>293.77955369786952</v>
      </c>
      <c r="O86">
        <v>-3.1314827975771235E-4</v>
      </c>
      <c r="P86" s="1" t="str">
        <f>HYPERLINK(".\sm_car_260116_2048\sm_car_260116_2048_085_Ca223TrN_MaWOT_DrSt_ode23t.png","figure")</f>
        <v>figure</v>
      </c>
      <c r="Q86" t="s">
        <v>15</v>
      </c>
    </row>
    <row r="87" spans="1:17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148</v>
      </c>
      <c r="K87" t="s">
        <v>23</v>
      </c>
      <c r="L87">
        <v>639</v>
      </c>
      <c r="M87">
        <v>7.0677019999999997</v>
      </c>
      <c r="N87">
        <v>103.82427138938752</v>
      </c>
      <c r="O87">
        <v>-0.16061104775016852</v>
      </c>
      <c r="P87" s="1" t="str">
        <f>HYPERLINK(".\sm_car_260116_2048\sm_car_260116_2048_086_Ca223TrN_MaLSS_DrSt_ode23t.png","figure")</f>
        <v>figure</v>
      </c>
      <c r="Q87" t="s">
        <v>15</v>
      </c>
    </row>
    <row r="88" spans="1:17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148</v>
      </c>
      <c r="K88" t="s">
        <v>23</v>
      </c>
      <c r="L88">
        <v>716</v>
      </c>
      <c r="M88">
        <v>21.167043799999998</v>
      </c>
      <c r="N88">
        <v>405.67831412320044</v>
      </c>
      <c r="O88">
        <v>-11.96491946324557</v>
      </c>
      <c r="P88" s="1" t="str">
        <f>HYPERLINK(".\sm_car_260116_2048\sm_car_260116_2048_087_Ca227TrN_MaWOT_DrSt_ode23t.png","figure")</f>
        <v>figure</v>
      </c>
      <c r="Q88" t="s">
        <v>15</v>
      </c>
    </row>
    <row r="89" spans="1:17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148</v>
      </c>
      <c r="K89" t="s">
        <v>23</v>
      </c>
      <c r="L89">
        <v>710</v>
      </c>
      <c r="M89">
        <v>14.077415500000001</v>
      </c>
      <c r="N89">
        <v>154.53579036457265</v>
      </c>
      <c r="O89">
        <v>-2.882213297772561</v>
      </c>
      <c r="P89" s="1" t="str">
        <f>HYPERLINK(".\sm_car_260116_2048\sm_car_260116_2048_088_Ca227TrN_MaLSS_DrSt_ode23t.png","figure")</f>
        <v>figure</v>
      </c>
      <c r="Q89" t="s">
        <v>15</v>
      </c>
    </row>
    <row r="90" spans="1:17" x14ac:dyDescent="0.25">
      <c r="A90">
        <v>89</v>
      </c>
      <c r="B90">
        <v>237</v>
      </c>
      <c r="C90" t="s">
        <v>45</v>
      </c>
      <c r="D90" t="s">
        <v>17</v>
      </c>
      <c r="E90" t="s">
        <v>107</v>
      </c>
      <c r="F90" t="s">
        <v>19</v>
      </c>
      <c r="G90" t="s">
        <v>191</v>
      </c>
      <c r="H90" t="s">
        <v>21</v>
      </c>
      <c r="I90" t="s">
        <v>22</v>
      </c>
      <c r="J90" t="s">
        <v>148</v>
      </c>
      <c r="K90" t="s">
        <v>23</v>
      </c>
      <c r="L90">
        <v>710</v>
      </c>
      <c r="M90">
        <v>41.408460699999999</v>
      </c>
      <c r="N90">
        <v>402.59947727998201</v>
      </c>
      <c r="O90">
        <v>1.6517789567817951</v>
      </c>
      <c r="P90" s="1" t="str">
        <f>HYPERLINK(".\sm_car_260116_2048\sm_car_260116_2048_089_Ca237TrN_MaWOT_DrSt_ode23t.png","figure")</f>
        <v>figure</v>
      </c>
      <c r="Q90" t="s">
        <v>15</v>
      </c>
    </row>
    <row r="91" spans="1:17" x14ac:dyDescent="0.25">
      <c r="A91">
        <v>90</v>
      </c>
      <c r="B91">
        <v>237</v>
      </c>
      <c r="C91" t="s">
        <v>45</v>
      </c>
      <c r="D91" t="s">
        <v>17</v>
      </c>
      <c r="E91" t="s">
        <v>107</v>
      </c>
      <c r="F91" t="s">
        <v>19</v>
      </c>
      <c r="G91" t="s">
        <v>191</v>
      </c>
      <c r="H91" t="s">
        <v>21</v>
      </c>
      <c r="I91" t="s">
        <v>24</v>
      </c>
      <c r="J91" t="s">
        <v>148</v>
      </c>
      <c r="K91" t="s">
        <v>23</v>
      </c>
      <c r="L91">
        <v>651</v>
      </c>
      <c r="M91">
        <v>25.300901</v>
      </c>
      <c r="N91">
        <v>153.56008209651455</v>
      </c>
      <c r="O91">
        <v>-0.31899398985376398</v>
      </c>
      <c r="P91" s="1" t="str">
        <f>HYPERLINK(".\sm_car_260116_2048\sm_car_260116_2048_090_Ca237TrN_MaLSS_DrSt_ode23t.png","figure")</f>
        <v>figure</v>
      </c>
      <c r="Q91" t="s">
        <v>15</v>
      </c>
    </row>
    <row r="92" spans="1:17" x14ac:dyDescent="0.25">
      <c r="A92">
        <v>91</v>
      </c>
      <c r="B92">
        <v>238</v>
      </c>
      <c r="C92" t="s">
        <v>45</v>
      </c>
      <c r="D92" t="s">
        <v>17</v>
      </c>
      <c r="E92" t="s">
        <v>107</v>
      </c>
      <c r="F92" t="s">
        <v>19</v>
      </c>
      <c r="G92" t="s">
        <v>192</v>
      </c>
      <c r="H92" t="s">
        <v>21</v>
      </c>
      <c r="I92" t="s">
        <v>22</v>
      </c>
      <c r="J92" t="s">
        <v>148</v>
      </c>
      <c r="K92" t="s">
        <v>23</v>
      </c>
      <c r="L92">
        <v>761</v>
      </c>
      <c r="M92">
        <v>46.633136299999997</v>
      </c>
      <c r="N92">
        <v>402.48154284997935</v>
      </c>
      <c r="O92">
        <v>1.6109742290715114</v>
      </c>
      <c r="P92" s="1" t="str">
        <f>HYPERLINK(".\sm_car_260116_2048\sm_car_260116_2048_091_Ca238TrN_MaWOT_DrSt_ode23t.png","figure")</f>
        <v>figure</v>
      </c>
      <c r="Q92" t="s">
        <v>15</v>
      </c>
    </row>
    <row r="93" spans="1:17" x14ac:dyDescent="0.25">
      <c r="A93">
        <v>92</v>
      </c>
      <c r="B93">
        <v>238</v>
      </c>
      <c r="C93" t="s">
        <v>45</v>
      </c>
      <c r="D93" t="s">
        <v>17</v>
      </c>
      <c r="E93" t="s">
        <v>107</v>
      </c>
      <c r="F93" t="s">
        <v>19</v>
      </c>
      <c r="G93" t="s">
        <v>192</v>
      </c>
      <c r="H93" t="s">
        <v>21</v>
      </c>
      <c r="I93" t="s">
        <v>24</v>
      </c>
      <c r="J93" t="s">
        <v>148</v>
      </c>
      <c r="K93" t="s">
        <v>23</v>
      </c>
      <c r="L93">
        <v>718</v>
      </c>
      <c r="M93">
        <v>33.721765099999999</v>
      </c>
      <c r="N93">
        <v>153.44254558288353</v>
      </c>
      <c r="O93">
        <v>-0.35875038980641488</v>
      </c>
      <c r="P93" s="1" t="str">
        <f>HYPERLINK(".\sm_car_260116_2048\sm_car_260116_2048_092_Ca238TrN_MaLSS_DrSt_ode23t.png","figure")</f>
        <v>figure</v>
      </c>
      <c r="Q93" t="s">
        <v>15</v>
      </c>
    </row>
    <row r="94" spans="1:17" x14ac:dyDescent="0.25">
      <c r="A94">
        <v>93</v>
      </c>
      <c r="B94">
        <v>8</v>
      </c>
      <c r="C94" t="s">
        <v>16</v>
      </c>
      <c r="D94" t="s">
        <v>17</v>
      </c>
      <c r="E94" t="s">
        <v>49</v>
      </c>
      <c r="F94" t="s">
        <v>19</v>
      </c>
      <c r="G94" t="s">
        <v>188</v>
      </c>
      <c r="H94" t="s">
        <v>21</v>
      </c>
      <c r="I94" t="s">
        <v>22</v>
      </c>
      <c r="J94" t="s">
        <v>148</v>
      </c>
      <c r="K94" t="s">
        <v>23</v>
      </c>
      <c r="L94">
        <v>381</v>
      </c>
      <c r="M94">
        <v>9.9540784999999996</v>
      </c>
      <c r="N94">
        <v>229.8953243687495</v>
      </c>
      <c r="O94">
        <v>-8.3732968694704736E-3</v>
      </c>
      <c r="P94" s="1" t="str">
        <f>HYPERLINK(".\sm_car_260116_2048\sm_car_260116_2048_093_Ca008TrN_MaWOT_DrSt_ode23t_1.png","figure")</f>
        <v>figure</v>
      </c>
      <c r="Q94" t="s">
        <v>15</v>
      </c>
    </row>
    <row r="95" spans="1:17" x14ac:dyDescent="0.25">
      <c r="A95">
        <v>94</v>
      </c>
      <c r="B95">
        <v>8</v>
      </c>
      <c r="C95" t="s">
        <v>16</v>
      </c>
      <c r="D95" t="s">
        <v>17</v>
      </c>
      <c r="E95" t="s">
        <v>49</v>
      </c>
      <c r="F95" t="s">
        <v>19</v>
      </c>
      <c r="G95" t="s">
        <v>188</v>
      </c>
      <c r="H95" t="s">
        <v>21</v>
      </c>
      <c r="I95" t="s">
        <v>24</v>
      </c>
      <c r="J95" t="s">
        <v>148</v>
      </c>
      <c r="K95" t="s">
        <v>23</v>
      </c>
      <c r="L95">
        <v>541</v>
      </c>
      <c r="M95">
        <v>11.342434600000001</v>
      </c>
      <c r="N95">
        <v>70.880635927346717</v>
      </c>
      <c r="O95">
        <v>-0.52520952740531734</v>
      </c>
      <c r="P95" s="1" t="str">
        <f>HYPERLINK(".\sm_car_260116_2048\sm_car_260116_2048_094_Ca008TrN_MaLSS_DrSt_ode23t_1.png","figure")</f>
        <v>figure</v>
      </c>
      <c r="Q95" t="s">
        <v>15</v>
      </c>
    </row>
    <row r="96" spans="1:17" x14ac:dyDescent="0.25">
      <c r="A96">
        <v>95</v>
      </c>
      <c r="B96">
        <v>13</v>
      </c>
      <c r="C96" t="s">
        <v>16</v>
      </c>
      <c r="D96" t="s">
        <v>17</v>
      </c>
      <c r="E96" t="s">
        <v>49</v>
      </c>
      <c r="F96" t="s">
        <v>28</v>
      </c>
      <c r="G96" t="s">
        <v>188</v>
      </c>
      <c r="H96" t="s">
        <v>21</v>
      </c>
      <c r="I96" t="s">
        <v>22</v>
      </c>
      <c r="J96" t="s">
        <v>148</v>
      </c>
      <c r="K96" t="s">
        <v>23</v>
      </c>
      <c r="L96">
        <v>846</v>
      </c>
      <c r="M96">
        <v>12.731356099999999</v>
      </c>
      <c r="N96">
        <v>229.06273074794586</v>
      </c>
      <c r="O96">
        <v>-1.6337531531704544E-2</v>
      </c>
      <c r="P96" s="1" t="str">
        <f>HYPERLINK(".\sm_car_260116_2048\sm_car_260116_2048_095_Ca013TrN_MaWOT_DrSt_ode23t_1.png","figure")</f>
        <v>figure</v>
      </c>
      <c r="Q96" t="s">
        <v>15</v>
      </c>
    </row>
    <row r="97" spans="1:17" x14ac:dyDescent="0.25">
      <c r="A97">
        <v>96</v>
      </c>
      <c r="B97">
        <v>13</v>
      </c>
      <c r="C97" t="s">
        <v>16</v>
      </c>
      <c r="D97" t="s">
        <v>17</v>
      </c>
      <c r="E97" t="s">
        <v>49</v>
      </c>
      <c r="F97" t="s">
        <v>28</v>
      </c>
      <c r="G97" t="s">
        <v>188</v>
      </c>
      <c r="H97" t="s">
        <v>21</v>
      </c>
      <c r="I97" t="s">
        <v>24</v>
      </c>
      <c r="J97" t="s">
        <v>148</v>
      </c>
      <c r="K97" t="s">
        <v>23</v>
      </c>
      <c r="L97">
        <v>999</v>
      </c>
      <c r="M97">
        <v>14.615702799999999</v>
      </c>
      <c r="N97">
        <v>70.589924281247988</v>
      </c>
      <c r="O97">
        <v>-0.53184022598553582</v>
      </c>
      <c r="P97" s="1" t="str">
        <f>HYPERLINK(".\sm_car_260116_2048\sm_car_260116_2048_096_Ca013TrN_MaLSS_DrSt_ode23t_1.png","figure")</f>
        <v>figure</v>
      </c>
      <c r="Q97" t="s">
        <v>15</v>
      </c>
    </row>
    <row r="98" spans="1:17" x14ac:dyDescent="0.25">
      <c r="A98">
        <v>97</v>
      </c>
      <c r="B98">
        <v>120</v>
      </c>
      <c r="C98" t="s">
        <v>16</v>
      </c>
      <c r="D98" t="s">
        <v>35</v>
      </c>
      <c r="E98" t="s">
        <v>49</v>
      </c>
      <c r="F98" t="s">
        <v>19</v>
      </c>
      <c r="G98" t="s">
        <v>188</v>
      </c>
      <c r="H98" t="s">
        <v>21</v>
      </c>
      <c r="I98" t="s">
        <v>22</v>
      </c>
      <c r="J98" t="s">
        <v>148</v>
      </c>
      <c r="K98" t="s">
        <v>23</v>
      </c>
      <c r="L98">
        <v>416</v>
      </c>
      <c r="M98">
        <v>3.3220326999999998</v>
      </c>
      <c r="N98">
        <v>242.69169978057366</v>
      </c>
      <c r="O98">
        <v>0.23529584198330764</v>
      </c>
      <c r="P98" s="1" t="str">
        <f>HYPERLINK(".\sm_car_260116_2048\sm_car_260116_2048_097_Ca120TrN_MaWOT_DrSt_ode23t_1.png","figure")</f>
        <v>figure</v>
      </c>
      <c r="Q98" t="s">
        <v>15</v>
      </c>
    </row>
    <row r="99" spans="1:17" x14ac:dyDescent="0.25">
      <c r="A99">
        <v>98</v>
      </c>
      <c r="B99">
        <v>120</v>
      </c>
      <c r="C99" t="s">
        <v>16</v>
      </c>
      <c r="D99" t="s">
        <v>35</v>
      </c>
      <c r="E99" t="s">
        <v>49</v>
      </c>
      <c r="F99" t="s">
        <v>19</v>
      </c>
      <c r="G99" t="s">
        <v>188</v>
      </c>
      <c r="H99" t="s">
        <v>21</v>
      </c>
      <c r="I99" t="s">
        <v>24</v>
      </c>
      <c r="J99" t="s">
        <v>148</v>
      </c>
      <c r="K99" t="s">
        <v>23</v>
      </c>
      <c r="L99">
        <v>534</v>
      </c>
      <c r="M99">
        <v>3.8536633</v>
      </c>
      <c r="N99">
        <v>74.671860856427401</v>
      </c>
      <c r="O99">
        <v>-0.33802521123174667</v>
      </c>
      <c r="P99" s="1" t="str">
        <f>HYPERLINK(".\sm_car_260116_2048\sm_car_260116_2048_098_Ca120TrN_MaLSS_DrSt_ode23t_1.png","figure")</f>
        <v>figure</v>
      </c>
      <c r="Q99" t="s">
        <v>15</v>
      </c>
    </row>
    <row r="100" spans="1:17" x14ac:dyDescent="0.25">
      <c r="A100">
        <v>99</v>
      </c>
      <c r="B100">
        <v>126</v>
      </c>
      <c r="C100" t="s">
        <v>16</v>
      </c>
      <c r="D100" t="s">
        <v>35</v>
      </c>
      <c r="E100" t="s">
        <v>49</v>
      </c>
      <c r="F100" t="s">
        <v>28</v>
      </c>
      <c r="G100" t="s">
        <v>188</v>
      </c>
      <c r="H100" t="s">
        <v>21</v>
      </c>
      <c r="I100" t="s">
        <v>22</v>
      </c>
      <c r="J100" t="s">
        <v>148</v>
      </c>
      <c r="K100" t="s">
        <v>23</v>
      </c>
      <c r="L100">
        <v>1022</v>
      </c>
      <c r="M100">
        <v>5.2765573000000003</v>
      </c>
      <c r="N100">
        <v>241.41924851419645</v>
      </c>
      <c r="O100">
        <v>0.23234674148588363</v>
      </c>
      <c r="P100" s="1" t="str">
        <f>HYPERLINK(".\sm_car_260116_2048\sm_car_260116_2048_099_Ca126TrN_MaWOT_DrSt_ode23t_1.png","figure")</f>
        <v>figure</v>
      </c>
      <c r="Q100" t="s">
        <v>15</v>
      </c>
    </row>
    <row r="101" spans="1:17" x14ac:dyDescent="0.25">
      <c r="A101">
        <v>100</v>
      </c>
      <c r="B101">
        <v>126</v>
      </c>
      <c r="C101" t="s">
        <v>16</v>
      </c>
      <c r="D101" t="s">
        <v>35</v>
      </c>
      <c r="E101" t="s">
        <v>49</v>
      </c>
      <c r="F101" t="s">
        <v>28</v>
      </c>
      <c r="G101" t="s">
        <v>188</v>
      </c>
      <c r="H101" t="s">
        <v>21</v>
      </c>
      <c r="I101" t="s">
        <v>24</v>
      </c>
      <c r="J101" t="s">
        <v>148</v>
      </c>
      <c r="K101" t="s">
        <v>23</v>
      </c>
      <c r="L101">
        <v>1171</v>
      </c>
      <c r="M101">
        <v>6.218127</v>
      </c>
      <c r="N101">
        <v>74.33993896215155</v>
      </c>
      <c r="O101">
        <v>-0.33643014434950602</v>
      </c>
      <c r="P101" s="1" t="str">
        <f>HYPERLINK(".\sm_car_260116_2048\sm_car_260116_2048_100_Ca126TrN_MaLSS_DrSt_ode23t_1.png","figure")</f>
        <v>figure</v>
      </c>
      <c r="Q101" t="s">
        <v>15</v>
      </c>
    </row>
    <row r="102" spans="1:17" x14ac:dyDescent="0.25">
      <c r="A102">
        <v>101</v>
      </c>
      <c r="B102">
        <v>127</v>
      </c>
      <c r="C102" t="s">
        <v>16</v>
      </c>
      <c r="D102" t="s">
        <v>35</v>
      </c>
      <c r="E102" t="s">
        <v>49</v>
      </c>
      <c r="F102" t="s">
        <v>28</v>
      </c>
      <c r="G102" t="s">
        <v>188</v>
      </c>
      <c r="H102" t="s">
        <v>21</v>
      </c>
      <c r="I102" t="s">
        <v>22</v>
      </c>
      <c r="J102" t="s">
        <v>148</v>
      </c>
      <c r="K102" t="s">
        <v>23</v>
      </c>
      <c r="L102">
        <v>1057</v>
      </c>
      <c r="M102">
        <v>5.9478105000000001</v>
      </c>
      <c r="N102">
        <v>241.07004066528938</v>
      </c>
      <c r="O102">
        <v>0.23102444964806923</v>
      </c>
      <c r="P102" s="1" t="str">
        <f>HYPERLINK(".\sm_car_260116_2048\sm_car_260116_2048_101_Ca127TrN_MaWOT_DrSt_ode23t_1.png","figure")</f>
        <v>figure</v>
      </c>
      <c r="Q102" t="s">
        <v>15</v>
      </c>
    </row>
    <row r="103" spans="1:17" x14ac:dyDescent="0.25">
      <c r="A103">
        <v>102</v>
      </c>
      <c r="B103">
        <v>127</v>
      </c>
      <c r="C103" t="s">
        <v>16</v>
      </c>
      <c r="D103" t="s">
        <v>35</v>
      </c>
      <c r="E103" t="s">
        <v>49</v>
      </c>
      <c r="F103" t="s">
        <v>28</v>
      </c>
      <c r="G103" t="s">
        <v>188</v>
      </c>
      <c r="H103" t="s">
        <v>21</v>
      </c>
      <c r="I103" t="s">
        <v>24</v>
      </c>
      <c r="J103" t="s">
        <v>148</v>
      </c>
      <c r="K103" t="s">
        <v>23</v>
      </c>
      <c r="L103">
        <v>1178</v>
      </c>
      <c r="M103">
        <v>6.4737814</v>
      </c>
      <c r="N103">
        <v>74.19532928187185</v>
      </c>
      <c r="O103">
        <v>-0.3327874542731733</v>
      </c>
      <c r="P103" s="1" t="str">
        <f>HYPERLINK(".\sm_car_260116_2048\sm_car_260116_2048_102_Ca127TrN_MaLSS_DrSt_ode23t_1.png","figure")</f>
        <v>figure</v>
      </c>
      <c r="Q103" t="s">
        <v>15</v>
      </c>
    </row>
    <row r="104" spans="1:17" x14ac:dyDescent="0.25">
      <c r="A104">
        <v>103</v>
      </c>
      <c r="B104">
        <v>145</v>
      </c>
      <c r="C104" t="s">
        <v>46</v>
      </c>
      <c r="D104" t="s">
        <v>17</v>
      </c>
      <c r="E104" t="s">
        <v>50</v>
      </c>
      <c r="F104" t="s">
        <v>19</v>
      </c>
      <c r="G104" t="s">
        <v>26</v>
      </c>
      <c r="H104" t="s">
        <v>21</v>
      </c>
      <c r="I104" t="s">
        <v>22</v>
      </c>
      <c r="J104" t="s">
        <v>148</v>
      </c>
      <c r="K104" t="s">
        <v>23</v>
      </c>
      <c r="L104">
        <v>348</v>
      </c>
      <c r="M104">
        <v>12.9560703</v>
      </c>
      <c r="N104">
        <v>62.39893455644993</v>
      </c>
      <c r="O104">
        <v>1.9100960803674426E-2</v>
      </c>
      <c r="P104" s="1" t="str">
        <f>HYPERLINK(".\sm_car_260116_2048\sm_car_260116_2048_103_Ca145TrN_MaWOT_DrSt_ode23t_1.png","figure")</f>
        <v>figure</v>
      </c>
      <c r="Q104" t="s">
        <v>15</v>
      </c>
    </row>
    <row r="105" spans="1:17" x14ac:dyDescent="0.25">
      <c r="A105">
        <v>104</v>
      </c>
      <c r="B105">
        <v>145</v>
      </c>
      <c r="C105" t="s">
        <v>46</v>
      </c>
      <c r="D105" t="s">
        <v>17</v>
      </c>
      <c r="E105" t="s">
        <v>50</v>
      </c>
      <c r="F105" t="s">
        <v>19</v>
      </c>
      <c r="G105" t="s">
        <v>26</v>
      </c>
      <c r="H105" t="s">
        <v>21</v>
      </c>
      <c r="I105" t="s">
        <v>24</v>
      </c>
      <c r="J105" t="s">
        <v>148</v>
      </c>
      <c r="K105" t="s">
        <v>23</v>
      </c>
      <c r="L105">
        <v>472</v>
      </c>
      <c r="M105">
        <v>16.663110799999998</v>
      </c>
      <c r="N105">
        <v>24.926444342083546</v>
      </c>
      <c r="O105">
        <v>-4.9182368950001838E-2</v>
      </c>
      <c r="P105" s="1" t="str">
        <f>HYPERLINK(".\sm_car_260116_2048\sm_car_260116_2048_104_Ca145TrN_MaLSS_DrSt_ode23t_1.png","figure")</f>
        <v>figure</v>
      </c>
      <c r="Q105" t="s">
        <v>15</v>
      </c>
    </row>
    <row r="106" spans="1:17" x14ac:dyDescent="0.25">
      <c r="A106">
        <v>105</v>
      </c>
      <c r="B106">
        <v>184</v>
      </c>
      <c r="C106" t="s">
        <v>105</v>
      </c>
      <c r="D106" t="s">
        <v>120</v>
      </c>
      <c r="E106" t="s">
        <v>49</v>
      </c>
      <c r="F106" t="s">
        <v>19</v>
      </c>
      <c r="G106" t="s">
        <v>20</v>
      </c>
      <c r="H106" t="s">
        <v>21</v>
      </c>
      <c r="I106" t="s">
        <v>22</v>
      </c>
      <c r="J106" t="s">
        <v>148</v>
      </c>
      <c r="K106" t="s">
        <v>23</v>
      </c>
      <c r="L106">
        <v>294</v>
      </c>
      <c r="M106">
        <v>15.701285800000001</v>
      </c>
      <c r="N106">
        <v>294.7425572134149</v>
      </c>
      <c r="O106">
        <v>-1.9068658722340426E-3</v>
      </c>
      <c r="P106" s="1" t="str">
        <f>HYPERLINK(".\sm_car_260116_2048\sm_car_260116_2048_105_Ca184TrN_MaWOT_DrSt_ode23t_1.png","figure")</f>
        <v>figure</v>
      </c>
      <c r="Q106" t="s">
        <v>15</v>
      </c>
    </row>
    <row r="107" spans="1:17" x14ac:dyDescent="0.25">
      <c r="A107">
        <v>106</v>
      </c>
      <c r="B107">
        <v>184</v>
      </c>
      <c r="C107" t="s">
        <v>105</v>
      </c>
      <c r="D107" t="s">
        <v>120</v>
      </c>
      <c r="E107" t="s">
        <v>49</v>
      </c>
      <c r="F107" t="s">
        <v>19</v>
      </c>
      <c r="G107" t="s">
        <v>20</v>
      </c>
      <c r="H107" t="s">
        <v>21</v>
      </c>
      <c r="I107" t="s">
        <v>24</v>
      </c>
      <c r="J107" t="s">
        <v>148</v>
      </c>
      <c r="K107" t="s">
        <v>23</v>
      </c>
      <c r="L107">
        <v>462</v>
      </c>
      <c r="M107">
        <v>12.2637558</v>
      </c>
      <c r="N107">
        <v>103.58583909058389</v>
      </c>
      <c r="O107">
        <v>-0.20818102623877244</v>
      </c>
      <c r="P107" s="1" t="str">
        <f>HYPERLINK(".\sm_car_260116_2048\sm_car_260116_2048_106_Ca184TrN_MaLSS_DrSt_ode23t_1.png","figure")</f>
        <v>figure</v>
      </c>
      <c r="Q107" t="s">
        <v>15</v>
      </c>
    </row>
    <row r="108" spans="1:17" x14ac:dyDescent="0.25">
      <c r="A108">
        <v>107</v>
      </c>
      <c r="B108">
        <v>217</v>
      </c>
      <c r="C108" t="s">
        <v>45</v>
      </c>
      <c r="D108" t="s">
        <v>17</v>
      </c>
      <c r="E108" t="s">
        <v>107</v>
      </c>
      <c r="F108" t="s">
        <v>119</v>
      </c>
      <c r="G108" t="s">
        <v>26</v>
      </c>
      <c r="H108" t="s">
        <v>21</v>
      </c>
      <c r="I108" t="s">
        <v>22</v>
      </c>
      <c r="J108" t="s">
        <v>148</v>
      </c>
      <c r="K108" t="s">
        <v>23</v>
      </c>
      <c r="L108">
        <v>713</v>
      </c>
      <c r="M108">
        <v>27.543968899999999</v>
      </c>
      <c r="N108">
        <v>165.30884552503073</v>
      </c>
      <c r="O108">
        <v>0.26748856780369062</v>
      </c>
      <c r="P108" s="1" t="str">
        <f>HYPERLINK(".\sm_car_260116_2048\sm_car_260116_2048_107_Ca217TrN_MaWOT_DrSt_ode23t_1.png","figure")</f>
        <v>figure</v>
      </c>
      <c r="Q108" t="s">
        <v>15</v>
      </c>
    </row>
    <row r="109" spans="1:17" x14ac:dyDescent="0.25">
      <c r="A109">
        <v>108</v>
      </c>
      <c r="B109">
        <v>217</v>
      </c>
      <c r="C109" t="s">
        <v>45</v>
      </c>
      <c r="D109" t="s">
        <v>17</v>
      </c>
      <c r="E109" t="s">
        <v>107</v>
      </c>
      <c r="F109" t="s">
        <v>119</v>
      </c>
      <c r="G109" t="s">
        <v>26</v>
      </c>
      <c r="H109" t="s">
        <v>21</v>
      </c>
      <c r="I109" t="s">
        <v>24</v>
      </c>
      <c r="J109" t="s">
        <v>148</v>
      </c>
      <c r="K109" t="s">
        <v>23</v>
      </c>
      <c r="L109">
        <v>837</v>
      </c>
      <c r="M109">
        <v>37.097352000000001</v>
      </c>
      <c r="N109">
        <v>69.528442124133392</v>
      </c>
      <c r="O109">
        <v>-0.19940091569239402</v>
      </c>
      <c r="P109" s="1" t="str">
        <f>HYPERLINK(".\sm_car_260116_2048\sm_car_260116_2048_108_Ca217TrN_MaLSS_DrSt_ode23t_1.png","figure")</f>
        <v>figure</v>
      </c>
      <c r="Q109" t="s">
        <v>15</v>
      </c>
    </row>
    <row r="110" spans="1:17" x14ac:dyDescent="0.25">
      <c r="A110">
        <v>109</v>
      </c>
      <c r="B110">
        <v>12</v>
      </c>
      <c r="C110" t="s">
        <v>16</v>
      </c>
      <c r="D110" t="s">
        <v>17</v>
      </c>
      <c r="E110" t="s">
        <v>49</v>
      </c>
      <c r="F110" t="s">
        <v>28</v>
      </c>
      <c r="G110" t="s">
        <v>188</v>
      </c>
      <c r="H110" t="s">
        <v>21</v>
      </c>
      <c r="I110" t="s">
        <v>53</v>
      </c>
      <c r="J110" t="s">
        <v>148</v>
      </c>
      <c r="K110" t="s">
        <v>23</v>
      </c>
      <c r="L110">
        <v>862</v>
      </c>
      <c r="M110">
        <v>10.485828400000001</v>
      </c>
      <c r="N110">
        <v>253.74028239671537</v>
      </c>
      <c r="O110">
        <v>4.6128675442347777E-2</v>
      </c>
      <c r="P110" s="1" t="str">
        <f>HYPERLINK(".\sm_car_260116_2048\sm_car_260116_2048_109_Ca012TrN_MaDLC_DrSt_ode23t_1.png","figure")</f>
        <v>figure</v>
      </c>
      <c r="Q110" t="s">
        <v>15</v>
      </c>
    </row>
    <row r="111" spans="1:17" x14ac:dyDescent="0.25">
      <c r="A111">
        <v>110</v>
      </c>
      <c r="B111">
        <v>12</v>
      </c>
      <c r="C111" t="s">
        <v>16</v>
      </c>
      <c r="D111" t="s">
        <v>17</v>
      </c>
      <c r="E111" t="s">
        <v>49</v>
      </c>
      <c r="F111" t="s">
        <v>28</v>
      </c>
      <c r="G111" t="s">
        <v>188</v>
      </c>
      <c r="H111" t="s">
        <v>21</v>
      </c>
      <c r="I111" t="s">
        <v>54</v>
      </c>
      <c r="J111" t="s">
        <v>148</v>
      </c>
      <c r="K111" t="s">
        <v>23</v>
      </c>
      <c r="L111">
        <v>909</v>
      </c>
      <c r="M111">
        <v>14.3812544</v>
      </c>
      <c r="N111">
        <v>74.396523177571254</v>
      </c>
      <c r="O111">
        <v>0.70170607025314979</v>
      </c>
      <c r="P111" s="1" t="str">
        <f>HYPERLINK(".\sm_car_260116_2048\sm_car_260116_2048_110_Ca012TrN_MaIPA_DrSt_ode23t_1.png","figure")</f>
        <v>figure</v>
      </c>
      <c r="Q111" t="s">
        <v>15</v>
      </c>
    </row>
    <row r="112" spans="1:17" x14ac:dyDescent="0.25">
      <c r="A112">
        <v>111</v>
      </c>
      <c r="B112">
        <v>142</v>
      </c>
      <c r="C112" t="s">
        <v>45</v>
      </c>
      <c r="D112" t="s">
        <v>17</v>
      </c>
      <c r="E112" t="s">
        <v>49</v>
      </c>
      <c r="F112" t="s">
        <v>28</v>
      </c>
      <c r="G112" t="s">
        <v>26</v>
      </c>
      <c r="H112" t="s">
        <v>21</v>
      </c>
      <c r="I112" t="s">
        <v>53</v>
      </c>
      <c r="J112" t="s">
        <v>148</v>
      </c>
      <c r="K112" t="s">
        <v>23</v>
      </c>
      <c r="L112">
        <v>982</v>
      </c>
      <c r="M112">
        <v>15.7511148</v>
      </c>
      <c r="N112">
        <v>253.19405124654128</v>
      </c>
      <c r="O112">
        <v>-8.7337875570403511E-3</v>
      </c>
      <c r="P112" s="1" t="str">
        <f>HYPERLINK(".\sm_car_260116_2048\sm_car_260116_2048_111_Ca142TrN_MaDLC_DrSt_ode23t_1.png","figure")</f>
        <v>figure</v>
      </c>
      <c r="Q112" t="s">
        <v>15</v>
      </c>
    </row>
    <row r="113" spans="1:17" x14ac:dyDescent="0.25">
      <c r="A113">
        <v>112</v>
      </c>
      <c r="B113">
        <v>142</v>
      </c>
      <c r="C113" t="s">
        <v>45</v>
      </c>
      <c r="D113" t="s">
        <v>17</v>
      </c>
      <c r="E113" t="s">
        <v>49</v>
      </c>
      <c r="F113" t="s">
        <v>28</v>
      </c>
      <c r="G113" t="s">
        <v>26</v>
      </c>
      <c r="H113" t="s">
        <v>21</v>
      </c>
      <c r="I113" t="s">
        <v>54</v>
      </c>
      <c r="J113" t="s">
        <v>148</v>
      </c>
      <c r="K113" t="s">
        <v>23</v>
      </c>
      <c r="L113">
        <v>1371</v>
      </c>
      <c r="M113">
        <v>34.173917799999998</v>
      </c>
      <c r="N113">
        <v>82.599671240288458</v>
      </c>
      <c r="O113">
        <v>0.64673755072964256</v>
      </c>
      <c r="P113" s="1" t="str">
        <f>HYPERLINK(".\sm_car_260116_2048\sm_car_260116_2048_112_Ca142TrN_MaIPA_DrSt_ode23t_1.png","figure")</f>
        <v>figure</v>
      </c>
      <c r="Q113" t="s">
        <v>15</v>
      </c>
    </row>
    <row r="114" spans="1:17" x14ac:dyDescent="0.25">
      <c r="A114">
        <v>113</v>
      </c>
      <c r="B114">
        <v>145</v>
      </c>
      <c r="C114" t="s">
        <v>46</v>
      </c>
      <c r="D114" t="s">
        <v>17</v>
      </c>
      <c r="E114" t="s">
        <v>50</v>
      </c>
      <c r="F114" t="s">
        <v>19</v>
      </c>
      <c r="G114" t="s">
        <v>26</v>
      </c>
      <c r="H114" t="s">
        <v>21</v>
      </c>
      <c r="I114" t="s">
        <v>53</v>
      </c>
      <c r="J114" t="s">
        <v>148</v>
      </c>
      <c r="K114" t="s">
        <v>23</v>
      </c>
      <c r="L114">
        <v>456</v>
      </c>
      <c r="M114">
        <v>15.5244725</v>
      </c>
      <c r="N114">
        <v>253.91319581641682</v>
      </c>
      <c r="O114">
        <v>7.4963089743133704E-2</v>
      </c>
      <c r="P114" s="1" t="str">
        <f>HYPERLINK(".\sm_car_260116_2048\sm_car_260116_2048_113_Ca145TrN_MaDLC_DrSt_ode23t_1.png","figure")</f>
        <v>figure</v>
      </c>
      <c r="Q114" t="s">
        <v>15</v>
      </c>
    </row>
    <row r="115" spans="1:17" x14ac:dyDescent="0.25">
      <c r="A115">
        <v>114</v>
      </c>
      <c r="B115">
        <v>145</v>
      </c>
      <c r="C115" t="s">
        <v>46</v>
      </c>
      <c r="D115" t="s">
        <v>17</v>
      </c>
      <c r="E115" t="s">
        <v>50</v>
      </c>
      <c r="F115" t="s">
        <v>19</v>
      </c>
      <c r="G115" t="s">
        <v>26</v>
      </c>
      <c r="H115" t="s">
        <v>21</v>
      </c>
      <c r="I115" t="s">
        <v>54</v>
      </c>
      <c r="J115" t="s">
        <v>148</v>
      </c>
      <c r="K115" t="s">
        <v>23</v>
      </c>
      <c r="L115">
        <v>325</v>
      </c>
      <c r="M115">
        <v>12.647327900000001</v>
      </c>
      <c r="N115">
        <v>27.998461636590214</v>
      </c>
      <c r="O115">
        <v>1.5705800278626725E-2</v>
      </c>
      <c r="P115" s="1" t="str">
        <f>HYPERLINK(".\sm_car_260116_2048\sm_car_260116_2048_114_Ca145TrN_MaIPA_DrSt_ode23t_1.png","figure")</f>
        <v>figure</v>
      </c>
      <c r="Q115" t="s">
        <v>15</v>
      </c>
    </row>
    <row r="116" spans="1:17" x14ac:dyDescent="0.25">
      <c r="A116">
        <v>115</v>
      </c>
      <c r="B116">
        <v>184</v>
      </c>
      <c r="C116" t="s">
        <v>105</v>
      </c>
      <c r="D116" t="s">
        <v>120</v>
      </c>
      <c r="E116" t="s">
        <v>49</v>
      </c>
      <c r="F116" t="s">
        <v>19</v>
      </c>
      <c r="G116" t="s">
        <v>20</v>
      </c>
      <c r="H116" t="s">
        <v>21</v>
      </c>
      <c r="I116" t="s">
        <v>53</v>
      </c>
      <c r="J116" t="s">
        <v>148</v>
      </c>
      <c r="K116" t="s">
        <v>23</v>
      </c>
      <c r="L116">
        <v>378</v>
      </c>
      <c r="M116">
        <v>10.5866395</v>
      </c>
      <c r="N116">
        <v>253.81512681897908</v>
      </c>
      <c r="O116">
        <v>1.0987491951262474E-2</v>
      </c>
      <c r="P116" s="1" t="str">
        <f>HYPERLINK(".\sm_car_260116_2048\sm_car_260116_2048_115_Ca184TrN_MaDLC_DrSt_ode23t_1.png","figure")</f>
        <v>figure</v>
      </c>
      <c r="Q116" t="s">
        <v>15</v>
      </c>
    </row>
    <row r="117" spans="1:17" x14ac:dyDescent="0.25">
      <c r="A117">
        <v>116</v>
      </c>
      <c r="B117">
        <v>184</v>
      </c>
      <c r="C117" t="s">
        <v>105</v>
      </c>
      <c r="D117" t="s">
        <v>120</v>
      </c>
      <c r="E117" t="s">
        <v>49</v>
      </c>
      <c r="F117" t="s">
        <v>19</v>
      </c>
      <c r="G117" t="s">
        <v>20</v>
      </c>
      <c r="H117" t="s">
        <v>21</v>
      </c>
      <c r="I117" t="s">
        <v>54</v>
      </c>
      <c r="J117" t="s">
        <v>148</v>
      </c>
      <c r="K117" t="s">
        <v>23</v>
      </c>
      <c r="L117">
        <v>304</v>
      </c>
      <c r="M117">
        <v>11.966106</v>
      </c>
      <c r="N117">
        <v>55.268394407370316</v>
      </c>
      <c r="O117">
        <v>5.7474368071896874E-3</v>
      </c>
      <c r="P117" s="1" t="str">
        <f>HYPERLINK(".\sm_car_260116_2048\sm_car_260116_2048_116_Ca184TrN_MaIPA_DrSt_ode23t_1.png","figure")</f>
        <v>figure</v>
      </c>
      <c r="Q117" t="s">
        <v>15</v>
      </c>
    </row>
    <row r="118" spans="1:17" x14ac:dyDescent="0.25">
      <c r="A118">
        <v>117</v>
      </c>
      <c r="B118">
        <v>204</v>
      </c>
      <c r="C118" t="s">
        <v>105</v>
      </c>
      <c r="D118" t="s">
        <v>106</v>
      </c>
      <c r="E118" t="s">
        <v>18</v>
      </c>
      <c r="F118" t="s">
        <v>19</v>
      </c>
      <c r="G118" t="s">
        <v>20</v>
      </c>
      <c r="H118" t="s">
        <v>21</v>
      </c>
      <c r="I118" t="s">
        <v>53</v>
      </c>
      <c r="J118" t="s">
        <v>148</v>
      </c>
      <c r="K118" t="s">
        <v>23</v>
      </c>
      <c r="L118">
        <v>1846</v>
      </c>
      <c r="M118">
        <v>25.638929399999999</v>
      </c>
      <c r="N118">
        <v>254.66277026108662</v>
      </c>
      <c r="O118">
        <v>1.8069888375600307E-2</v>
      </c>
      <c r="P118" s="1" t="str">
        <f>HYPERLINK(".\sm_car_260116_2048\sm_car_260116_2048_117_Ca204TrN_MaDLC_DrSt_ode23t_1.png","figure")</f>
        <v>figure</v>
      </c>
      <c r="Q118" t="s">
        <v>15</v>
      </c>
    </row>
    <row r="119" spans="1:17" x14ac:dyDescent="0.25">
      <c r="A119">
        <v>118</v>
      </c>
      <c r="B119">
        <v>204</v>
      </c>
      <c r="C119" t="s">
        <v>105</v>
      </c>
      <c r="D119" t="s">
        <v>106</v>
      </c>
      <c r="E119" t="s">
        <v>18</v>
      </c>
      <c r="F119" t="s">
        <v>19</v>
      </c>
      <c r="G119" t="s">
        <v>20</v>
      </c>
      <c r="H119" t="s">
        <v>21</v>
      </c>
      <c r="I119" t="s">
        <v>54</v>
      </c>
      <c r="J119" t="s">
        <v>148</v>
      </c>
      <c r="K119" t="s">
        <v>23</v>
      </c>
      <c r="L119">
        <v>663</v>
      </c>
      <c r="M119">
        <v>10.229605400000001</v>
      </c>
      <c r="N119">
        <v>26.034582908336471</v>
      </c>
      <c r="O119">
        <v>9.6641497332310318E-3</v>
      </c>
      <c r="P119" s="1" t="str">
        <f>HYPERLINK(".\sm_car_260116_2048\sm_car_260116_2048_118_Ca204TrN_MaIPA_DrSt_ode23t_1.png","figure")</f>
        <v>figure</v>
      </c>
      <c r="Q119" t="s">
        <v>15</v>
      </c>
    </row>
    <row r="120" spans="1:17" x14ac:dyDescent="0.25">
      <c r="A120">
        <v>119</v>
      </c>
      <c r="B120">
        <v>12</v>
      </c>
      <c r="C120" t="s">
        <v>16</v>
      </c>
      <c r="D120" t="s">
        <v>17</v>
      </c>
      <c r="E120" t="s">
        <v>49</v>
      </c>
      <c r="F120" t="s">
        <v>28</v>
      </c>
      <c r="G120" t="s">
        <v>188</v>
      </c>
      <c r="H120" t="s">
        <v>21</v>
      </c>
      <c r="I120" t="s">
        <v>55</v>
      </c>
      <c r="J120" t="s">
        <v>148</v>
      </c>
      <c r="K120" t="s">
        <v>23</v>
      </c>
      <c r="L120">
        <v>2564</v>
      </c>
      <c r="M120">
        <v>26.5859351</v>
      </c>
      <c r="N120">
        <v>-1.9248232621011413E-2</v>
      </c>
      <c r="O120">
        <v>-0.64595638755339069</v>
      </c>
      <c r="P120" s="1" t="str">
        <f>HYPERLINK(".\sm_car_260116_2048\sm_car_260116_2048_119_Ca012TrN_MaMPK_DrSt_ode23t_1.png","figure")</f>
        <v>figure</v>
      </c>
      <c r="Q120" t="s">
        <v>15</v>
      </c>
    </row>
    <row r="121" spans="1:17" x14ac:dyDescent="0.25">
      <c r="A121">
        <v>120</v>
      </c>
      <c r="B121">
        <v>12</v>
      </c>
      <c r="C121" t="s">
        <v>16</v>
      </c>
      <c r="D121" t="s">
        <v>17</v>
      </c>
      <c r="E121" t="s">
        <v>49</v>
      </c>
      <c r="F121" t="s">
        <v>28</v>
      </c>
      <c r="G121" t="s">
        <v>188</v>
      </c>
      <c r="H121" t="s">
        <v>21</v>
      </c>
      <c r="I121" t="s">
        <v>55</v>
      </c>
      <c r="J121" t="s">
        <v>149</v>
      </c>
      <c r="K121" t="s">
        <v>23</v>
      </c>
      <c r="L121">
        <v>2387</v>
      </c>
      <c r="M121">
        <v>26.1610148</v>
      </c>
      <c r="N121">
        <v>-8.052857031126015E-3</v>
      </c>
      <c r="O121">
        <v>-3.7796745813725517E-2</v>
      </c>
      <c r="P121" s="1" t="str">
        <f>HYPERLINK(".\sm_car_260116_2048\sm_car_260116_2048_120_Ca012TrN_MaMPK_DrSt_ode23t_1.png","figure")</f>
        <v>figure</v>
      </c>
      <c r="Q121" t="s">
        <v>15</v>
      </c>
    </row>
    <row r="122" spans="1:17" x14ac:dyDescent="0.25">
      <c r="A122">
        <v>121</v>
      </c>
      <c r="B122">
        <v>12</v>
      </c>
      <c r="C122" t="s">
        <v>16</v>
      </c>
      <c r="D122" t="s">
        <v>17</v>
      </c>
      <c r="E122" t="s">
        <v>49</v>
      </c>
      <c r="F122" t="s">
        <v>28</v>
      </c>
      <c r="G122" t="s">
        <v>188</v>
      </c>
      <c r="H122" t="s">
        <v>21</v>
      </c>
      <c r="I122" t="s">
        <v>56</v>
      </c>
      <c r="J122" t="s">
        <v>148</v>
      </c>
      <c r="K122" t="s">
        <v>23</v>
      </c>
      <c r="L122">
        <v>2395</v>
      </c>
      <c r="M122">
        <v>26.574416899999999</v>
      </c>
      <c r="N122">
        <v>0.78421616530704341</v>
      </c>
      <c r="O122">
        <v>-0.33090181476282393</v>
      </c>
      <c r="P122" s="1" t="str">
        <f>HYPERLINK(".\sm_car_260116_2048\sm_car_260116_2048_121_Ca012TrN_MaMPC_DrSt_ode23t_1.png","figure")</f>
        <v>figure</v>
      </c>
      <c r="Q122" t="s">
        <v>15</v>
      </c>
    </row>
    <row r="123" spans="1:17" x14ac:dyDescent="0.25">
      <c r="A123">
        <v>122</v>
      </c>
      <c r="B123">
        <v>12</v>
      </c>
      <c r="C123" t="s">
        <v>16</v>
      </c>
      <c r="D123" t="s">
        <v>17</v>
      </c>
      <c r="E123" t="s">
        <v>49</v>
      </c>
      <c r="F123" t="s">
        <v>28</v>
      </c>
      <c r="G123" t="s">
        <v>188</v>
      </c>
      <c r="H123" t="s">
        <v>21</v>
      </c>
      <c r="I123" t="s">
        <v>56</v>
      </c>
      <c r="J123" t="s">
        <v>149</v>
      </c>
      <c r="K123" t="s">
        <v>23</v>
      </c>
      <c r="L123">
        <v>2258</v>
      </c>
      <c r="M123">
        <v>25.301289100000002</v>
      </c>
      <c r="N123">
        <v>0.78825932014345135</v>
      </c>
      <c r="O123">
        <v>0.10455827356250026</v>
      </c>
      <c r="P123" s="1" t="str">
        <f>HYPERLINK(".\sm_car_260116_2048\sm_car_260116_2048_122_Ca012TrN_MaMPC_DrSt_ode23t_1.png","figure")</f>
        <v>figure</v>
      </c>
      <c r="Q123" t="s">
        <v>15</v>
      </c>
    </row>
    <row r="124" spans="1:17" x14ac:dyDescent="0.25">
      <c r="A124">
        <v>123</v>
      </c>
      <c r="B124">
        <v>142</v>
      </c>
      <c r="C124" t="s">
        <v>45</v>
      </c>
      <c r="D124" t="s">
        <v>17</v>
      </c>
      <c r="E124" t="s">
        <v>49</v>
      </c>
      <c r="F124" t="s">
        <v>28</v>
      </c>
      <c r="G124" t="s">
        <v>26</v>
      </c>
      <c r="H124" t="s">
        <v>21</v>
      </c>
      <c r="I124" t="s">
        <v>55</v>
      </c>
      <c r="J124" t="s">
        <v>148</v>
      </c>
      <c r="K124" t="s">
        <v>23</v>
      </c>
      <c r="L124">
        <v>2538</v>
      </c>
      <c r="M124">
        <v>33.2575827</v>
      </c>
      <c r="N124">
        <v>-1.8051981613256482E-2</v>
      </c>
      <c r="O124">
        <v>-0.55888747053760057</v>
      </c>
      <c r="P124" s="1" t="str">
        <f>HYPERLINK(".\sm_car_260116_2048\sm_car_260116_2048_123_Ca142TrN_MaMPK_DrSt_ode23t_1.png","figure")</f>
        <v>figure</v>
      </c>
      <c r="Q124" t="s">
        <v>15</v>
      </c>
    </row>
    <row r="125" spans="1:17" x14ac:dyDescent="0.25">
      <c r="A125">
        <v>124</v>
      </c>
      <c r="B125">
        <v>142</v>
      </c>
      <c r="C125" t="s">
        <v>45</v>
      </c>
      <c r="D125" t="s">
        <v>17</v>
      </c>
      <c r="E125" t="s">
        <v>49</v>
      </c>
      <c r="F125" t="s">
        <v>28</v>
      </c>
      <c r="G125" t="s">
        <v>26</v>
      </c>
      <c r="H125" t="s">
        <v>21</v>
      </c>
      <c r="I125" t="s">
        <v>55</v>
      </c>
      <c r="J125" t="s">
        <v>149</v>
      </c>
      <c r="K125" t="s">
        <v>23</v>
      </c>
      <c r="L125">
        <v>2897</v>
      </c>
      <c r="M125">
        <v>33.978799799999997</v>
      </c>
      <c r="N125">
        <v>-1.0835519659281742E-2</v>
      </c>
      <c r="O125">
        <v>-8.1604768373846379E-2</v>
      </c>
      <c r="P125" s="1" t="str">
        <f>HYPERLINK(".\sm_car_260116_2048\sm_car_260116_2048_124_Ca142TrN_MaMPK_DrSt_ode23t_1.png","figure")</f>
        <v>figure</v>
      </c>
      <c r="Q125" t="s">
        <v>15</v>
      </c>
    </row>
    <row r="126" spans="1:17" x14ac:dyDescent="0.25">
      <c r="A126">
        <v>125</v>
      </c>
      <c r="B126">
        <v>142</v>
      </c>
      <c r="C126" t="s">
        <v>45</v>
      </c>
      <c r="D126" t="s">
        <v>17</v>
      </c>
      <c r="E126" t="s">
        <v>49</v>
      </c>
      <c r="F126" t="s">
        <v>28</v>
      </c>
      <c r="G126" t="s">
        <v>26</v>
      </c>
      <c r="H126" t="s">
        <v>21</v>
      </c>
      <c r="I126" t="s">
        <v>56</v>
      </c>
      <c r="J126" t="s">
        <v>148</v>
      </c>
      <c r="K126" t="s">
        <v>23</v>
      </c>
      <c r="L126">
        <v>2396</v>
      </c>
      <c r="M126">
        <v>32.752777000000002</v>
      </c>
      <c r="N126">
        <v>0.78867203806457908</v>
      </c>
      <c r="O126">
        <v>-0.37207849438824997</v>
      </c>
      <c r="P126" s="1" t="str">
        <f>HYPERLINK(".\sm_car_260116_2048\sm_car_260116_2048_125_Ca142TrN_MaMPC_DrSt_ode23t_1.png","figure")</f>
        <v>figure</v>
      </c>
      <c r="Q126" t="s">
        <v>15</v>
      </c>
    </row>
    <row r="127" spans="1:17" x14ac:dyDescent="0.25">
      <c r="A127">
        <v>126</v>
      </c>
      <c r="B127">
        <v>142</v>
      </c>
      <c r="C127" t="s">
        <v>45</v>
      </c>
      <c r="D127" t="s">
        <v>17</v>
      </c>
      <c r="E127" t="s">
        <v>49</v>
      </c>
      <c r="F127" t="s">
        <v>28</v>
      </c>
      <c r="G127" t="s">
        <v>26</v>
      </c>
      <c r="H127" t="s">
        <v>21</v>
      </c>
      <c r="I127" t="s">
        <v>56</v>
      </c>
      <c r="J127" t="s">
        <v>149</v>
      </c>
      <c r="K127" t="s">
        <v>23</v>
      </c>
      <c r="L127">
        <v>2768</v>
      </c>
      <c r="M127">
        <v>39.745430599999999</v>
      </c>
      <c r="N127">
        <v>0.77428146380782259</v>
      </c>
      <c r="O127">
        <v>1.6655098835901085E-2</v>
      </c>
      <c r="P127" s="1" t="str">
        <f>HYPERLINK(".\sm_car_260116_2048\sm_car_260116_2048_126_Ca142TrN_MaMPC_DrSt_ode23t_1.png","figure")</f>
        <v>figure</v>
      </c>
      <c r="Q127" t="s">
        <v>15</v>
      </c>
    </row>
    <row r="128" spans="1:17" x14ac:dyDescent="0.25">
      <c r="A128">
        <v>127</v>
      </c>
      <c r="B128">
        <v>116</v>
      </c>
      <c r="C128" t="s">
        <v>16</v>
      </c>
      <c r="D128" t="s">
        <v>35</v>
      </c>
      <c r="E128" t="s">
        <v>18</v>
      </c>
      <c r="F128" t="s">
        <v>28</v>
      </c>
      <c r="G128" t="s">
        <v>188</v>
      </c>
      <c r="H128" t="s">
        <v>21</v>
      </c>
      <c r="I128" t="s">
        <v>55</v>
      </c>
      <c r="J128" t="s">
        <v>148</v>
      </c>
      <c r="K128" t="s">
        <v>23</v>
      </c>
      <c r="L128">
        <v>2865</v>
      </c>
      <c r="M128">
        <v>15.0802934</v>
      </c>
      <c r="N128">
        <v>-1.6169286702505836E-2</v>
      </c>
      <c r="O128">
        <v>-0.54248772235454312</v>
      </c>
      <c r="P128" s="1" t="str">
        <f>HYPERLINK(".\sm_car_260116_2048\sm_car_260116_2048_127_Ca116TrN_MaMPK_DrSt_ode23t_1.png","figure")</f>
        <v>figure</v>
      </c>
      <c r="Q128" t="s">
        <v>15</v>
      </c>
    </row>
    <row r="129" spans="1:17" x14ac:dyDescent="0.25">
      <c r="A129">
        <v>128</v>
      </c>
      <c r="B129">
        <v>116</v>
      </c>
      <c r="C129" t="s">
        <v>16</v>
      </c>
      <c r="D129" t="s">
        <v>35</v>
      </c>
      <c r="E129" t="s">
        <v>18</v>
      </c>
      <c r="F129" t="s">
        <v>28</v>
      </c>
      <c r="G129" t="s">
        <v>188</v>
      </c>
      <c r="H129" t="s">
        <v>21</v>
      </c>
      <c r="I129" t="s">
        <v>55</v>
      </c>
      <c r="J129" t="s">
        <v>149</v>
      </c>
      <c r="K129" t="s">
        <v>23</v>
      </c>
      <c r="L129">
        <v>2783</v>
      </c>
      <c r="M129">
        <v>14.0817517</v>
      </c>
      <c r="N129">
        <v>-1.8917611355511205E-2</v>
      </c>
      <c r="O129">
        <v>-0.53539972944495484</v>
      </c>
      <c r="P129" s="1" t="str">
        <f>HYPERLINK(".\sm_car_260116_2048\sm_car_260116_2048_128_Ca116TrN_MaMPK_DrSt_ode23t_1.png","figure")</f>
        <v>figure</v>
      </c>
      <c r="Q129" t="s">
        <v>15</v>
      </c>
    </row>
    <row r="130" spans="1:17" x14ac:dyDescent="0.25">
      <c r="A130">
        <v>129</v>
      </c>
      <c r="B130">
        <v>116</v>
      </c>
      <c r="C130" t="s">
        <v>16</v>
      </c>
      <c r="D130" t="s">
        <v>35</v>
      </c>
      <c r="E130" t="s">
        <v>18</v>
      </c>
      <c r="F130" t="s">
        <v>28</v>
      </c>
      <c r="G130" t="s">
        <v>188</v>
      </c>
      <c r="H130" t="s">
        <v>21</v>
      </c>
      <c r="I130" t="s">
        <v>56</v>
      </c>
      <c r="J130" t="s">
        <v>148</v>
      </c>
      <c r="K130" t="s">
        <v>23</v>
      </c>
      <c r="L130">
        <v>2758</v>
      </c>
      <c r="M130">
        <v>14.9483736</v>
      </c>
      <c r="N130">
        <v>0.78834584458821411</v>
      </c>
      <c r="O130">
        <v>-0.36279364828843169</v>
      </c>
      <c r="P130" s="1" t="str">
        <f>HYPERLINK(".\sm_car_260116_2048\sm_car_260116_2048_129_Ca116TrN_MaMPC_DrSt_ode23t_1.png","figure")</f>
        <v>figure</v>
      </c>
      <c r="Q130" t="s">
        <v>15</v>
      </c>
    </row>
    <row r="131" spans="1:17" x14ac:dyDescent="0.25">
      <c r="A131">
        <v>130</v>
      </c>
      <c r="B131">
        <v>116</v>
      </c>
      <c r="C131" t="s">
        <v>16</v>
      </c>
      <c r="D131" t="s">
        <v>35</v>
      </c>
      <c r="E131" t="s">
        <v>18</v>
      </c>
      <c r="F131" t="s">
        <v>28</v>
      </c>
      <c r="G131" t="s">
        <v>188</v>
      </c>
      <c r="H131" t="s">
        <v>21</v>
      </c>
      <c r="I131" t="s">
        <v>56</v>
      </c>
      <c r="J131" t="s">
        <v>149</v>
      </c>
      <c r="K131" t="s">
        <v>23</v>
      </c>
      <c r="L131">
        <v>2617</v>
      </c>
      <c r="M131">
        <v>14.0218148</v>
      </c>
      <c r="N131">
        <v>0.78698557577253325</v>
      </c>
      <c r="O131">
        <v>0.44065061780673592</v>
      </c>
      <c r="P131" s="1" t="str">
        <f>HYPERLINK(".\sm_car_260116_2048\sm_car_260116_2048_130_Ca116TrN_MaMPC_DrSt_ode23t_1.png","figure")</f>
        <v>figure</v>
      </c>
      <c r="Q131" t="s">
        <v>15</v>
      </c>
    </row>
    <row r="132" spans="1:17" x14ac:dyDescent="0.25">
      <c r="A132">
        <v>131</v>
      </c>
      <c r="B132">
        <v>143</v>
      </c>
      <c r="C132" t="s">
        <v>46</v>
      </c>
      <c r="D132" t="s">
        <v>17</v>
      </c>
      <c r="E132" t="s">
        <v>47</v>
      </c>
      <c r="F132" t="s">
        <v>19</v>
      </c>
      <c r="G132" t="s">
        <v>26</v>
      </c>
      <c r="H132" t="s">
        <v>21</v>
      </c>
      <c r="I132" t="s">
        <v>55</v>
      </c>
      <c r="J132" t="s">
        <v>148</v>
      </c>
      <c r="K132" t="s">
        <v>23</v>
      </c>
      <c r="L132">
        <v>2472</v>
      </c>
      <c r="M132">
        <v>44.709766100000003</v>
      </c>
      <c r="N132">
        <v>-1.7112393564500492E-2</v>
      </c>
      <c r="O132">
        <v>-0.40414862234756033</v>
      </c>
      <c r="P132" s="1" t="str">
        <f>HYPERLINK(".\sm_car_260116_2048\sm_car_260116_2048_131_Ca143TrN_MaMPK_DrSt_ode23t_1.png","figure")</f>
        <v>figure</v>
      </c>
      <c r="Q132" t="s">
        <v>15</v>
      </c>
    </row>
    <row r="133" spans="1:17" x14ac:dyDescent="0.25">
      <c r="A133">
        <v>132</v>
      </c>
      <c r="B133">
        <v>143</v>
      </c>
      <c r="C133" t="s">
        <v>46</v>
      </c>
      <c r="D133" t="s">
        <v>17</v>
      </c>
      <c r="E133" t="s">
        <v>47</v>
      </c>
      <c r="F133" t="s">
        <v>19</v>
      </c>
      <c r="G133" t="s">
        <v>26</v>
      </c>
      <c r="H133" t="s">
        <v>21</v>
      </c>
      <c r="I133" t="s">
        <v>55</v>
      </c>
      <c r="J133" t="s">
        <v>149</v>
      </c>
      <c r="K133" t="s">
        <v>23</v>
      </c>
      <c r="L133">
        <v>2183</v>
      </c>
      <c r="M133">
        <v>41.791817199999997</v>
      </c>
      <c r="N133">
        <v>-1.0651021200262942E-2</v>
      </c>
      <c r="O133">
        <v>-9.2479161058485554E-2</v>
      </c>
      <c r="P133" s="1" t="str">
        <f>HYPERLINK(".\sm_car_260116_2048\sm_car_260116_2048_132_Ca143TrN_MaMPK_DrSt_ode23t_1.png","figure")</f>
        <v>figure</v>
      </c>
      <c r="Q133" t="s">
        <v>15</v>
      </c>
    </row>
    <row r="134" spans="1:17" x14ac:dyDescent="0.25">
      <c r="A134">
        <v>133</v>
      </c>
      <c r="B134">
        <v>143</v>
      </c>
      <c r="C134" t="s">
        <v>46</v>
      </c>
      <c r="D134" t="s">
        <v>17</v>
      </c>
      <c r="E134" t="s">
        <v>47</v>
      </c>
      <c r="F134" t="s">
        <v>19</v>
      </c>
      <c r="G134" t="s">
        <v>26</v>
      </c>
      <c r="H134" t="s">
        <v>21</v>
      </c>
      <c r="I134" t="s">
        <v>56</v>
      </c>
      <c r="J134" t="s">
        <v>148</v>
      </c>
      <c r="K134" t="s">
        <v>23</v>
      </c>
      <c r="L134">
        <v>2347</v>
      </c>
      <c r="M134">
        <v>46.453641400000002</v>
      </c>
      <c r="N134">
        <v>0.78456697794497643</v>
      </c>
      <c r="O134">
        <v>-0.27167405438577957</v>
      </c>
      <c r="P134" s="1" t="str">
        <f>HYPERLINK(".\sm_car_260116_2048\sm_car_260116_2048_133_Ca143TrN_MaMPC_DrSt_ode23t_1.png","figure")</f>
        <v>figure</v>
      </c>
      <c r="Q134" t="s">
        <v>15</v>
      </c>
    </row>
    <row r="135" spans="1:17" x14ac:dyDescent="0.25">
      <c r="A135">
        <v>134</v>
      </c>
      <c r="B135">
        <v>143</v>
      </c>
      <c r="C135" t="s">
        <v>46</v>
      </c>
      <c r="D135" t="s">
        <v>17</v>
      </c>
      <c r="E135" t="s">
        <v>47</v>
      </c>
      <c r="F135" t="s">
        <v>19</v>
      </c>
      <c r="G135" t="s">
        <v>26</v>
      </c>
      <c r="H135" t="s">
        <v>21</v>
      </c>
      <c r="I135" t="s">
        <v>56</v>
      </c>
      <c r="J135" t="s">
        <v>149</v>
      </c>
      <c r="K135" t="s">
        <v>23</v>
      </c>
      <c r="L135">
        <v>2116</v>
      </c>
      <c r="M135">
        <v>45.149688599999998</v>
      </c>
      <c r="N135">
        <v>0.78616096795093604</v>
      </c>
      <c r="O135">
        <v>-0.15463125213339543</v>
      </c>
      <c r="P135" s="1" t="str">
        <f>HYPERLINK(".\sm_car_260116_2048\sm_car_260116_2048_134_Ca143TrN_MaMPC_DrSt_ode23t_1.png","figure")</f>
        <v>figure</v>
      </c>
      <c r="Q135" t="s">
        <v>15</v>
      </c>
    </row>
    <row r="136" spans="1:17" x14ac:dyDescent="0.25">
      <c r="A136">
        <v>135</v>
      </c>
      <c r="B136">
        <v>166</v>
      </c>
      <c r="C136" t="s">
        <v>45</v>
      </c>
      <c r="D136" t="s">
        <v>57</v>
      </c>
      <c r="E136" t="s">
        <v>18</v>
      </c>
      <c r="F136" t="s">
        <v>19</v>
      </c>
      <c r="G136" t="s">
        <v>26</v>
      </c>
      <c r="H136" t="s">
        <v>21</v>
      </c>
      <c r="I136" t="s">
        <v>55</v>
      </c>
      <c r="J136" t="s">
        <v>148</v>
      </c>
      <c r="K136" t="s">
        <v>23</v>
      </c>
      <c r="L136">
        <v>3169</v>
      </c>
      <c r="M136">
        <v>53.314666500000001</v>
      </c>
      <c r="N136">
        <v>-1.4598618471458588E-2</v>
      </c>
      <c r="O136">
        <v>-0.57266344522178747</v>
      </c>
      <c r="P136" s="1" t="str">
        <f>HYPERLINK(".\sm_car_260116_2048\sm_car_260116_2048_135_Ca166TrN_MaMPK_DrSt_ode23t_1.png","figure")</f>
        <v>figure</v>
      </c>
      <c r="Q136" t="s">
        <v>15</v>
      </c>
    </row>
    <row r="137" spans="1:17" x14ac:dyDescent="0.25">
      <c r="A137">
        <v>136</v>
      </c>
      <c r="B137">
        <v>166</v>
      </c>
      <c r="C137" t="s">
        <v>45</v>
      </c>
      <c r="D137" t="s">
        <v>57</v>
      </c>
      <c r="E137" t="s">
        <v>18</v>
      </c>
      <c r="F137" t="s">
        <v>19</v>
      </c>
      <c r="G137" t="s">
        <v>26</v>
      </c>
      <c r="H137" t="s">
        <v>21</v>
      </c>
      <c r="I137" t="s">
        <v>55</v>
      </c>
      <c r="J137" t="s">
        <v>149</v>
      </c>
      <c r="K137" t="s">
        <v>23</v>
      </c>
      <c r="L137">
        <v>3740</v>
      </c>
      <c r="M137">
        <v>57.012829199999999</v>
      </c>
      <c r="N137">
        <v>1.7404082918322239E-3</v>
      </c>
      <c r="O137">
        <v>-8.4585511034599922E-2</v>
      </c>
      <c r="P137" s="1" t="str">
        <f>HYPERLINK(".\sm_car_260116_2048\sm_car_260116_2048_136_Ca166TrN_MaMPK_DrSt_ode23t_1.png","figure")</f>
        <v>figure</v>
      </c>
      <c r="Q137" t="s">
        <v>15</v>
      </c>
    </row>
    <row r="138" spans="1:17" x14ac:dyDescent="0.25">
      <c r="A138">
        <v>137</v>
      </c>
      <c r="B138">
        <v>166</v>
      </c>
      <c r="C138" t="s">
        <v>45</v>
      </c>
      <c r="D138" t="s">
        <v>57</v>
      </c>
      <c r="E138" t="s">
        <v>18</v>
      </c>
      <c r="F138" t="s">
        <v>19</v>
      </c>
      <c r="G138" t="s">
        <v>26</v>
      </c>
      <c r="H138" t="s">
        <v>21</v>
      </c>
      <c r="I138" t="s">
        <v>56</v>
      </c>
      <c r="J138" t="s">
        <v>148</v>
      </c>
      <c r="K138" t="s">
        <v>23</v>
      </c>
      <c r="L138">
        <v>3006</v>
      </c>
      <c r="M138">
        <v>51.997016600000002</v>
      </c>
      <c r="N138">
        <v>0.78848138215043662</v>
      </c>
      <c r="O138">
        <v>-0.36181703170841029</v>
      </c>
      <c r="P138" s="1" t="str">
        <f>HYPERLINK(".\sm_car_260116_2048\sm_car_260116_2048_137_Ca166TrN_MaMPC_DrSt_ode23t_1.png","figure")</f>
        <v>figure</v>
      </c>
      <c r="Q138" t="s">
        <v>15</v>
      </c>
    </row>
    <row r="139" spans="1:17" x14ac:dyDescent="0.25">
      <c r="A139">
        <v>138</v>
      </c>
      <c r="B139">
        <v>166</v>
      </c>
      <c r="C139" t="s">
        <v>45</v>
      </c>
      <c r="D139" t="s">
        <v>57</v>
      </c>
      <c r="E139" t="s">
        <v>18</v>
      </c>
      <c r="F139" t="s">
        <v>19</v>
      </c>
      <c r="G139" t="s">
        <v>26</v>
      </c>
      <c r="H139" t="s">
        <v>21</v>
      </c>
      <c r="I139" t="s">
        <v>56</v>
      </c>
      <c r="J139" t="s">
        <v>149</v>
      </c>
      <c r="K139" t="s">
        <v>23</v>
      </c>
      <c r="L139">
        <v>3483</v>
      </c>
      <c r="M139">
        <v>59.473304900000002</v>
      </c>
      <c r="N139">
        <v>0.78841300129465886</v>
      </c>
      <c r="O139">
        <v>2.5827174912524505E-2</v>
      </c>
      <c r="P139" s="1" t="str">
        <f>HYPERLINK(".\sm_car_260116_2048\sm_car_260116_2048_138_Ca166TrN_MaMPC_DrSt_ode23t_1.png","figure")</f>
        <v>figure</v>
      </c>
      <c r="Q139" t="s">
        <v>15</v>
      </c>
    </row>
    <row r="140" spans="1:17" x14ac:dyDescent="0.25">
      <c r="A140">
        <v>139</v>
      </c>
      <c r="B140">
        <v>169</v>
      </c>
      <c r="C140" t="s">
        <v>45</v>
      </c>
      <c r="D140" t="s">
        <v>58</v>
      </c>
      <c r="E140" t="s">
        <v>49</v>
      </c>
      <c r="F140" t="s">
        <v>19</v>
      </c>
      <c r="G140" t="s">
        <v>26</v>
      </c>
      <c r="H140" t="s">
        <v>21</v>
      </c>
      <c r="I140" t="s">
        <v>55</v>
      </c>
      <c r="J140" t="s">
        <v>148</v>
      </c>
      <c r="K140" t="s">
        <v>23</v>
      </c>
      <c r="L140">
        <v>3228</v>
      </c>
      <c r="M140">
        <v>49.784728100000002</v>
      </c>
      <c r="N140">
        <v>-1.7995806238193593E-2</v>
      </c>
      <c r="O140">
        <v>-0.5732775180349714</v>
      </c>
      <c r="P140" s="1" t="str">
        <f>HYPERLINK(".\sm_car_260116_2048\sm_car_260116_2048_139_Ca169TrN_MaMPK_DrSt_ode23t_1.png","figure")</f>
        <v>figure</v>
      </c>
      <c r="Q140" t="s">
        <v>15</v>
      </c>
    </row>
    <row r="141" spans="1:17" x14ac:dyDescent="0.25">
      <c r="A141">
        <v>140</v>
      </c>
      <c r="B141">
        <v>169</v>
      </c>
      <c r="C141" t="s">
        <v>45</v>
      </c>
      <c r="D141" t="s">
        <v>58</v>
      </c>
      <c r="E141" t="s">
        <v>49</v>
      </c>
      <c r="F141" t="s">
        <v>19</v>
      </c>
      <c r="G141" t="s">
        <v>26</v>
      </c>
      <c r="H141" t="s">
        <v>21</v>
      </c>
      <c r="I141" t="s">
        <v>55</v>
      </c>
      <c r="J141" t="s">
        <v>149</v>
      </c>
      <c r="K141" t="s">
        <v>23</v>
      </c>
      <c r="L141">
        <v>3758</v>
      </c>
      <c r="M141">
        <v>56.402121899999997</v>
      </c>
      <c r="N141">
        <v>-6.0265526567103156E-3</v>
      </c>
      <c r="O141">
        <v>-8.4661057577259516E-2</v>
      </c>
      <c r="P141" s="1" t="str">
        <f>HYPERLINK(".\sm_car_260116_2048\sm_car_260116_2048_140_Ca169TrN_MaMPK_DrSt_ode23t_1.png","figure")</f>
        <v>figure</v>
      </c>
      <c r="Q141" t="s">
        <v>15</v>
      </c>
    </row>
    <row r="142" spans="1:17" x14ac:dyDescent="0.25">
      <c r="A142">
        <v>141</v>
      </c>
      <c r="B142">
        <v>169</v>
      </c>
      <c r="C142" t="s">
        <v>45</v>
      </c>
      <c r="D142" t="s">
        <v>58</v>
      </c>
      <c r="E142" t="s">
        <v>49</v>
      </c>
      <c r="F142" t="s">
        <v>19</v>
      </c>
      <c r="G142" t="s">
        <v>26</v>
      </c>
      <c r="H142" t="s">
        <v>21</v>
      </c>
      <c r="I142" t="s">
        <v>56</v>
      </c>
      <c r="J142" t="s">
        <v>148</v>
      </c>
      <c r="K142" t="s">
        <v>23</v>
      </c>
      <c r="L142">
        <v>2998</v>
      </c>
      <c r="M142">
        <v>48.385516099999997</v>
      </c>
      <c r="N142">
        <v>0.78768940314170877</v>
      </c>
      <c r="O142">
        <v>-0.36132304534538867</v>
      </c>
      <c r="P142" s="1" t="str">
        <f>HYPERLINK(".\sm_car_260116_2048\sm_car_260116_2048_141_Ca169TrN_MaMPC_DrSt_ode23t_1.png","figure")</f>
        <v>figure</v>
      </c>
      <c r="Q142" t="s">
        <v>15</v>
      </c>
    </row>
    <row r="143" spans="1:17" x14ac:dyDescent="0.25">
      <c r="A143">
        <v>142</v>
      </c>
      <c r="B143">
        <v>169</v>
      </c>
      <c r="C143" t="s">
        <v>45</v>
      </c>
      <c r="D143" t="s">
        <v>58</v>
      </c>
      <c r="E143" t="s">
        <v>49</v>
      </c>
      <c r="F143" t="s">
        <v>19</v>
      </c>
      <c r="G143" t="s">
        <v>26</v>
      </c>
      <c r="H143" t="s">
        <v>21</v>
      </c>
      <c r="I143" t="s">
        <v>56</v>
      </c>
      <c r="J143" t="s">
        <v>149</v>
      </c>
      <c r="K143" t="s">
        <v>23</v>
      </c>
      <c r="L143">
        <v>3455</v>
      </c>
      <c r="M143">
        <v>50.571445500000003</v>
      </c>
      <c r="N143">
        <v>0.78804890540744488</v>
      </c>
      <c r="O143">
        <v>2.6777267247036947E-2</v>
      </c>
      <c r="P143" s="1" t="str">
        <f>HYPERLINK(".\sm_car_260116_2048\sm_car_260116_2048_142_Ca169TrN_MaMPC_DrSt_ode23t_1.png","figure")</f>
        <v>figure</v>
      </c>
      <c r="Q143" t="s">
        <v>15</v>
      </c>
    </row>
    <row r="144" spans="1:17" x14ac:dyDescent="0.25">
      <c r="A144">
        <v>143</v>
      </c>
      <c r="B144">
        <v>184</v>
      </c>
      <c r="C144" t="s">
        <v>105</v>
      </c>
      <c r="D144" t="s">
        <v>120</v>
      </c>
      <c r="E144" t="s">
        <v>49</v>
      </c>
      <c r="F144" t="s">
        <v>19</v>
      </c>
      <c r="G144" t="s">
        <v>20</v>
      </c>
      <c r="H144" t="s">
        <v>21</v>
      </c>
      <c r="I144" t="s">
        <v>55</v>
      </c>
      <c r="J144" t="s">
        <v>148</v>
      </c>
      <c r="K144" t="s">
        <v>23</v>
      </c>
      <c r="L144">
        <v>2206</v>
      </c>
      <c r="M144">
        <v>50.995728100000001</v>
      </c>
      <c r="N144">
        <v>-2.2281064354404953E-2</v>
      </c>
      <c r="O144">
        <v>-0.74273538671948169</v>
      </c>
      <c r="P144" s="1" t="str">
        <f>HYPERLINK(".\sm_car_260116_2048\sm_car_260116_2048_143_Ca184TrN_MaMPK_DrSt_ode23t_1.png","figure")</f>
        <v>figure</v>
      </c>
      <c r="Q144" t="s">
        <v>15</v>
      </c>
    </row>
    <row r="145" spans="1:17" x14ac:dyDescent="0.25">
      <c r="A145">
        <v>144</v>
      </c>
      <c r="B145">
        <v>184</v>
      </c>
      <c r="C145" t="s">
        <v>105</v>
      </c>
      <c r="D145" t="s">
        <v>120</v>
      </c>
      <c r="E145" t="s">
        <v>49</v>
      </c>
      <c r="F145" t="s">
        <v>19</v>
      </c>
      <c r="G145" t="s">
        <v>20</v>
      </c>
      <c r="H145" t="s">
        <v>21</v>
      </c>
      <c r="I145" t="s">
        <v>55</v>
      </c>
      <c r="J145" t="s">
        <v>149</v>
      </c>
      <c r="K145" t="s">
        <v>23</v>
      </c>
      <c r="L145">
        <v>2316</v>
      </c>
      <c r="M145">
        <v>51.434163699999999</v>
      </c>
      <c r="N145">
        <v>-2.1323478264335116E-3</v>
      </c>
      <c r="O145">
        <v>-3.0195708174273975E-2</v>
      </c>
      <c r="P145" s="1" t="str">
        <f>HYPERLINK(".\sm_car_260116_2048\sm_car_260116_2048_144_Ca184TrN_MaMPK_DrSt_ode23t_1.png","figure")</f>
        <v>figure</v>
      </c>
      <c r="Q145" t="s">
        <v>15</v>
      </c>
    </row>
    <row r="146" spans="1:17" x14ac:dyDescent="0.25">
      <c r="A146">
        <v>145</v>
      </c>
      <c r="B146">
        <v>184</v>
      </c>
      <c r="C146" t="s">
        <v>105</v>
      </c>
      <c r="D146" t="s">
        <v>120</v>
      </c>
      <c r="E146" t="s">
        <v>49</v>
      </c>
      <c r="F146" t="s">
        <v>19</v>
      </c>
      <c r="G146" t="s">
        <v>20</v>
      </c>
      <c r="H146" t="s">
        <v>21</v>
      </c>
      <c r="I146" t="s">
        <v>56</v>
      </c>
      <c r="J146" t="s">
        <v>148</v>
      </c>
      <c r="K146" t="s">
        <v>23</v>
      </c>
      <c r="L146">
        <v>2055</v>
      </c>
      <c r="M146">
        <v>49.156270300000003</v>
      </c>
      <c r="N146">
        <v>0.70445407889100053</v>
      </c>
      <c r="O146">
        <v>-0.33745918034063827</v>
      </c>
      <c r="P146" s="1" t="str">
        <f>HYPERLINK(".\sm_car_260116_2048\sm_car_260116_2048_145_Ca184TrN_MaMPC_DrSt_ode23t_1.png","figure")</f>
        <v>figure</v>
      </c>
      <c r="Q146" t="s">
        <v>15</v>
      </c>
    </row>
    <row r="147" spans="1:17" x14ac:dyDescent="0.25">
      <c r="A147">
        <v>146</v>
      </c>
      <c r="B147">
        <v>184</v>
      </c>
      <c r="C147" t="s">
        <v>105</v>
      </c>
      <c r="D147" t="s">
        <v>120</v>
      </c>
      <c r="E147" t="s">
        <v>49</v>
      </c>
      <c r="F147" t="s">
        <v>19</v>
      </c>
      <c r="G147" t="s">
        <v>20</v>
      </c>
      <c r="H147" t="s">
        <v>21</v>
      </c>
      <c r="I147" t="s">
        <v>56</v>
      </c>
      <c r="J147" t="s">
        <v>149</v>
      </c>
      <c r="K147" t="s">
        <v>23</v>
      </c>
      <c r="L147">
        <v>2045</v>
      </c>
      <c r="M147">
        <v>49.938822600000002</v>
      </c>
      <c r="N147">
        <v>0.78440339057606501</v>
      </c>
      <c r="O147">
        <v>-8.2507510874054765E-2</v>
      </c>
      <c r="P147" s="1" t="str">
        <f>HYPERLINK(".\sm_car_260116_2048\sm_car_260116_2048_146_Ca184TrN_MaMPC_DrSt_ode23t_1.png","figure")</f>
        <v>figure</v>
      </c>
      <c r="Q147" t="s">
        <v>15</v>
      </c>
    </row>
    <row r="148" spans="1:17" x14ac:dyDescent="0.25">
      <c r="A148">
        <v>147</v>
      </c>
      <c r="B148">
        <v>195</v>
      </c>
      <c r="C148" t="s">
        <v>45</v>
      </c>
      <c r="D148" t="s">
        <v>58</v>
      </c>
      <c r="E148" t="s">
        <v>107</v>
      </c>
      <c r="F148" t="s">
        <v>19</v>
      </c>
      <c r="G148" t="s">
        <v>26</v>
      </c>
      <c r="H148" t="s">
        <v>21</v>
      </c>
      <c r="I148" t="s">
        <v>55</v>
      </c>
      <c r="J148" t="s">
        <v>148</v>
      </c>
      <c r="K148" t="s">
        <v>23</v>
      </c>
      <c r="L148">
        <v>3191</v>
      </c>
      <c r="M148">
        <v>49.914082499999999</v>
      </c>
      <c r="N148">
        <v>-2.0145001258057516E-2</v>
      </c>
      <c r="O148">
        <v>-0.57325803678487242</v>
      </c>
      <c r="P148" s="1" t="str">
        <f>HYPERLINK(".\sm_car_260116_2048\sm_car_260116_2048_147_Ca195TrN_MaMPK_DrSt_ode23t_1.png","figure")</f>
        <v>figure</v>
      </c>
      <c r="Q148" t="s">
        <v>15</v>
      </c>
    </row>
    <row r="149" spans="1:17" x14ac:dyDescent="0.25">
      <c r="A149">
        <v>148</v>
      </c>
      <c r="B149">
        <v>195</v>
      </c>
      <c r="C149" t="s">
        <v>45</v>
      </c>
      <c r="D149" t="s">
        <v>58</v>
      </c>
      <c r="E149" t="s">
        <v>107</v>
      </c>
      <c r="F149" t="s">
        <v>19</v>
      </c>
      <c r="G149" t="s">
        <v>26</v>
      </c>
      <c r="H149" t="s">
        <v>21</v>
      </c>
      <c r="I149" t="s">
        <v>55</v>
      </c>
      <c r="J149" t="s">
        <v>149</v>
      </c>
      <c r="K149" t="s">
        <v>23</v>
      </c>
      <c r="L149">
        <v>3733</v>
      </c>
      <c r="M149">
        <v>49.986165300000003</v>
      </c>
      <c r="N149">
        <v>-1.0829118803911228E-2</v>
      </c>
      <c r="O149">
        <v>-8.4655371552334588E-2</v>
      </c>
      <c r="P149" s="1" t="str">
        <f>HYPERLINK(".\sm_car_260116_2048\sm_car_260116_2048_148_Ca195TrN_MaMPK_DrSt_ode23t_1.png","figure")</f>
        <v>figure</v>
      </c>
      <c r="Q149" t="s">
        <v>15</v>
      </c>
    </row>
    <row r="150" spans="1:17" x14ac:dyDescent="0.25">
      <c r="A150">
        <v>149</v>
      </c>
      <c r="B150">
        <v>195</v>
      </c>
      <c r="C150" t="s">
        <v>45</v>
      </c>
      <c r="D150" t="s">
        <v>58</v>
      </c>
      <c r="E150" t="s">
        <v>107</v>
      </c>
      <c r="F150" t="s">
        <v>19</v>
      </c>
      <c r="G150" t="s">
        <v>26</v>
      </c>
      <c r="H150" t="s">
        <v>21</v>
      </c>
      <c r="I150" t="s">
        <v>56</v>
      </c>
      <c r="J150" t="s">
        <v>148</v>
      </c>
      <c r="K150" t="s">
        <v>23</v>
      </c>
      <c r="L150">
        <v>2986</v>
      </c>
      <c r="M150">
        <v>47.640229400000003</v>
      </c>
      <c r="N150">
        <v>0.78873090930512468</v>
      </c>
      <c r="O150">
        <v>-0.36132061797086501</v>
      </c>
      <c r="P150" s="1" t="str">
        <f>HYPERLINK(".\sm_car_260116_2048\sm_car_260116_2048_149_Ca195TrN_MaMPC_DrSt_ode23t_1.png","figure")</f>
        <v>figure</v>
      </c>
      <c r="Q150" t="s">
        <v>15</v>
      </c>
    </row>
    <row r="151" spans="1:17" x14ac:dyDescent="0.25">
      <c r="A151">
        <v>150</v>
      </c>
      <c r="B151">
        <v>195</v>
      </c>
      <c r="C151" t="s">
        <v>45</v>
      </c>
      <c r="D151" t="s">
        <v>58</v>
      </c>
      <c r="E151" t="s">
        <v>107</v>
      </c>
      <c r="F151" t="s">
        <v>19</v>
      </c>
      <c r="G151" t="s">
        <v>26</v>
      </c>
      <c r="H151" t="s">
        <v>21</v>
      </c>
      <c r="I151" t="s">
        <v>56</v>
      </c>
      <c r="J151" t="s">
        <v>149</v>
      </c>
      <c r="K151" t="s">
        <v>23</v>
      </c>
      <c r="L151">
        <v>3423</v>
      </c>
      <c r="M151">
        <v>48.309527799999998</v>
      </c>
      <c r="N151">
        <v>0.78578860536182837</v>
      </c>
      <c r="O151">
        <v>2.6838826705446281E-2</v>
      </c>
      <c r="P151" s="1" t="str">
        <f>HYPERLINK(".\sm_car_260116_2048\sm_car_260116_2048_150_Ca195TrN_MaMPC_DrSt_ode23t_1.png","figure")</f>
        <v>figure</v>
      </c>
      <c r="Q151" t="s">
        <v>15</v>
      </c>
    </row>
    <row r="152" spans="1:17" x14ac:dyDescent="0.25">
      <c r="A152">
        <v>151</v>
      </c>
      <c r="B152">
        <v>198</v>
      </c>
      <c r="C152" t="s">
        <v>105</v>
      </c>
      <c r="D152" t="s">
        <v>120</v>
      </c>
      <c r="E152" t="s">
        <v>107</v>
      </c>
      <c r="F152" t="s">
        <v>19</v>
      </c>
      <c r="G152" t="s">
        <v>20</v>
      </c>
      <c r="H152" t="s">
        <v>21</v>
      </c>
      <c r="I152" t="s">
        <v>55</v>
      </c>
      <c r="J152" t="s">
        <v>148</v>
      </c>
      <c r="K152" t="s">
        <v>23</v>
      </c>
      <c r="L152">
        <v>2303</v>
      </c>
      <c r="M152">
        <v>31.8030765</v>
      </c>
      <c r="N152">
        <v>-2.2389496229538008E-2</v>
      </c>
      <c r="O152">
        <v>-0.7427884724596755</v>
      </c>
      <c r="P152" s="1" t="str">
        <f>HYPERLINK(".\sm_car_260116_2048\sm_car_260116_2048_151_Ca198TrN_MaMPK_DrSt_ode23t_1.png","figure")</f>
        <v>figure</v>
      </c>
      <c r="Q152" t="s">
        <v>15</v>
      </c>
    </row>
    <row r="153" spans="1:17" x14ac:dyDescent="0.25">
      <c r="A153">
        <v>152</v>
      </c>
      <c r="B153">
        <v>198</v>
      </c>
      <c r="C153" t="s">
        <v>105</v>
      </c>
      <c r="D153" t="s">
        <v>120</v>
      </c>
      <c r="E153" t="s">
        <v>107</v>
      </c>
      <c r="F153" t="s">
        <v>19</v>
      </c>
      <c r="G153" t="s">
        <v>20</v>
      </c>
      <c r="H153" t="s">
        <v>21</v>
      </c>
      <c r="I153" t="s">
        <v>55</v>
      </c>
      <c r="J153" t="s">
        <v>149</v>
      </c>
      <c r="K153" t="s">
        <v>23</v>
      </c>
      <c r="L153">
        <v>2583</v>
      </c>
      <c r="M153">
        <v>32.496761200000002</v>
      </c>
      <c r="N153">
        <v>-9.3626718525139374E-3</v>
      </c>
      <c r="O153">
        <v>-3.031675748293226E-2</v>
      </c>
      <c r="P153" s="1" t="str">
        <f>HYPERLINK(".\sm_car_260116_2048\sm_car_260116_2048_152_Ca198TrN_MaMPK_DrSt_ode23t_1.png","figure")</f>
        <v>figure</v>
      </c>
      <c r="Q153" t="s">
        <v>15</v>
      </c>
    </row>
    <row r="154" spans="1:17" x14ac:dyDescent="0.25">
      <c r="A154">
        <v>153</v>
      </c>
      <c r="B154">
        <v>198</v>
      </c>
      <c r="C154" t="s">
        <v>105</v>
      </c>
      <c r="D154" t="s">
        <v>120</v>
      </c>
      <c r="E154" t="s">
        <v>107</v>
      </c>
      <c r="F154" t="s">
        <v>19</v>
      </c>
      <c r="G154" t="s">
        <v>20</v>
      </c>
      <c r="H154" t="s">
        <v>21</v>
      </c>
      <c r="I154" t="s">
        <v>56</v>
      </c>
      <c r="J154" t="s">
        <v>148</v>
      </c>
      <c r="K154" t="s">
        <v>23</v>
      </c>
      <c r="L154">
        <v>2077</v>
      </c>
      <c r="M154">
        <v>30.925638599999999</v>
      </c>
      <c r="N154">
        <v>0.78315014353109369</v>
      </c>
      <c r="O154">
        <v>-0.33793436405086263</v>
      </c>
      <c r="P154" s="1" t="str">
        <f>HYPERLINK(".\sm_car_260116_2048\sm_car_260116_2048_153_Ca198TrN_MaMPC_DrSt_ode23t_1.png","figure")</f>
        <v>figure</v>
      </c>
      <c r="Q154" t="s">
        <v>15</v>
      </c>
    </row>
    <row r="155" spans="1:17" x14ac:dyDescent="0.25">
      <c r="A155">
        <v>154</v>
      </c>
      <c r="B155">
        <v>198</v>
      </c>
      <c r="C155" t="s">
        <v>105</v>
      </c>
      <c r="D155" t="s">
        <v>120</v>
      </c>
      <c r="E155" t="s">
        <v>107</v>
      </c>
      <c r="F155" t="s">
        <v>19</v>
      </c>
      <c r="G155" t="s">
        <v>20</v>
      </c>
      <c r="H155" t="s">
        <v>21</v>
      </c>
      <c r="I155" t="s">
        <v>56</v>
      </c>
      <c r="J155" t="s">
        <v>149</v>
      </c>
      <c r="K155" t="s">
        <v>23</v>
      </c>
      <c r="L155">
        <v>2161</v>
      </c>
      <c r="M155">
        <v>31.769978399999999</v>
      </c>
      <c r="N155">
        <v>0.65579155572269521</v>
      </c>
      <c r="O155">
        <v>-8.0129507115186765E-2</v>
      </c>
      <c r="P155" s="1" t="str">
        <f>HYPERLINK(".\sm_car_260116_2048\sm_car_260116_2048_154_Ca198TrN_MaMPC_DrSt_ode23t_1.png","figure")</f>
        <v>figure</v>
      </c>
      <c r="Q155" t="s">
        <v>15</v>
      </c>
    </row>
    <row r="156" spans="1:17" x14ac:dyDescent="0.25">
      <c r="A156">
        <v>155</v>
      </c>
      <c r="B156">
        <v>151</v>
      </c>
      <c r="C156" t="s">
        <v>16</v>
      </c>
      <c r="D156" t="s">
        <v>17</v>
      </c>
      <c r="E156" t="s">
        <v>18</v>
      </c>
      <c r="F156" t="s">
        <v>19</v>
      </c>
      <c r="G156" t="s">
        <v>59</v>
      </c>
      <c r="H156" t="s">
        <v>21</v>
      </c>
      <c r="I156" t="s">
        <v>24</v>
      </c>
      <c r="J156" t="s">
        <v>148</v>
      </c>
      <c r="K156" t="s">
        <v>23</v>
      </c>
      <c r="L156">
        <v>516</v>
      </c>
      <c r="M156">
        <v>11.823892499999999</v>
      </c>
      <c r="N156">
        <v>72.172347033680353</v>
      </c>
      <c r="O156">
        <v>-0.78920978206099412</v>
      </c>
      <c r="P156" s="1" t="str">
        <f>HYPERLINK(".\sm_car_260116_2048\sm_car_260116_2048_155_Ca151TrN_MaLSS_DrSt_ode23t_1.png","figure")</f>
        <v>figure</v>
      </c>
      <c r="Q156" t="s">
        <v>15</v>
      </c>
    </row>
    <row r="157" spans="1:17" x14ac:dyDescent="0.25">
      <c r="A157">
        <v>156</v>
      </c>
      <c r="B157">
        <v>152</v>
      </c>
      <c r="C157" t="s">
        <v>16</v>
      </c>
      <c r="D157" t="s">
        <v>17</v>
      </c>
      <c r="E157" t="s">
        <v>18</v>
      </c>
      <c r="F157" t="s">
        <v>19</v>
      </c>
      <c r="G157" t="s">
        <v>60</v>
      </c>
      <c r="H157" t="s">
        <v>21</v>
      </c>
      <c r="I157" t="s">
        <v>24</v>
      </c>
      <c r="J157" t="s">
        <v>148</v>
      </c>
      <c r="K157" t="s">
        <v>23</v>
      </c>
      <c r="L157">
        <v>520</v>
      </c>
      <c r="M157">
        <v>12.3973253</v>
      </c>
      <c r="N157">
        <v>70.585653557677915</v>
      </c>
      <c r="O157">
        <v>-0.52521481932063996</v>
      </c>
      <c r="P157" s="1" t="str">
        <f>HYPERLINK(".\sm_car_260116_2048\sm_car_260116_2048_156_Ca152TrN_MaLSS_DrSt_ode23t_1.png","figure")</f>
        <v>figure</v>
      </c>
      <c r="Q157" t="s">
        <v>15</v>
      </c>
    </row>
    <row r="158" spans="1:17" x14ac:dyDescent="0.25">
      <c r="A158">
        <v>157</v>
      </c>
      <c r="B158">
        <v>153</v>
      </c>
      <c r="C158" t="s">
        <v>16</v>
      </c>
      <c r="D158" t="s">
        <v>17</v>
      </c>
      <c r="E158" t="s">
        <v>18</v>
      </c>
      <c r="F158" t="s">
        <v>19</v>
      </c>
      <c r="G158" t="s">
        <v>61</v>
      </c>
      <c r="H158" t="s">
        <v>21</v>
      </c>
      <c r="I158" t="s">
        <v>24</v>
      </c>
      <c r="J158" t="s">
        <v>148</v>
      </c>
      <c r="K158" t="s">
        <v>23</v>
      </c>
      <c r="L158">
        <v>544</v>
      </c>
      <c r="M158">
        <v>13.326819800000001</v>
      </c>
      <c r="N158">
        <v>70.431654022200547</v>
      </c>
      <c r="O158">
        <v>-0.85906051229936298</v>
      </c>
      <c r="P158" s="1" t="str">
        <f>HYPERLINK(".\sm_car_260116_2048\sm_car_260116_2048_157_Ca153TrN_MaLSS_DrSt_ode23t_1.png","figure")</f>
        <v>figure</v>
      </c>
      <c r="Q158" t="s">
        <v>15</v>
      </c>
    </row>
    <row r="159" spans="1:17" x14ac:dyDescent="0.25">
      <c r="A159">
        <v>158</v>
      </c>
      <c r="B159">
        <v>154</v>
      </c>
      <c r="C159" t="s">
        <v>16</v>
      </c>
      <c r="D159" t="s">
        <v>17</v>
      </c>
      <c r="E159" t="s">
        <v>18</v>
      </c>
      <c r="F159" t="s">
        <v>19</v>
      </c>
      <c r="G159" t="s">
        <v>108</v>
      </c>
      <c r="H159" t="s">
        <v>21</v>
      </c>
      <c r="I159" t="s">
        <v>24</v>
      </c>
      <c r="J159" t="s">
        <v>148</v>
      </c>
      <c r="K159" t="s">
        <v>23</v>
      </c>
      <c r="L159">
        <v>494</v>
      </c>
      <c r="M159">
        <v>15.210345200000001</v>
      </c>
      <c r="N159">
        <v>70.616752715899352</v>
      </c>
      <c r="O159">
        <v>-0.35578382755701771</v>
      </c>
      <c r="P159" s="1" t="str">
        <f>HYPERLINK(".\sm_car_260116_2048\sm_car_260116_2048_158_Ca154TrN_MaLSS_DrSt_ode23t_1.png","figure")</f>
        <v>figure</v>
      </c>
      <c r="Q159" t="s">
        <v>15</v>
      </c>
    </row>
    <row r="160" spans="1:17" x14ac:dyDescent="0.25">
      <c r="A160">
        <v>159</v>
      </c>
      <c r="B160">
        <v>155</v>
      </c>
      <c r="C160" t="s">
        <v>16</v>
      </c>
      <c r="D160" t="s">
        <v>17</v>
      </c>
      <c r="E160" t="s">
        <v>18</v>
      </c>
      <c r="F160" t="s">
        <v>19</v>
      </c>
      <c r="G160" t="s">
        <v>62</v>
      </c>
      <c r="H160" t="s">
        <v>21</v>
      </c>
      <c r="I160" t="s">
        <v>24</v>
      </c>
      <c r="J160" t="s">
        <v>148</v>
      </c>
      <c r="K160" t="s">
        <v>23</v>
      </c>
      <c r="L160">
        <v>559</v>
      </c>
      <c r="M160">
        <v>17.087405700000001</v>
      </c>
      <c r="N160">
        <v>70.468877241446407</v>
      </c>
      <c r="O160">
        <v>-0.8335816441115228</v>
      </c>
      <c r="P160" s="1" t="str">
        <f>HYPERLINK(".\sm_car_260116_2048\sm_car_260116_2048_159_Ca155TrN_MaLSS_DrSt_ode23t_1.png","figure")</f>
        <v>figure</v>
      </c>
      <c r="Q160" t="s">
        <v>15</v>
      </c>
    </row>
    <row r="161" spans="1:17" x14ac:dyDescent="0.25">
      <c r="A161">
        <v>160</v>
      </c>
      <c r="B161">
        <v>4</v>
      </c>
      <c r="C161" t="s">
        <v>16</v>
      </c>
      <c r="D161" t="s">
        <v>17</v>
      </c>
      <c r="E161" t="s">
        <v>18</v>
      </c>
      <c r="F161" t="s">
        <v>28</v>
      </c>
      <c r="G161" t="s">
        <v>188</v>
      </c>
      <c r="H161" t="s">
        <v>21</v>
      </c>
      <c r="I161" t="s">
        <v>22</v>
      </c>
      <c r="J161" t="s">
        <v>148</v>
      </c>
      <c r="K161" t="s">
        <v>63</v>
      </c>
      <c r="L161">
        <v>3247</v>
      </c>
      <c r="M161">
        <v>9.0854809000000003</v>
      </c>
      <c r="N161">
        <v>230.12391721786827</v>
      </c>
      <c r="O161">
        <v>-2.7190338637773392E-3</v>
      </c>
      <c r="P161" s="1" t="str">
        <f>HYPERLINK(".\sm_car_260116_2048\sm_car_260116_2048_160_Ca004TrN_MaWOT_DrSt_ode3_1.png","figure")</f>
        <v>figure</v>
      </c>
      <c r="Q161" t="s">
        <v>15</v>
      </c>
    </row>
    <row r="162" spans="1:17" x14ac:dyDescent="0.25">
      <c r="A162">
        <v>161</v>
      </c>
      <c r="B162">
        <v>4</v>
      </c>
      <c r="C162" t="s">
        <v>16</v>
      </c>
      <c r="D162" t="s">
        <v>17</v>
      </c>
      <c r="E162" t="s">
        <v>18</v>
      </c>
      <c r="F162" t="s">
        <v>28</v>
      </c>
      <c r="G162" t="s">
        <v>188</v>
      </c>
      <c r="H162" t="s">
        <v>21</v>
      </c>
      <c r="I162" t="s">
        <v>24</v>
      </c>
      <c r="J162" t="s">
        <v>148</v>
      </c>
      <c r="K162" t="s">
        <v>63</v>
      </c>
      <c r="L162">
        <v>2564</v>
      </c>
      <c r="M162">
        <v>7.5184373999999998</v>
      </c>
      <c r="N162">
        <v>70.877460183569553</v>
      </c>
      <c r="O162">
        <v>-0.53377972266774365</v>
      </c>
      <c r="P162" s="1" t="str">
        <f>HYPERLINK(".\sm_car_260116_2048\sm_car_260116_2048_161_Ca004TrN_MaLSS_DrSt_ode3_1.png","figure")</f>
        <v>figure</v>
      </c>
      <c r="Q162" t="s">
        <v>15</v>
      </c>
    </row>
    <row r="163" spans="1:17" x14ac:dyDescent="0.25">
      <c r="A163">
        <v>162</v>
      </c>
      <c r="B163">
        <v>4</v>
      </c>
      <c r="C163" t="s">
        <v>16</v>
      </c>
      <c r="D163" t="s">
        <v>17</v>
      </c>
      <c r="E163" t="s">
        <v>18</v>
      </c>
      <c r="F163" t="s">
        <v>28</v>
      </c>
      <c r="G163" t="s">
        <v>188</v>
      </c>
      <c r="H163" t="s">
        <v>21</v>
      </c>
      <c r="I163" t="s">
        <v>64</v>
      </c>
      <c r="J163" t="s">
        <v>148</v>
      </c>
      <c r="K163" t="s">
        <v>63</v>
      </c>
      <c r="L163">
        <v>2562</v>
      </c>
      <c r="M163">
        <v>7.6129258000000002</v>
      </c>
      <c r="N163">
        <v>63.517181708669909</v>
      </c>
      <c r="O163">
        <v>-24.808510950198681</v>
      </c>
      <c r="P163" s="1" t="str">
        <f>HYPERLINK(".\sm_car_260116_2048\sm_car_260116_2048_162_Ca004TrN_MaTUR_DrSt_ode3_1.png","figure")</f>
        <v>figure</v>
      </c>
      <c r="Q163" t="s">
        <v>15</v>
      </c>
    </row>
    <row r="164" spans="1:17" x14ac:dyDescent="0.25">
      <c r="A164">
        <v>163</v>
      </c>
      <c r="B164">
        <v>116</v>
      </c>
      <c r="C164" t="s">
        <v>16</v>
      </c>
      <c r="D164" t="s">
        <v>35</v>
      </c>
      <c r="E164" t="s">
        <v>18</v>
      </c>
      <c r="F164" t="s">
        <v>28</v>
      </c>
      <c r="G164" t="s">
        <v>188</v>
      </c>
      <c r="H164" t="s">
        <v>21</v>
      </c>
      <c r="I164" t="s">
        <v>22</v>
      </c>
      <c r="J164" t="s">
        <v>148</v>
      </c>
      <c r="K164" t="s">
        <v>63</v>
      </c>
      <c r="L164">
        <v>3244</v>
      </c>
      <c r="M164">
        <v>4.4644081</v>
      </c>
      <c r="N164">
        <v>242.69607452341987</v>
      </c>
      <c r="O164">
        <v>0.23635446031101723</v>
      </c>
      <c r="P164" s="1" t="str">
        <f>HYPERLINK(".\sm_car_260116_2048\sm_car_260116_2048_163_Ca116TrN_MaWOT_DrSt_ode3_1.png","figure")</f>
        <v>figure</v>
      </c>
      <c r="Q164" t="s">
        <v>15</v>
      </c>
    </row>
    <row r="165" spans="1:17" x14ac:dyDescent="0.25">
      <c r="A165">
        <v>164</v>
      </c>
      <c r="B165">
        <v>116</v>
      </c>
      <c r="C165" t="s">
        <v>16</v>
      </c>
      <c r="D165" t="s">
        <v>35</v>
      </c>
      <c r="E165" t="s">
        <v>18</v>
      </c>
      <c r="F165" t="s">
        <v>28</v>
      </c>
      <c r="G165" t="s">
        <v>188</v>
      </c>
      <c r="H165" t="s">
        <v>21</v>
      </c>
      <c r="I165" t="s">
        <v>24</v>
      </c>
      <c r="J165" t="s">
        <v>148</v>
      </c>
      <c r="K165" t="s">
        <v>63</v>
      </c>
      <c r="L165">
        <v>2564</v>
      </c>
      <c r="M165">
        <v>3.6588200999999998</v>
      </c>
      <c r="N165">
        <v>74.657190781644118</v>
      </c>
      <c r="O165">
        <v>-0.34075824439014252</v>
      </c>
      <c r="P165" s="1" t="str">
        <f>HYPERLINK(".\sm_car_260116_2048\sm_car_260116_2048_164_Ca116TrN_MaLSS_DrSt_ode3_1.png","figure")</f>
        <v>figure</v>
      </c>
      <c r="Q165" t="s">
        <v>15</v>
      </c>
    </row>
    <row r="166" spans="1:17" x14ac:dyDescent="0.25">
      <c r="A166">
        <v>165</v>
      </c>
      <c r="B166">
        <v>116</v>
      </c>
      <c r="C166" t="s">
        <v>16</v>
      </c>
      <c r="D166" t="s">
        <v>35</v>
      </c>
      <c r="E166" t="s">
        <v>18</v>
      </c>
      <c r="F166" t="s">
        <v>28</v>
      </c>
      <c r="G166" t="s">
        <v>188</v>
      </c>
      <c r="H166" t="s">
        <v>21</v>
      </c>
      <c r="I166" t="s">
        <v>64</v>
      </c>
      <c r="J166" t="s">
        <v>148</v>
      </c>
      <c r="K166" t="s">
        <v>63</v>
      </c>
      <c r="L166">
        <v>2563</v>
      </c>
      <c r="M166">
        <v>3.6871472999999999</v>
      </c>
      <c r="N166">
        <v>71.322015477791922</v>
      </c>
      <c r="O166">
        <v>-17.59032913116118</v>
      </c>
      <c r="P166" s="1" t="str">
        <f>HYPERLINK(".\sm_car_260116_2048\sm_car_260116_2048_165_Ca116TrN_MaTUR_DrSt_ode3_1.png","figure")</f>
        <v>figure</v>
      </c>
      <c r="Q166" t="s">
        <v>15</v>
      </c>
    </row>
    <row r="167" spans="1:17" x14ac:dyDescent="0.25">
      <c r="A167">
        <v>166</v>
      </c>
      <c r="B167">
        <v>124</v>
      </c>
      <c r="C167" t="s">
        <v>16</v>
      </c>
      <c r="D167" t="s">
        <v>35</v>
      </c>
      <c r="E167" t="s">
        <v>49</v>
      </c>
      <c r="F167" t="s">
        <v>28</v>
      </c>
      <c r="G167" t="s">
        <v>188</v>
      </c>
      <c r="H167" t="s">
        <v>21</v>
      </c>
      <c r="I167" t="s">
        <v>22</v>
      </c>
      <c r="J167" t="s">
        <v>148</v>
      </c>
      <c r="K167" t="s">
        <v>63</v>
      </c>
      <c r="L167">
        <v>3244</v>
      </c>
      <c r="M167">
        <v>2.2393065999999999</v>
      </c>
      <c r="N167">
        <v>242.87242715534219</v>
      </c>
      <c r="O167">
        <v>0.23615864655912164</v>
      </c>
      <c r="P167" s="1" t="str">
        <f>HYPERLINK(".\sm_car_260116_2048\sm_car_260116_2048_166_Ca124TrN_MaWOT_DrSt_ode3_1.png","figure")</f>
        <v>figure</v>
      </c>
      <c r="Q167" t="s">
        <v>15</v>
      </c>
    </row>
    <row r="168" spans="1:17" x14ac:dyDescent="0.25">
      <c r="A168">
        <v>167</v>
      </c>
      <c r="B168">
        <v>124</v>
      </c>
      <c r="C168" t="s">
        <v>16</v>
      </c>
      <c r="D168" t="s">
        <v>35</v>
      </c>
      <c r="E168" t="s">
        <v>49</v>
      </c>
      <c r="F168" t="s">
        <v>28</v>
      </c>
      <c r="G168" t="s">
        <v>188</v>
      </c>
      <c r="H168" t="s">
        <v>21</v>
      </c>
      <c r="I168" t="s">
        <v>24</v>
      </c>
      <c r="J168" t="s">
        <v>148</v>
      </c>
      <c r="K168" t="s">
        <v>63</v>
      </c>
      <c r="L168">
        <v>2565</v>
      </c>
      <c r="M168">
        <v>1.9697264000000001</v>
      </c>
      <c r="N168">
        <v>74.79610604759948</v>
      </c>
      <c r="O168">
        <v>-0.34233746651595393</v>
      </c>
      <c r="P168" s="1" t="str">
        <f>HYPERLINK(".\sm_car_260116_2048\sm_car_260116_2048_167_Ca124TrN_MaLSS_DrSt_ode3_1.png","figure")</f>
        <v>figure</v>
      </c>
      <c r="Q168" t="s">
        <v>15</v>
      </c>
    </row>
    <row r="169" spans="1:17" x14ac:dyDescent="0.25">
      <c r="A169">
        <v>168</v>
      </c>
      <c r="B169">
        <v>124</v>
      </c>
      <c r="C169" t="s">
        <v>16</v>
      </c>
      <c r="D169" t="s">
        <v>35</v>
      </c>
      <c r="E169" t="s">
        <v>49</v>
      </c>
      <c r="F169" t="s">
        <v>28</v>
      </c>
      <c r="G169" t="s">
        <v>188</v>
      </c>
      <c r="H169" t="s">
        <v>21</v>
      </c>
      <c r="I169" t="s">
        <v>64</v>
      </c>
      <c r="J169" t="s">
        <v>148</v>
      </c>
      <c r="K169" t="s">
        <v>63</v>
      </c>
      <c r="L169">
        <v>2564</v>
      </c>
      <c r="M169">
        <v>1.9941087</v>
      </c>
      <c r="N169">
        <v>71.447408139703853</v>
      </c>
      <c r="O169">
        <v>-17.636376353758351</v>
      </c>
      <c r="P169" s="1" t="str">
        <f>HYPERLINK(".\sm_car_260116_2048\sm_car_260116_2048_168_Ca124TrN_MaTUR_DrSt_ode3_1.png","figure")</f>
        <v>figure</v>
      </c>
      <c r="Q169" t="s">
        <v>15</v>
      </c>
    </row>
    <row r="170" spans="1:17" x14ac:dyDescent="0.25">
      <c r="A170">
        <v>169</v>
      </c>
      <c r="B170">
        <v>141</v>
      </c>
      <c r="C170" t="s">
        <v>45</v>
      </c>
      <c r="D170" t="s">
        <v>17</v>
      </c>
      <c r="E170" t="s">
        <v>18</v>
      </c>
      <c r="F170" t="s">
        <v>28</v>
      </c>
      <c r="G170" t="s">
        <v>26</v>
      </c>
      <c r="H170" t="s">
        <v>21</v>
      </c>
      <c r="I170" t="s">
        <v>22</v>
      </c>
      <c r="J170" t="s">
        <v>148</v>
      </c>
      <c r="K170" t="s">
        <v>63</v>
      </c>
      <c r="L170">
        <v>3839</v>
      </c>
      <c r="M170">
        <v>12.023087800000001</v>
      </c>
      <c r="N170">
        <v>402.30863495617422</v>
      </c>
      <c r="O170">
        <v>1.6338397315292668</v>
      </c>
      <c r="P170" s="1" t="str">
        <f>HYPERLINK(".\sm_car_260116_2048\sm_car_260116_2048_169_Ca141TrN_MaWOT_DrSt_ode3_1.png","figure")</f>
        <v>figure</v>
      </c>
      <c r="Q170" t="s">
        <v>15</v>
      </c>
    </row>
    <row r="171" spans="1:17" x14ac:dyDescent="0.25">
      <c r="A171">
        <v>170</v>
      </c>
      <c r="B171">
        <v>141</v>
      </c>
      <c r="C171" t="s">
        <v>45</v>
      </c>
      <c r="D171" t="s">
        <v>17</v>
      </c>
      <c r="E171" t="s">
        <v>18</v>
      </c>
      <c r="F171" t="s">
        <v>28</v>
      </c>
      <c r="G171" t="s">
        <v>26</v>
      </c>
      <c r="H171" t="s">
        <v>21</v>
      </c>
      <c r="I171" t="s">
        <v>24</v>
      </c>
      <c r="J171" t="s">
        <v>148</v>
      </c>
      <c r="K171" t="s">
        <v>63</v>
      </c>
      <c r="L171">
        <v>3192</v>
      </c>
      <c r="M171">
        <v>9.9998868000000005</v>
      </c>
      <c r="N171">
        <v>153.16103252931833</v>
      </c>
      <c r="O171">
        <v>-0.57333301644331658</v>
      </c>
      <c r="P171" s="1" t="str">
        <f>HYPERLINK(".\sm_car_260116_2048\sm_car_260116_2048_170_Ca141TrN_MaLSS_DrSt_ode3_1.png","figure")</f>
        <v>figure</v>
      </c>
      <c r="Q171" t="s">
        <v>15</v>
      </c>
    </row>
    <row r="172" spans="1:17" x14ac:dyDescent="0.25">
      <c r="A172">
        <v>171</v>
      </c>
      <c r="B172">
        <v>141</v>
      </c>
      <c r="C172" t="s">
        <v>45</v>
      </c>
      <c r="D172" t="s">
        <v>17</v>
      </c>
      <c r="E172" t="s">
        <v>18</v>
      </c>
      <c r="F172" t="s">
        <v>28</v>
      </c>
      <c r="G172" t="s">
        <v>26</v>
      </c>
      <c r="H172" t="s">
        <v>21</v>
      </c>
      <c r="I172" t="s">
        <v>64</v>
      </c>
      <c r="J172" t="s">
        <v>148</v>
      </c>
      <c r="K172" t="s">
        <v>63</v>
      </c>
      <c r="L172">
        <v>3161</v>
      </c>
      <c r="M172">
        <v>10.185802300000001</v>
      </c>
      <c r="N172">
        <v>98.182502301574189</v>
      </c>
      <c r="O172">
        <v>-86.478323075534789</v>
      </c>
      <c r="P172" s="1" t="str">
        <f>HYPERLINK(".\sm_car_260116_2048\sm_car_260116_2048_171_Ca141TrN_MaTUR_DrSt_ode3_1.png","figure")</f>
        <v>figure</v>
      </c>
      <c r="Q172" t="s">
        <v>15</v>
      </c>
    </row>
    <row r="173" spans="1:17" x14ac:dyDescent="0.25">
      <c r="A173">
        <v>172</v>
      </c>
      <c r="B173">
        <v>145</v>
      </c>
      <c r="C173" t="s">
        <v>46</v>
      </c>
      <c r="D173" t="s">
        <v>17</v>
      </c>
      <c r="E173" t="s">
        <v>50</v>
      </c>
      <c r="F173" t="s">
        <v>19</v>
      </c>
      <c r="G173" t="s">
        <v>26</v>
      </c>
      <c r="H173" t="s">
        <v>21</v>
      </c>
      <c r="I173" t="s">
        <v>22</v>
      </c>
      <c r="J173" t="s">
        <v>148</v>
      </c>
      <c r="K173" t="s">
        <v>63</v>
      </c>
      <c r="L173">
        <v>2642</v>
      </c>
      <c r="M173">
        <v>7.2891801999999997</v>
      </c>
      <c r="N173">
        <v>62.801313298608221</v>
      </c>
      <c r="O173">
        <v>1.2893842335469084E-2</v>
      </c>
      <c r="P173" s="1" t="str">
        <f>HYPERLINK(".\sm_car_260116_2048\sm_car_260116_2048_172_Ca145TrN_MaWOT_DrSt_ode3_1.png","figure")</f>
        <v>figure</v>
      </c>
      <c r="Q173" t="s">
        <v>15</v>
      </c>
    </row>
    <row r="174" spans="1:17" x14ac:dyDescent="0.25">
      <c r="A174">
        <v>173</v>
      </c>
      <c r="B174">
        <v>145</v>
      </c>
      <c r="C174" t="s">
        <v>46</v>
      </c>
      <c r="D174" t="s">
        <v>17</v>
      </c>
      <c r="E174" t="s">
        <v>50</v>
      </c>
      <c r="F174" t="s">
        <v>19</v>
      </c>
      <c r="G174" t="s">
        <v>26</v>
      </c>
      <c r="H174" t="s">
        <v>21</v>
      </c>
      <c r="I174" t="s">
        <v>24</v>
      </c>
      <c r="J174" t="s">
        <v>148</v>
      </c>
      <c r="K174" t="s">
        <v>63</v>
      </c>
      <c r="L174">
        <v>2382</v>
      </c>
      <c r="M174">
        <v>6.7260606000000003</v>
      </c>
      <c r="N174">
        <v>25.299765577118411</v>
      </c>
      <c r="O174">
        <v>-5.1070003004616386E-2</v>
      </c>
      <c r="P174" s="1" t="str">
        <f>HYPERLINK(".\sm_car_260116_2048\sm_car_260116_2048_173_Ca145TrN_MaLSS_DrSt_ode3_1.png","figure")</f>
        <v>figure</v>
      </c>
      <c r="Q174" t="s">
        <v>15</v>
      </c>
    </row>
    <row r="175" spans="1:17" x14ac:dyDescent="0.25">
      <c r="A175">
        <v>174</v>
      </c>
      <c r="B175">
        <v>145</v>
      </c>
      <c r="C175" t="s">
        <v>46</v>
      </c>
      <c r="D175" t="s">
        <v>17</v>
      </c>
      <c r="E175" t="s">
        <v>50</v>
      </c>
      <c r="F175" t="s">
        <v>19</v>
      </c>
      <c r="G175" t="s">
        <v>26</v>
      </c>
      <c r="H175" t="s">
        <v>21</v>
      </c>
      <c r="I175" t="s">
        <v>64</v>
      </c>
      <c r="J175" t="s">
        <v>148</v>
      </c>
      <c r="K175" t="s">
        <v>63</v>
      </c>
      <c r="L175">
        <v>2379</v>
      </c>
      <c r="M175">
        <v>6.7691165</v>
      </c>
      <c r="N175">
        <v>25.119346970662672</v>
      </c>
      <c r="O175">
        <v>-2.6098494503383183</v>
      </c>
      <c r="P175" s="1" t="str">
        <f>HYPERLINK(".\sm_car_260116_2048\sm_car_260116_2048_174_Ca145TrN_MaTUR_DrSt_ode3_1.png","figure")</f>
        <v>figure</v>
      </c>
      <c r="Q175" t="s">
        <v>15</v>
      </c>
    </row>
    <row r="176" spans="1:17" x14ac:dyDescent="0.25">
      <c r="A176">
        <v>175</v>
      </c>
      <c r="B176">
        <v>199</v>
      </c>
      <c r="C176" t="s">
        <v>46</v>
      </c>
      <c r="D176" t="s">
        <v>17</v>
      </c>
      <c r="E176" t="s">
        <v>109</v>
      </c>
      <c r="F176" t="s">
        <v>19</v>
      </c>
      <c r="G176" t="s">
        <v>26</v>
      </c>
      <c r="H176" t="s">
        <v>21</v>
      </c>
      <c r="I176" t="s">
        <v>22</v>
      </c>
      <c r="J176" t="s">
        <v>148</v>
      </c>
      <c r="K176" t="s">
        <v>63</v>
      </c>
      <c r="L176">
        <v>2647</v>
      </c>
      <c r="M176">
        <v>8.2094033</v>
      </c>
      <c r="N176">
        <v>63.479991086186772</v>
      </c>
      <c r="O176">
        <v>-1.3351542397531919E-4</v>
      </c>
      <c r="P176" s="1" t="str">
        <f>HYPERLINK(".\sm_car_260116_2048\sm_car_260116_2048_175_Ca199TrN_MaWOT_DrSt_ode3_1.png","figure")</f>
        <v>figure</v>
      </c>
      <c r="Q176" t="s">
        <v>15</v>
      </c>
    </row>
    <row r="177" spans="1:17" x14ac:dyDescent="0.25">
      <c r="A177">
        <v>176</v>
      </c>
      <c r="B177">
        <v>199</v>
      </c>
      <c r="C177" t="s">
        <v>46</v>
      </c>
      <c r="D177" t="s">
        <v>17</v>
      </c>
      <c r="E177" t="s">
        <v>109</v>
      </c>
      <c r="F177" t="s">
        <v>19</v>
      </c>
      <c r="G177" t="s">
        <v>26</v>
      </c>
      <c r="H177" t="s">
        <v>21</v>
      </c>
      <c r="I177" t="s">
        <v>24</v>
      </c>
      <c r="J177" t="s">
        <v>148</v>
      </c>
      <c r="K177" t="s">
        <v>63</v>
      </c>
      <c r="L177">
        <v>2385</v>
      </c>
      <c r="M177">
        <v>7.4842462999999997</v>
      </c>
      <c r="N177">
        <v>25.919543247611728</v>
      </c>
      <c r="O177">
        <v>-5.3777383538012799E-2</v>
      </c>
      <c r="P177" s="1" t="str">
        <f>HYPERLINK(".\sm_car_260116_2048\sm_car_260116_2048_176_Ca199TrN_MaLSS_DrSt_ode3_1.png","figure")</f>
        <v>figure</v>
      </c>
      <c r="Q177" t="s">
        <v>15</v>
      </c>
    </row>
    <row r="178" spans="1:17" x14ac:dyDescent="0.25">
      <c r="A178">
        <v>177</v>
      </c>
      <c r="B178">
        <v>199</v>
      </c>
      <c r="C178" t="s">
        <v>46</v>
      </c>
      <c r="D178" t="s">
        <v>17</v>
      </c>
      <c r="E178" t="s">
        <v>109</v>
      </c>
      <c r="F178" t="s">
        <v>19</v>
      </c>
      <c r="G178" t="s">
        <v>26</v>
      </c>
      <c r="H178" t="s">
        <v>21</v>
      </c>
      <c r="I178" t="s">
        <v>64</v>
      </c>
      <c r="J178" t="s">
        <v>148</v>
      </c>
      <c r="K178" t="s">
        <v>63</v>
      </c>
      <c r="L178">
        <v>2383</v>
      </c>
      <c r="M178">
        <v>7.4148962999999997</v>
      </c>
      <c r="N178">
        <v>25.733626918673806</v>
      </c>
      <c r="O178">
        <v>-2.6936807199068045</v>
      </c>
      <c r="P178" s="1" t="str">
        <f>HYPERLINK(".\sm_car_260116_2048\sm_car_260116_2048_177_Ca199TrN_MaTUR_DrSt_ode3_1.png","figure")</f>
        <v>figure</v>
      </c>
      <c r="Q178" t="s">
        <v>15</v>
      </c>
    </row>
    <row r="179" spans="1:17" x14ac:dyDescent="0.25">
      <c r="A179">
        <v>178</v>
      </c>
      <c r="B179">
        <v>139</v>
      </c>
      <c r="C179" t="s">
        <v>45</v>
      </c>
      <c r="D179" t="s">
        <v>17</v>
      </c>
      <c r="E179" t="s">
        <v>18</v>
      </c>
      <c r="F179" t="s">
        <v>19</v>
      </c>
      <c r="G179" t="s">
        <v>26</v>
      </c>
      <c r="H179" t="s">
        <v>21</v>
      </c>
      <c r="I179" t="s">
        <v>53</v>
      </c>
      <c r="J179" t="s">
        <v>148</v>
      </c>
      <c r="K179" t="s">
        <v>23</v>
      </c>
      <c r="L179">
        <v>531</v>
      </c>
      <c r="M179">
        <v>11.2536696</v>
      </c>
      <c r="N179">
        <v>254.24740460294333</v>
      </c>
      <c r="O179">
        <v>-8.8096347416559695E-3</v>
      </c>
      <c r="P179" s="1" t="str">
        <f>HYPERLINK(".\sm_car_260116_2048\sm_car_260116_2048_178_Ca139TrN_MaDLC_DrSt_ode23t_1.png","figure")</f>
        <v>figure</v>
      </c>
      <c r="Q179" t="s">
        <v>15</v>
      </c>
    </row>
    <row r="180" spans="1:17" x14ac:dyDescent="0.25">
      <c r="A180">
        <v>179</v>
      </c>
      <c r="B180">
        <v>139</v>
      </c>
      <c r="C180" t="s">
        <v>45</v>
      </c>
      <c r="D180" t="s">
        <v>17</v>
      </c>
      <c r="E180" t="s">
        <v>18</v>
      </c>
      <c r="F180" t="s">
        <v>19</v>
      </c>
      <c r="G180" t="s">
        <v>26</v>
      </c>
      <c r="H180" t="s">
        <v>65</v>
      </c>
      <c r="I180" t="s">
        <v>53</v>
      </c>
      <c r="J180" t="s">
        <v>148</v>
      </c>
      <c r="K180" t="s">
        <v>23</v>
      </c>
      <c r="L180">
        <v>824</v>
      </c>
      <c r="M180">
        <v>29.447931199999999</v>
      </c>
      <c r="N180">
        <v>253.93185730722035</v>
      </c>
      <c r="O180">
        <v>6.3398904543237045E-3</v>
      </c>
      <c r="P180" s="1" t="str">
        <f>HYPERLINK(".\sm_car_260116_2048\sm_car_260116_2048_179_Ca139TrE_MaDLC_DrSt_ode23t_1.png","figure")</f>
        <v>figure</v>
      </c>
      <c r="Q180" t="s">
        <v>15</v>
      </c>
    </row>
    <row r="181" spans="1:17" x14ac:dyDescent="0.25">
      <c r="A181">
        <v>180</v>
      </c>
      <c r="B181">
        <v>139</v>
      </c>
      <c r="C181" t="s">
        <v>45</v>
      </c>
      <c r="D181" t="s">
        <v>17</v>
      </c>
      <c r="E181" t="s">
        <v>18</v>
      </c>
      <c r="F181" t="s">
        <v>19</v>
      </c>
      <c r="G181" t="s">
        <v>26</v>
      </c>
      <c r="H181" t="s">
        <v>66</v>
      </c>
      <c r="I181" t="s">
        <v>53</v>
      </c>
      <c r="J181" t="s">
        <v>148</v>
      </c>
      <c r="K181" t="s">
        <v>23</v>
      </c>
      <c r="L181">
        <v>1023</v>
      </c>
      <c r="M181">
        <v>39.286732800000003</v>
      </c>
      <c r="N181">
        <v>253.65347438611167</v>
      </c>
      <c r="O181">
        <v>-8.8847003916794343E-3</v>
      </c>
      <c r="P181" s="1" t="str">
        <f>HYPERLINK(".\sm_car_260116_2048\sm_car_260116_2048_180_Ca139TrT_MaDLC_DrSt_ode23t_1.png","figure")</f>
        <v>figure</v>
      </c>
      <c r="Q181" t="s">
        <v>15</v>
      </c>
    </row>
    <row r="182" spans="1:17" x14ac:dyDescent="0.25">
      <c r="A182">
        <v>181</v>
      </c>
      <c r="B182">
        <v>139</v>
      </c>
      <c r="C182" t="s">
        <v>45</v>
      </c>
      <c r="D182" t="s">
        <v>17</v>
      </c>
      <c r="E182" t="s">
        <v>18</v>
      </c>
      <c r="F182" t="s">
        <v>19</v>
      </c>
      <c r="G182" t="s">
        <v>26</v>
      </c>
      <c r="H182" t="s">
        <v>65</v>
      </c>
      <c r="I182" t="s">
        <v>53</v>
      </c>
      <c r="J182" t="s">
        <v>148</v>
      </c>
      <c r="K182" t="s">
        <v>23</v>
      </c>
      <c r="L182">
        <v>954</v>
      </c>
      <c r="M182">
        <v>24.451478000000002</v>
      </c>
      <c r="N182">
        <v>253.27768587464482</v>
      </c>
      <c r="O182">
        <v>0.17002960848229876</v>
      </c>
      <c r="P182" s="1" t="str">
        <f>HYPERLINK(".\sm_car_260116_2048\sm_car_260116_2048_181_Ca139TrE_MaDLC_DrSt_ode23t_1.png","figure")</f>
        <v>figure</v>
      </c>
      <c r="Q182" t="s">
        <v>15</v>
      </c>
    </row>
    <row r="183" spans="1:17" x14ac:dyDescent="0.25">
      <c r="A183">
        <v>182</v>
      </c>
      <c r="B183">
        <v>2</v>
      </c>
      <c r="C183" t="s">
        <v>16</v>
      </c>
      <c r="D183" t="s">
        <v>17</v>
      </c>
      <c r="E183" t="s">
        <v>18</v>
      </c>
      <c r="F183" t="s">
        <v>19</v>
      </c>
      <c r="G183" t="s">
        <v>188</v>
      </c>
      <c r="H183" t="s">
        <v>21</v>
      </c>
      <c r="I183" t="s">
        <v>53</v>
      </c>
      <c r="J183" t="s">
        <v>148</v>
      </c>
      <c r="K183" t="s">
        <v>23</v>
      </c>
      <c r="L183">
        <v>529</v>
      </c>
      <c r="M183">
        <v>9.2020320000000009</v>
      </c>
      <c r="N183">
        <v>254.98668971193138</v>
      </c>
      <c r="O183">
        <v>4.1088907798354501E-2</v>
      </c>
      <c r="P183" s="1" t="str">
        <f>HYPERLINK(".\sm_car_260116_2048\sm_car_260116_2048_182_Ca002TrN_MaDLC_DrSt_ode23t_1.png","figure")</f>
        <v>figure</v>
      </c>
      <c r="Q183" t="s">
        <v>15</v>
      </c>
    </row>
    <row r="184" spans="1:17" x14ac:dyDescent="0.25">
      <c r="A184">
        <v>183</v>
      </c>
      <c r="B184">
        <v>2</v>
      </c>
      <c r="C184" t="s">
        <v>16</v>
      </c>
      <c r="D184" t="s">
        <v>17</v>
      </c>
      <c r="E184" t="s">
        <v>18</v>
      </c>
      <c r="F184" t="s">
        <v>19</v>
      </c>
      <c r="G184" t="s">
        <v>188</v>
      </c>
      <c r="H184" t="s">
        <v>65</v>
      </c>
      <c r="I184" t="s">
        <v>53</v>
      </c>
      <c r="J184" t="s">
        <v>148</v>
      </c>
      <c r="K184" t="s">
        <v>23</v>
      </c>
      <c r="L184">
        <v>564</v>
      </c>
      <c r="M184">
        <v>16.9643081</v>
      </c>
      <c r="N184">
        <v>255.22921486954465</v>
      </c>
      <c r="O184">
        <v>4.0793742758303164E-2</v>
      </c>
      <c r="P184" s="1" t="str">
        <f>HYPERLINK(".\sm_car_260116_2048\sm_car_260116_2048_183_Ca002TrE_MaDLC_DrSt_ode23t_1.png","figure")</f>
        <v>figure</v>
      </c>
      <c r="Q184" t="s">
        <v>15</v>
      </c>
    </row>
    <row r="185" spans="1:17" x14ac:dyDescent="0.25">
      <c r="A185">
        <v>184</v>
      </c>
      <c r="B185">
        <v>2</v>
      </c>
      <c r="C185" t="s">
        <v>16</v>
      </c>
      <c r="D185" t="s">
        <v>17</v>
      </c>
      <c r="E185" t="s">
        <v>18</v>
      </c>
      <c r="F185" t="s">
        <v>19</v>
      </c>
      <c r="G185" t="s">
        <v>188</v>
      </c>
      <c r="H185" t="s">
        <v>66</v>
      </c>
      <c r="I185" t="s">
        <v>53</v>
      </c>
      <c r="J185" t="s">
        <v>148</v>
      </c>
      <c r="K185" t="s">
        <v>23</v>
      </c>
      <c r="L185">
        <v>846</v>
      </c>
      <c r="M185">
        <v>24.544990200000001</v>
      </c>
      <c r="N185">
        <v>254.61634224987506</v>
      </c>
      <c r="O185">
        <v>4.2321892658817362E-2</v>
      </c>
      <c r="P185" s="1" t="str">
        <f>HYPERLINK(".\sm_car_260116_2048\sm_car_260116_2048_184_Ca002TrT_MaDLC_DrSt_ode23t_1.png","figure")</f>
        <v>figure</v>
      </c>
      <c r="Q185" t="s">
        <v>15</v>
      </c>
    </row>
    <row r="186" spans="1:17" x14ac:dyDescent="0.25">
      <c r="A186">
        <v>185</v>
      </c>
      <c r="B186">
        <v>2</v>
      </c>
      <c r="C186" t="s">
        <v>16</v>
      </c>
      <c r="D186" t="s">
        <v>17</v>
      </c>
      <c r="E186" t="s">
        <v>18</v>
      </c>
      <c r="F186" t="s">
        <v>19</v>
      </c>
      <c r="G186" t="s">
        <v>188</v>
      </c>
      <c r="H186" t="s">
        <v>65</v>
      </c>
      <c r="I186" t="s">
        <v>53</v>
      </c>
      <c r="J186" t="s">
        <v>148</v>
      </c>
      <c r="K186" t="s">
        <v>23</v>
      </c>
      <c r="L186">
        <v>579</v>
      </c>
      <c r="M186">
        <v>12.409027200000001</v>
      </c>
      <c r="N186">
        <v>255.30680264779829</v>
      </c>
      <c r="O186">
        <v>4.0514454061913785E-2</v>
      </c>
      <c r="P186" s="1" t="str">
        <f>HYPERLINK(".\sm_car_260116_2048\sm_car_260116_2048_185_Ca002TrE_MaDLC_DrSt_ode23t_1.png","figure")</f>
        <v>figure</v>
      </c>
      <c r="Q186" t="s">
        <v>15</v>
      </c>
    </row>
    <row r="187" spans="1:17" x14ac:dyDescent="0.25">
      <c r="A187">
        <v>186</v>
      </c>
      <c r="B187">
        <v>145</v>
      </c>
      <c r="C187" t="s">
        <v>46</v>
      </c>
      <c r="D187" t="s">
        <v>17</v>
      </c>
      <c r="E187" t="s">
        <v>50</v>
      </c>
      <c r="F187" t="s">
        <v>19</v>
      </c>
      <c r="G187" t="s">
        <v>26</v>
      </c>
      <c r="H187" t="s">
        <v>21</v>
      </c>
      <c r="I187" t="s">
        <v>53</v>
      </c>
      <c r="J187" t="s">
        <v>148</v>
      </c>
      <c r="K187" t="s">
        <v>23</v>
      </c>
      <c r="L187">
        <v>456</v>
      </c>
      <c r="M187">
        <v>15.530507</v>
      </c>
      <c r="N187">
        <v>253.91319581641682</v>
      </c>
      <c r="O187">
        <v>7.4963089743133704E-2</v>
      </c>
      <c r="P187" s="1" t="str">
        <f>HYPERLINK(".\sm_car_260116_2048\sm_car_260116_2048_186_Ca145TrN_MaDLC_DrSt_ode23t_1.png","figure")</f>
        <v>figure</v>
      </c>
      <c r="Q187" t="s">
        <v>15</v>
      </c>
    </row>
    <row r="188" spans="1:17" x14ac:dyDescent="0.25">
      <c r="A188">
        <v>187</v>
      </c>
      <c r="B188">
        <v>145</v>
      </c>
      <c r="C188" t="s">
        <v>46</v>
      </c>
      <c r="D188" t="s">
        <v>17</v>
      </c>
      <c r="E188" t="s">
        <v>50</v>
      </c>
      <c r="F188" t="s">
        <v>19</v>
      </c>
      <c r="G188" t="s">
        <v>26</v>
      </c>
      <c r="H188" t="s">
        <v>65</v>
      </c>
      <c r="I188" t="s">
        <v>53</v>
      </c>
      <c r="J188" t="s">
        <v>148</v>
      </c>
      <c r="K188" t="s">
        <v>23</v>
      </c>
      <c r="L188">
        <v>568</v>
      </c>
      <c r="M188">
        <v>30.074980499999999</v>
      </c>
      <c r="N188">
        <v>253.54158605579875</v>
      </c>
      <c r="O188">
        <v>7.7434658771752485E-2</v>
      </c>
      <c r="P188" s="1" t="str">
        <f>HYPERLINK(".\sm_car_260116_2048\sm_car_260116_2048_187_Ca145TrE_MaDLC_DrSt_ode23t_1.png","figure")</f>
        <v>figure</v>
      </c>
      <c r="Q188" t="s">
        <v>15</v>
      </c>
    </row>
    <row r="189" spans="1:17" x14ac:dyDescent="0.25">
      <c r="A189">
        <v>188</v>
      </c>
      <c r="B189">
        <v>145</v>
      </c>
      <c r="C189" t="s">
        <v>46</v>
      </c>
      <c r="D189" t="s">
        <v>17</v>
      </c>
      <c r="E189" t="s">
        <v>50</v>
      </c>
      <c r="F189" t="s">
        <v>19</v>
      </c>
      <c r="G189" t="s">
        <v>26</v>
      </c>
      <c r="H189" t="s">
        <v>66</v>
      </c>
      <c r="I189" t="s">
        <v>53</v>
      </c>
      <c r="J189" t="s">
        <v>148</v>
      </c>
      <c r="K189" t="s">
        <v>23</v>
      </c>
      <c r="L189">
        <v>785</v>
      </c>
      <c r="M189">
        <v>43.566883799999999</v>
      </c>
      <c r="N189">
        <v>256.23238480540806</v>
      </c>
      <c r="O189">
        <v>6.470934361257763E-2</v>
      </c>
      <c r="P189" s="1" t="str">
        <f>HYPERLINK(".\sm_car_260116_2048\sm_car_260116_2048_188_Ca145TrT_MaDLC_DrSt_ode23t_1.png","figure")</f>
        <v>figure</v>
      </c>
      <c r="Q189" t="s">
        <v>15</v>
      </c>
    </row>
    <row r="190" spans="1:17" x14ac:dyDescent="0.25">
      <c r="A190">
        <v>189</v>
      </c>
      <c r="B190">
        <v>145</v>
      </c>
      <c r="C190" t="s">
        <v>46</v>
      </c>
      <c r="D190" t="s">
        <v>17</v>
      </c>
      <c r="E190" t="s">
        <v>50</v>
      </c>
      <c r="F190" t="s">
        <v>19</v>
      </c>
      <c r="G190" t="s">
        <v>26</v>
      </c>
      <c r="H190" t="s">
        <v>65</v>
      </c>
      <c r="I190" t="s">
        <v>53</v>
      </c>
      <c r="J190" t="s">
        <v>148</v>
      </c>
      <c r="K190" t="s">
        <v>23</v>
      </c>
      <c r="L190">
        <v>574</v>
      </c>
      <c r="M190">
        <v>26.434404499999999</v>
      </c>
      <c r="N190">
        <v>254.52744634729021</v>
      </c>
      <c r="O190">
        <v>7.2685837890370752E-2</v>
      </c>
      <c r="P190" s="1" t="str">
        <f>HYPERLINK(".\sm_car_260116_2048\sm_car_260116_2048_189_Ca145TrE_MaDLC_DrSt_ode23t_1.png","figure")</f>
        <v>figure</v>
      </c>
      <c r="Q190" t="s">
        <v>15</v>
      </c>
    </row>
    <row r="191" spans="1:17" x14ac:dyDescent="0.25">
      <c r="A191">
        <v>190</v>
      </c>
      <c r="B191">
        <v>199</v>
      </c>
      <c r="C191" t="s">
        <v>46</v>
      </c>
      <c r="D191" t="s">
        <v>17</v>
      </c>
      <c r="E191" t="s">
        <v>109</v>
      </c>
      <c r="F191" t="s">
        <v>19</v>
      </c>
      <c r="G191" t="s">
        <v>26</v>
      </c>
      <c r="H191" t="s">
        <v>21</v>
      </c>
      <c r="I191" t="s">
        <v>53</v>
      </c>
      <c r="J191" t="s">
        <v>148</v>
      </c>
      <c r="K191" t="s">
        <v>23</v>
      </c>
      <c r="L191">
        <v>471</v>
      </c>
      <c r="M191">
        <v>7.3810029999999998</v>
      </c>
      <c r="N191">
        <v>253.35903487708219</v>
      </c>
      <c r="O191">
        <v>7.768790645386181E-2</v>
      </c>
      <c r="P191" s="1" t="str">
        <f>HYPERLINK(".\sm_car_260116_2048\sm_car_260116_2048_190_Ca199TrN_MaDLC_DrSt_ode23t_1.png","figure")</f>
        <v>figure</v>
      </c>
      <c r="Q191" t="s">
        <v>15</v>
      </c>
    </row>
    <row r="192" spans="1:17" x14ac:dyDescent="0.25">
      <c r="A192">
        <v>191</v>
      </c>
      <c r="B192">
        <v>199</v>
      </c>
      <c r="C192" t="s">
        <v>46</v>
      </c>
      <c r="D192" t="s">
        <v>17</v>
      </c>
      <c r="E192" t="s">
        <v>109</v>
      </c>
      <c r="F192" t="s">
        <v>19</v>
      </c>
      <c r="G192" t="s">
        <v>26</v>
      </c>
      <c r="H192" t="s">
        <v>65</v>
      </c>
      <c r="I192" t="s">
        <v>53</v>
      </c>
      <c r="J192" t="s">
        <v>148</v>
      </c>
      <c r="K192" t="s">
        <v>23</v>
      </c>
      <c r="L192">
        <v>575</v>
      </c>
      <c r="M192">
        <v>16.754922799999999</v>
      </c>
      <c r="N192">
        <v>254.88684941609313</v>
      </c>
      <c r="O192">
        <v>7.0975244757817357E-2</v>
      </c>
      <c r="P192" s="1" t="str">
        <f>HYPERLINK(".\sm_car_260116_2048\sm_car_260116_2048_191_Ca199TrE_MaDLC_DrSt_ode23t_1.png","figure")</f>
        <v>figure</v>
      </c>
      <c r="Q192" t="s">
        <v>15</v>
      </c>
    </row>
    <row r="193" spans="1:17" x14ac:dyDescent="0.25">
      <c r="A193">
        <v>192</v>
      </c>
      <c r="B193">
        <v>199</v>
      </c>
      <c r="C193" t="s">
        <v>46</v>
      </c>
      <c r="D193" t="s">
        <v>17</v>
      </c>
      <c r="E193" t="s">
        <v>109</v>
      </c>
      <c r="F193" t="s">
        <v>19</v>
      </c>
      <c r="G193" t="s">
        <v>26</v>
      </c>
      <c r="H193" t="s">
        <v>66</v>
      </c>
      <c r="I193" t="s">
        <v>53</v>
      </c>
      <c r="J193" t="s">
        <v>148</v>
      </c>
      <c r="K193" t="s">
        <v>23</v>
      </c>
      <c r="L193">
        <v>1185</v>
      </c>
      <c r="M193">
        <v>52.808477199999999</v>
      </c>
      <c r="N193">
        <v>255.52440194215603</v>
      </c>
      <c r="O193">
        <v>6.7777836312274964E-2</v>
      </c>
      <c r="P193" s="1" t="str">
        <f>HYPERLINK(".\sm_car_260116_2048\sm_car_260116_2048_192_Ca199TrT_MaDLC_DrSt_ode23t_1.png","figure")</f>
        <v>figure</v>
      </c>
      <c r="Q193" t="s">
        <v>15</v>
      </c>
    </row>
    <row r="194" spans="1:17" x14ac:dyDescent="0.25">
      <c r="A194">
        <v>193</v>
      </c>
      <c r="B194">
        <v>199</v>
      </c>
      <c r="C194" t="s">
        <v>46</v>
      </c>
      <c r="D194" t="s">
        <v>17</v>
      </c>
      <c r="E194" t="s">
        <v>109</v>
      </c>
      <c r="F194" t="s">
        <v>19</v>
      </c>
      <c r="G194" t="s">
        <v>26</v>
      </c>
      <c r="H194" t="s">
        <v>65</v>
      </c>
      <c r="I194" t="s">
        <v>53</v>
      </c>
      <c r="J194" t="s">
        <v>148</v>
      </c>
      <c r="K194" t="s">
        <v>23</v>
      </c>
      <c r="L194">
        <v>582</v>
      </c>
      <c r="M194">
        <v>11.8858072</v>
      </c>
      <c r="N194">
        <v>255.71038449004971</v>
      </c>
      <c r="O194">
        <v>6.7512426457045027E-2</v>
      </c>
      <c r="P194" s="1" t="str">
        <f>HYPERLINK(".\sm_car_260116_2048\sm_car_260116_2048_193_Ca199TrE_MaDLC_DrSt_ode23t_1.png","figure")</f>
        <v>figure</v>
      </c>
      <c r="Q194" t="s">
        <v>15</v>
      </c>
    </row>
    <row r="195" spans="1:17" x14ac:dyDescent="0.25">
      <c r="A195">
        <v>194</v>
      </c>
      <c r="B195">
        <v>189</v>
      </c>
      <c r="C195" t="s">
        <v>45</v>
      </c>
      <c r="D195" t="s">
        <v>17</v>
      </c>
      <c r="E195" t="s">
        <v>107</v>
      </c>
      <c r="F195" t="s">
        <v>19</v>
      </c>
      <c r="G195" t="s">
        <v>26</v>
      </c>
      <c r="H195" t="s">
        <v>65</v>
      </c>
      <c r="I195" t="s">
        <v>67</v>
      </c>
      <c r="J195" t="s">
        <v>148</v>
      </c>
      <c r="K195" t="s">
        <v>23</v>
      </c>
      <c r="L195">
        <v>399</v>
      </c>
      <c r="M195">
        <v>11.2919132</v>
      </c>
      <c r="N195">
        <v>264.58233228340436</v>
      </c>
      <c r="O195">
        <v>1.2782582768440243E-3</v>
      </c>
      <c r="P195" s="1" t="str">
        <f>HYPERLINK(".\sm_car_260116_2048\sm_car_260116_2048_194_Ca189TrE_MaTRD_DrSt_ode23t_1.png","figure")</f>
        <v>figure</v>
      </c>
      <c r="Q195" t="s">
        <v>15</v>
      </c>
    </row>
    <row r="196" spans="1:17" x14ac:dyDescent="0.25">
      <c r="A196">
        <v>195</v>
      </c>
      <c r="B196">
        <v>189</v>
      </c>
      <c r="C196" t="s">
        <v>45</v>
      </c>
      <c r="D196" t="s">
        <v>17</v>
      </c>
      <c r="E196" t="s">
        <v>107</v>
      </c>
      <c r="F196" t="s">
        <v>19</v>
      </c>
      <c r="G196" t="s">
        <v>26</v>
      </c>
      <c r="H196" t="s">
        <v>65</v>
      </c>
      <c r="I196" t="s">
        <v>67</v>
      </c>
      <c r="J196" t="s">
        <v>148</v>
      </c>
      <c r="K196" t="s">
        <v>23</v>
      </c>
      <c r="L196">
        <v>596</v>
      </c>
      <c r="M196">
        <v>15.788529799999999</v>
      </c>
      <c r="N196">
        <v>264.429023822722</v>
      </c>
      <c r="O196">
        <v>-9.0223587035060504E-2</v>
      </c>
      <c r="P196" s="1" t="str">
        <f>HYPERLINK(".\sm_car_260116_2048\sm_car_260116_2048_195_Ca189TrU_MaTRD_DrSt_ode23t_1.png","figure")</f>
        <v>figure</v>
      </c>
      <c r="Q196" t="s">
        <v>15</v>
      </c>
    </row>
    <row r="197" spans="1:17" x14ac:dyDescent="0.25">
      <c r="A197">
        <v>196</v>
      </c>
      <c r="B197">
        <v>149</v>
      </c>
      <c r="C197" t="s">
        <v>46</v>
      </c>
      <c r="D197" t="s">
        <v>17</v>
      </c>
      <c r="E197" t="s">
        <v>68</v>
      </c>
      <c r="F197" t="s">
        <v>19</v>
      </c>
      <c r="G197" t="s">
        <v>26</v>
      </c>
      <c r="H197" t="s">
        <v>21</v>
      </c>
      <c r="I197" t="s">
        <v>177</v>
      </c>
      <c r="J197" t="s">
        <v>148</v>
      </c>
      <c r="K197" t="s">
        <v>23</v>
      </c>
      <c r="L197">
        <v>1019</v>
      </c>
      <c r="M197">
        <v>11.6087183</v>
      </c>
      <c r="N197">
        <v>-5.9721673626764726E-3</v>
      </c>
      <c r="O197">
        <v>-8.8765000351324549E-4</v>
      </c>
      <c r="P197" s="1" t="str">
        <f>HYPERLINK(".\sm_car_260116_2048\sm_car_260116_2048_196_Ca149TrN_MaPS1_DrSt_ode23t_1.png","figure")</f>
        <v>figure</v>
      </c>
      <c r="Q197" t="s">
        <v>15</v>
      </c>
    </row>
    <row r="198" spans="1:17" x14ac:dyDescent="0.25">
      <c r="A198">
        <v>197</v>
      </c>
      <c r="B198">
        <v>149</v>
      </c>
      <c r="C198" t="s">
        <v>46</v>
      </c>
      <c r="D198" t="s">
        <v>17</v>
      </c>
      <c r="E198" t="s">
        <v>68</v>
      </c>
      <c r="F198" t="s">
        <v>19</v>
      </c>
      <c r="G198" t="s">
        <v>26</v>
      </c>
      <c r="H198" t="s">
        <v>21</v>
      </c>
      <c r="I198" t="s">
        <v>178</v>
      </c>
      <c r="J198" t="s">
        <v>148</v>
      </c>
      <c r="K198" t="s">
        <v>23</v>
      </c>
      <c r="L198">
        <v>2919</v>
      </c>
      <c r="M198">
        <v>14.876837999999999</v>
      </c>
      <c r="N198">
        <v>-9.0977208809857046E-3</v>
      </c>
      <c r="O198">
        <v>1.5123443959204116E-3</v>
      </c>
      <c r="P198" s="1" t="str">
        <f>HYPERLINK(".\sm_car_260116_2048\sm_car_260116_2048_197_Ca149TrN_MaPSD_DrSt_ode23t_1.png","figure")</f>
        <v>figure</v>
      </c>
      <c r="Q198" t="s">
        <v>15</v>
      </c>
    </row>
    <row r="199" spans="1:17" x14ac:dyDescent="0.25">
      <c r="A199">
        <v>198</v>
      </c>
      <c r="B199">
        <v>139</v>
      </c>
      <c r="C199" t="s">
        <v>45</v>
      </c>
      <c r="D199" t="s">
        <v>17</v>
      </c>
      <c r="E199" t="s">
        <v>18</v>
      </c>
      <c r="F199" t="s">
        <v>19</v>
      </c>
      <c r="G199" t="s">
        <v>26</v>
      </c>
      <c r="H199" t="s">
        <v>21</v>
      </c>
      <c r="I199" t="s">
        <v>70</v>
      </c>
      <c r="J199" t="s">
        <v>148</v>
      </c>
      <c r="K199" t="s">
        <v>23</v>
      </c>
      <c r="L199">
        <v>1544</v>
      </c>
      <c r="M199">
        <v>34.599579200000001</v>
      </c>
      <c r="N199">
        <v>36.380996610599055</v>
      </c>
      <c r="O199">
        <v>0.23297904863917651</v>
      </c>
      <c r="P199" s="1" t="str">
        <f>HYPERLINK(".\sm_car_260116_2048\sm_car_260116_2048_198_Ca139TrN_MaSKD_DrSt_ode23t_1.png","figure")</f>
        <v>figure</v>
      </c>
      <c r="Q199" t="s">
        <v>15</v>
      </c>
    </row>
    <row r="200" spans="1:17" x14ac:dyDescent="0.25">
      <c r="A200">
        <v>199</v>
      </c>
      <c r="B200">
        <v>139</v>
      </c>
      <c r="C200" t="s">
        <v>45</v>
      </c>
      <c r="D200" t="s">
        <v>17</v>
      </c>
      <c r="E200" t="s">
        <v>18</v>
      </c>
      <c r="F200" t="s">
        <v>19</v>
      </c>
      <c r="G200" t="s">
        <v>26</v>
      </c>
      <c r="H200" t="s">
        <v>21</v>
      </c>
      <c r="I200" t="s">
        <v>71</v>
      </c>
      <c r="J200" t="s">
        <v>148</v>
      </c>
      <c r="K200" t="s">
        <v>23</v>
      </c>
      <c r="L200">
        <v>818</v>
      </c>
      <c r="M200">
        <v>20.116258500000001</v>
      </c>
      <c r="N200">
        <v>2.854346832243948E-4</v>
      </c>
      <c r="O200">
        <v>20.559217788148725</v>
      </c>
      <c r="P200" s="1" t="str">
        <f>HYPERLINK(".\sm_car_260116_2048\sm_car_260116_2048_199_Ca139TrN_MaRAD_DrSt_ode23t_1.png","figure")</f>
        <v>figure</v>
      </c>
      <c r="Q200" t="s">
        <v>15</v>
      </c>
    </row>
    <row r="201" spans="1:17" x14ac:dyDescent="0.25">
      <c r="A201">
        <v>200</v>
      </c>
      <c r="B201">
        <v>184</v>
      </c>
      <c r="C201" t="s">
        <v>105</v>
      </c>
      <c r="D201" t="s">
        <v>120</v>
      </c>
      <c r="E201" t="s">
        <v>49</v>
      </c>
      <c r="F201" t="s">
        <v>19</v>
      </c>
      <c r="G201" t="s">
        <v>20</v>
      </c>
      <c r="H201" t="s">
        <v>21</v>
      </c>
      <c r="I201" t="s">
        <v>70</v>
      </c>
      <c r="J201" t="s">
        <v>148</v>
      </c>
      <c r="K201" t="s">
        <v>23</v>
      </c>
      <c r="L201">
        <v>1317</v>
      </c>
      <c r="M201">
        <v>48.499431600000001</v>
      </c>
      <c r="N201">
        <v>36.539141079078327</v>
      </c>
      <c r="O201">
        <v>0.15673863727957171</v>
      </c>
      <c r="P201" s="1" t="str">
        <f>HYPERLINK(".\sm_car_260116_2048\sm_car_260116_2048_200_Ca184TrN_MaSKD_DrSt_ode23t_1.png","figure")</f>
        <v>figure</v>
      </c>
      <c r="Q201" t="s">
        <v>15</v>
      </c>
    </row>
    <row r="202" spans="1:17" x14ac:dyDescent="0.25">
      <c r="A202">
        <v>201</v>
      </c>
      <c r="B202">
        <v>184</v>
      </c>
      <c r="C202" t="s">
        <v>105</v>
      </c>
      <c r="D202" t="s">
        <v>120</v>
      </c>
      <c r="E202" t="s">
        <v>49</v>
      </c>
      <c r="F202" t="s">
        <v>19</v>
      </c>
      <c r="G202" t="s">
        <v>20</v>
      </c>
      <c r="H202" t="s">
        <v>21</v>
      </c>
      <c r="I202" t="s">
        <v>71</v>
      </c>
      <c r="J202" t="s">
        <v>148</v>
      </c>
      <c r="K202" t="s">
        <v>23</v>
      </c>
      <c r="L202">
        <v>646</v>
      </c>
      <c r="M202">
        <v>23.576460099999998</v>
      </c>
      <c r="N202">
        <v>7.4804616239762574</v>
      </c>
      <c r="O202">
        <v>10.383853124414514</v>
      </c>
      <c r="P202" s="1" t="str">
        <f>HYPERLINK(".\sm_car_260116_2048\sm_car_260116_2048_201_Ca184TrN_MaRAD_DrSt_ode23t_1.png","figure")</f>
        <v>figure</v>
      </c>
      <c r="Q202" t="s">
        <v>15</v>
      </c>
    </row>
    <row r="203" spans="1:17" x14ac:dyDescent="0.25">
      <c r="A203">
        <v>202</v>
      </c>
      <c r="B203">
        <v>228</v>
      </c>
      <c r="C203" t="s">
        <v>160</v>
      </c>
      <c r="D203" t="s">
        <v>35</v>
      </c>
      <c r="E203" t="s">
        <v>107</v>
      </c>
      <c r="F203" t="s">
        <v>19</v>
      </c>
      <c r="G203" t="s">
        <v>26</v>
      </c>
      <c r="H203" t="s">
        <v>21</v>
      </c>
      <c r="I203" t="s">
        <v>70</v>
      </c>
      <c r="J203" t="s">
        <v>148</v>
      </c>
      <c r="K203" t="s">
        <v>23</v>
      </c>
      <c r="L203">
        <v>1684</v>
      </c>
      <c r="M203">
        <v>7.6734713000000001</v>
      </c>
      <c r="N203">
        <v>36.50370608701693</v>
      </c>
      <c r="O203">
        <v>0.55728227999406299</v>
      </c>
      <c r="P203" s="1" t="str">
        <f>HYPERLINK(".\sm_car_260116_2048\sm_car_260116_2048_202_Ca228TrN_MaSKD_DrSt_ode23t_1.png","figure")</f>
        <v>figure</v>
      </c>
      <c r="Q203" t="s">
        <v>15</v>
      </c>
    </row>
    <row r="204" spans="1:17" x14ac:dyDescent="0.25">
      <c r="A204">
        <v>203</v>
      </c>
      <c r="B204">
        <v>228</v>
      </c>
      <c r="C204" t="s">
        <v>160</v>
      </c>
      <c r="D204" t="s">
        <v>35</v>
      </c>
      <c r="E204" t="s">
        <v>107</v>
      </c>
      <c r="F204" t="s">
        <v>19</v>
      </c>
      <c r="G204" t="s">
        <v>26</v>
      </c>
      <c r="H204" t="s">
        <v>21</v>
      </c>
      <c r="I204" t="s">
        <v>71</v>
      </c>
      <c r="J204" t="s">
        <v>148</v>
      </c>
      <c r="K204" t="s">
        <v>23</v>
      </c>
      <c r="L204">
        <v>1846</v>
      </c>
      <c r="M204">
        <v>8.2196016000000007</v>
      </c>
      <c r="N204">
        <v>30.555109083864579</v>
      </c>
      <c r="O204">
        <v>-33.584965220295011</v>
      </c>
      <c r="P204" s="1" t="str">
        <f>HYPERLINK(".\sm_car_260116_2048\sm_car_260116_2048_203_Ca228TrN_MaRAD_DrSt_ode23t_1.png","figure")</f>
        <v>figure</v>
      </c>
      <c r="Q204" t="s">
        <v>15</v>
      </c>
    </row>
    <row r="205" spans="1:17" x14ac:dyDescent="0.25">
      <c r="A205">
        <v>204</v>
      </c>
      <c r="B205">
        <v>230</v>
      </c>
      <c r="C205" t="s">
        <v>160</v>
      </c>
      <c r="D205" t="s">
        <v>161</v>
      </c>
      <c r="E205" t="s">
        <v>162</v>
      </c>
      <c r="F205" t="s">
        <v>19</v>
      </c>
      <c r="G205" t="s">
        <v>26</v>
      </c>
      <c r="H205" t="s">
        <v>21</v>
      </c>
      <c r="I205" t="s">
        <v>70</v>
      </c>
      <c r="J205" t="s">
        <v>148</v>
      </c>
      <c r="K205" t="s">
        <v>23</v>
      </c>
      <c r="L205">
        <v>1463</v>
      </c>
      <c r="M205">
        <v>27.732081999999998</v>
      </c>
      <c r="N205">
        <v>36.37185768429697</v>
      </c>
      <c r="O205">
        <v>-0.46327845215769148</v>
      </c>
      <c r="P205" s="1" t="str">
        <f>HYPERLINK(".\sm_car_260116_2048\sm_car_260116_2048_204_Ca230TrN_MaSKD_DrSt_ode23t_1.png","figure")</f>
        <v>figure</v>
      </c>
      <c r="Q205" t="s">
        <v>15</v>
      </c>
    </row>
    <row r="206" spans="1:17" x14ac:dyDescent="0.25">
      <c r="A206">
        <v>205</v>
      </c>
      <c r="B206">
        <v>230</v>
      </c>
      <c r="C206" t="s">
        <v>160</v>
      </c>
      <c r="D206" t="s">
        <v>161</v>
      </c>
      <c r="E206" t="s">
        <v>162</v>
      </c>
      <c r="F206" t="s">
        <v>19</v>
      </c>
      <c r="G206" t="s">
        <v>26</v>
      </c>
      <c r="H206" t="s">
        <v>21</v>
      </c>
      <c r="I206" t="s">
        <v>71</v>
      </c>
      <c r="J206" t="s">
        <v>148</v>
      </c>
      <c r="K206" t="s">
        <v>23</v>
      </c>
      <c r="L206">
        <v>1242</v>
      </c>
      <c r="M206">
        <v>23.014895200000002</v>
      </c>
      <c r="N206">
        <v>42.089038298732731</v>
      </c>
      <c r="O206">
        <v>13.425887881263971</v>
      </c>
      <c r="P206" s="1" t="str">
        <f>HYPERLINK(".\sm_car_260116_2048\sm_car_260116_2048_205_Ca230TrN_MaRAD_DrSt_ode23t_1.png","figure")</f>
        <v>figure</v>
      </c>
      <c r="Q206" t="s">
        <v>15</v>
      </c>
    </row>
    <row r="207" spans="1:17" x14ac:dyDescent="0.25">
      <c r="A207">
        <v>206</v>
      </c>
      <c r="B207">
        <v>231</v>
      </c>
      <c r="C207" t="s">
        <v>160</v>
      </c>
      <c r="D207" t="s">
        <v>172</v>
      </c>
      <c r="E207" t="s">
        <v>162</v>
      </c>
      <c r="F207" t="s">
        <v>19</v>
      </c>
      <c r="G207" t="s">
        <v>26</v>
      </c>
      <c r="H207" t="s">
        <v>21</v>
      </c>
      <c r="I207" t="s">
        <v>70</v>
      </c>
      <c r="J207" t="s">
        <v>148</v>
      </c>
      <c r="K207" t="s">
        <v>23</v>
      </c>
      <c r="L207">
        <v>1499</v>
      </c>
      <c r="M207">
        <v>29.139335500000001</v>
      </c>
      <c r="N207">
        <v>36.489111349943286</v>
      </c>
      <c r="O207">
        <v>-0.27055334034804007</v>
      </c>
      <c r="P207" s="1" t="str">
        <f>HYPERLINK(".\sm_car_260116_2048\sm_car_260116_2048_206_Ca231TrN_MaSKD_DrSt_ode23t_1.png","figure")</f>
        <v>figure</v>
      </c>
      <c r="Q207" t="s">
        <v>15</v>
      </c>
    </row>
    <row r="208" spans="1:17" x14ac:dyDescent="0.25">
      <c r="A208">
        <v>207</v>
      </c>
      <c r="B208">
        <v>231</v>
      </c>
      <c r="C208" t="s">
        <v>160</v>
      </c>
      <c r="D208" t="s">
        <v>172</v>
      </c>
      <c r="E208" t="s">
        <v>162</v>
      </c>
      <c r="F208" t="s">
        <v>19</v>
      </c>
      <c r="G208" t="s">
        <v>26</v>
      </c>
      <c r="H208" t="s">
        <v>21</v>
      </c>
      <c r="I208" t="s">
        <v>71</v>
      </c>
      <c r="J208" t="s">
        <v>148</v>
      </c>
      <c r="K208" t="s">
        <v>23</v>
      </c>
      <c r="L208">
        <v>3094</v>
      </c>
      <c r="M208">
        <v>48.040987700000002</v>
      </c>
      <c r="N208">
        <v>33.077257323887714</v>
      </c>
      <c r="O208">
        <v>4.5684147146004133</v>
      </c>
      <c r="P208" s="1" t="str">
        <f>HYPERLINK(".\sm_car_260116_2048\sm_car_260116_2048_207_Ca231TrN_MaRAD_DrSt_ode23t_1.png","figure")</f>
        <v>figure</v>
      </c>
      <c r="Q208" t="s">
        <v>15</v>
      </c>
    </row>
    <row r="209" spans="1:17" x14ac:dyDescent="0.25">
      <c r="A209">
        <v>208</v>
      </c>
      <c r="B209">
        <v>233</v>
      </c>
      <c r="C209" t="s">
        <v>45</v>
      </c>
      <c r="D209" t="s">
        <v>17</v>
      </c>
      <c r="E209" t="s">
        <v>107</v>
      </c>
      <c r="F209" t="s">
        <v>19</v>
      </c>
      <c r="G209" t="s">
        <v>182</v>
      </c>
      <c r="H209" t="s">
        <v>21</v>
      </c>
      <c r="I209" t="s">
        <v>70</v>
      </c>
      <c r="J209" t="s">
        <v>148</v>
      </c>
      <c r="K209" t="s">
        <v>23</v>
      </c>
      <c r="L209">
        <v>1617</v>
      </c>
      <c r="M209">
        <v>28.383997399999998</v>
      </c>
      <c r="N209">
        <v>36.446085878297765</v>
      </c>
      <c r="O209">
        <v>-0.33405846586776194</v>
      </c>
      <c r="P209" s="1" t="str">
        <f>HYPERLINK(".\sm_car_260116_2048\sm_car_260116_2048_208_Ca233TrN_MaSKD_DrSt_ode23t_1.png","figure")</f>
        <v>figure</v>
      </c>
      <c r="Q209" t="s">
        <v>15</v>
      </c>
    </row>
    <row r="210" spans="1:17" x14ac:dyDescent="0.25">
      <c r="A210">
        <v>209</v>
      </c>
      <c r="B210">
        <v>233</v>
      </c>
      <c r="C210" t="s">
        <v>45</v>
      </c>
      <c r="D210" t="s">
        <v>17</v>
      </c>
      <c r="E210" t="s">
        <v>107</v>
      </c>
      <c r="F210" t="s">
        <v>19</v>
      </c>
      <c r="G210" t="s">
        <v>182</v>
      </c>
      <c r="H210" t="s">
        <v>21</v>
      </c>
      <c r="I210" t="s">
        <v>71</v>
      </c>
      <c r="J210" t="s">
        <v>148</v>
      </c>
      <c r="K210" t="s">
        <v>23</v>
      </c>
      <c r="L210">
        <v>897</v>
      </c>
      <c r="M210">
        <v>15.041966499999999</v>
      </c>
      <c r="N210">
        <v>-6.6846199745008335</v>
      </c>
      <c r="O210">
        <v>25.168771204253744</v>
      </c>
      <c r="P210" s="1" t="str">
        <f>HYPERLINK(".\sm_car_260116_2048\sm_car_260116_2048_209_Ca233TrN_MaRAD_DrSt_ode23t_1.png","figure")</f>
        <v>figure</v>
      </c>
      <c r="Q210" t="s">
        <v>15</v>
      </c>
    </row>
    <row r="211" spans="1:17" x14ac:dyDescent="0.25">
      <c r="A211">
        <v>210</v>
      </c>
      <c r="B211">
        <v>234</v>
      </c>
      <c r="C211" t="s">
        <v>45</v>
      </c>
      <c r="D211" t="s">
        <v>17</v>
      </c>
      <c r="E211" t="s">
        <v>107</v>
      </c>
      <c r="F211" t="s">
        <v>19</v>
      </c>
      <c r="G211" t="s">
        <v>183</v>
      </c>
      <c r="H211" t="s">
        <v>21</v>
      </c>
      <c r="I211" t="s">
        <v>70</v>
      </c>
      <c r="J211" t="s">
        <v>148</v>
      </c>
      <c r="K211" t="s">
        <v>23</v>
      </c>
      <c r="L211">
        <v>3129</v>
      </c>
      <c r="M211">
        <v>51.696232299999998</v>
      </c>
      <c r="N211">
        <v>36.341814654085304</v>
      </c>
      <c r="O211">
        <v>-0.30644020292202434</v>
      </c>
      <c r="P211" s="1" t="str">
        <f>HYPERLINK(".\sm_car_260116_2048\sm_car_260116_2048_210_Ca234TrN_MaSKD_DrSt_ode23t_1.png","figure")</f>
        <v>figure</v>
      </c>
      <c r="Q211" t="s">
        <v>15</v>
      </c>
    </row>
    <row r="212" spans="1:17" x14ac:dyDescent="0.25">
      <c r="A212">
        <v>211</v>
      </c>
      <c r="B212">
        <v>234</v>
      </c>
      <c r="C212" t="s">
        <v>45</v>
      </c>
      <c r="D212" t="s">
        <v>17</v>
      </c>
      <c r="E212" t="s">
        <v>107</v>
      </c>
      <c r="F212" t="s">
        <v>19</v>
      </c>
      <c r="G212" t="s">
        <v>183</v>
      </c>
      <c r="H212" t="s">
        <v>21</v>
      </c>
      <c r="I212" t="s">
        <v>71</v>
      </c>
      <c r="J212" t="s">
        <v>148</v>
      </c>
      <c r="K212" t="s">
        <v>23</v>
      </c>
      <c r="L212">
        <v>1759</v>
      </c>
      <c r="M212">
        <v>29.801627700000001</v>
      </c>
      <c r="N212">
        <v>-6.4173620438925667</v>
      </c>
      <c r="O212">
        <v>25.313327117730196</v>
      </c>
      <c r="P212" s="1" t="str">
        <f>HYPERLINK(".\sm_car_260116_2048\sm_car_260116_2048_211_Ca234TrN_MaRAD_DrSt_ode23t_1.png","figure")</f>
        <v>figure</v>
      </c>
      <c r="Q212" t="s">
        <v>15</v>
      </c>
    </row>
    <row r="213" spans="1:17" x14ac:dyDescent="0.25">
      <c r="A213">
        <v>212</v>
      </c>
      <c r="B213">
        <v>198</v>
      </c>
      <c r="C213" t="s">
        <v>105</v>
      </c>
      <c r="D213" t="s">
        <v>120</v>
      </c>
      <c r="E213" t="s">
        <v>107</v>
      </c>
      <c r="F213" t="s">
        <v>19</v>
      </c>
      <c r="G213" t="s">
        <v>20</v>
      </c>
      <c r="H213" t="s">
        <v>21</v>
      </c>
      <c r="I213" t="s">
        <v>70</v>
      </c>
      <c r="J213" t="s">
        <v>148</v>
      </c>
      <c r="K213" t="s">
        <v>23</v>
      </c>
      <c r="L213">
        <v>1399</v>
      </c>
      <c r="M213">
        <v>29.776202999999999</v>
      </c>
      <c r="N213">
        <v>36.384718639726941</v>
      </c>
      <c r="O213">
        <v>0.16194127610722706</v>
      </c>
      <c r="P213" s="1" t="str">
        <f>HYPERLINK(".\sm_car_260116_2048\sm_car_260116_2048_212_Ca198TrN_MaSKD_DrSt_ode23t_1.png","figure")</f>
        <v>figure</v>
      </c>
      <c r="Q213" t="s">
        <v>15</v>
      </c>
    </row>
    <row r="214" spans="1:17" x14ac:dyDescent="0.25">
      <c r="A214">
        <v>213</v>
      </c>
      <c r="B214">
        <v>198</v>
      </c>
      <c r="C214" t="s">
        <v>105</v>
      </c>
      <c r="D214" t="s">
        <v>120</v>
      </c>
      <c r="E214" t="s">
        <v>107</v>
      </c>
      <c r="F214" t="s">
        <v>19</v>
      </c>
      <c r="G214" t="s">
        <v>20</v>
      </c>
      <c r="H214" t="s">
        <v>21</v>
      </c>
      <c r="I214" t="s">
        <v>71</v>
      </c>
      <c r="J214" t="s">
        <v>148</v>
      </c>
      <c r="K214" t="s">
        <v>23</v>
      </c>
      <c r="L214">
        <v>682</v>
      </c>
      <c r="M214">
        <v>14.967453300000001</v>
      </c>
      <c r="N214">
        <v>7.5264208153129992</v>
      </c>
      <c r="O214">
        <v>10.281341582433198</v>
      </c>
      <c r="P214" s="1" t="str">
        <f>HYPERLINK(".\sm_car_260116_2048\sm_car_260116_2048_213_Ca198TrN_MaRAD_DrSt_ode23t_1.png","figure")</f>
        <v>figure</v>
      </c>
      <c r="Q214" t="s">
        <v>15</v>
      </c>
    </row>
    <row r="215" spans="1:17" x14ac:dyDescent="0.25">
      <c r="A215">
        <v>214</v>
      </c>
      <c r="B215">
        <v>189</v>
      </c>
      <c r="C215" t="s">
        <v>45</v>
      </c>
      <c r="D215" t="s">
        <v>17</v>
      </c>
      <c r="E215" t="s">
        <v>107</v>
      </c>
      <c r="F215" t="s">
        <v>19</v>
      </c>
      <c r="G215" t="s">
        <v>26</v>
      </c>
      <c r="H215" t="s">
        <v>21</v>
      </c>
      <c r="I215" t="s">
        <v>132</v>
      </c>
      <c r="J215" t="s">
        <v>148</v>
      </c>
      <c r="K215" t="s">
        <v>23</v>
      </c>
      <c r="L215">
        <v>552</v>
      </c>
      <c r="M215">
        <v>14.0761006</v>
      </c>
      <c r="N215">
        <v>134.51155155260184</v>
      </c>
      <c r="O215">
        <v>-14.185415811176336</v>
      </c>
      <c r="P215" s="1" t="str">
        <f>HYPERLINK(".\sm_car_260116_2048\sm_car_260116_2048_214_Ca189TrN_MaFSH_DrSt_ode23t_1.png","figure")</f>
        <v>figure</v>
      </c>
      <c r="Q215" t="s">
        <v>15</v>
      </c>
    </row>
    <row r="216" spans="1:17" x14ac:dyDescent="0.25">
      <c r="A216">
        <v>215</v>
      </c>
      <c r="B216">
        <v>189</v>
      </c>
      <c r="C216" t="s">
        <v>45</v>
      </c>
      <c r="D216" t="s">
        <v>17</v>
      </c>
      <c r="E216" t="s">
        <v>107</v>
      </c>
      <c r="F216" t="s">
        <v>19</v>
      </c>
      <c r="G216" t="s">
        <v>26</v>
      </c>
      <c r="H216" t="s">
        <v>21</v>
      </c>
      <c r="I216" t="s">
        <v>133</v>
      </c>
      <c r="J216" t="s">
        <v>148</v>
      </c>
      <c r="K216" t="s">
        <v>23</v>
      </c>
      <c r="L216">
        <v>419</v>
      </c>
      <c r="M216">
        <v>9.9286531999999994</v>
      </c>
      <c r="N216">
        <v>128.73883377016983</v>
      </c>
      <c r="O216">
        <v>-9.3007490626389266</v>
      </c>
      <c r="P216" s="1" t="str">
        <f>HYPERLINK(".\sm_car_260116_2048\sm_car_260116_2048_215_Ca189TrN_MaSWD_DrSt_ode23t_1.png","figure")</f>
        <v>figure</v>
      </c>
      <c r="Q216" t="s">
        <v>15</v>
      </c>
    </row>
    <row r="217" spans="1:17" x14ac:dyDescent="0.25">
      <c r="A217">
        <v>216</v>
      </c>
      <c r="B217">
        <v>189</v>
      </c>
      <c r="C217" t="s">
        <v>45</v>
      </c>
      <c r="D217" t="s">
        <v>17</v>
      </c>
      <c r="E217" t="s">
        <v>107</v>
      </c>
      <c r="F217" t="s">
        <v>19</v>
      </c>
      <c r="G217" t="s">
        <v>26</v>
      </c>
      <c r="H217" t="s">
        <v>21</v>
      </c>
      <c r="I217" t="s">
        <v>134</v>
      </c>
      <c r="J217" t="s">
        <v>148</v>
      </c>
      <c r="K217" t="s">
        <v>23</v>
      </c>
      <c r="L217">
        <v>428</v>
      </c>
      <c r="M217">
        <v>10.5902344</v>
      </c>
      <c r="N217">
        <v>112.50323149061859</v>
      </c>
      <c r="O217">
        <v>18.076418065675917</v>
      </c>
      <c r="P217" s="1" t="str">
        <f>HYPERLINK(".\sm_car_260116_2048\sm_car_260116_2048_216_Ca189TrN_MaRST_DrSt_ode23t_1.png","figure")</f>
        <v>figure</v>
      </c>
      <c r="Q217" t="s">
        <v>15</v>
      </c>
    </row>
    <row r="218" spans="1:17" x14ac:dyDescent="0.25">
      <c r="A218">
        <v>217</v>
      </c>
      <c r="B218">
        <v>189</v>
      </c>
      <c r="C218" t="s">
        <v>45</v>
      </c>
      <c r="D218" t="s">
        <v>17</v>
      </c>
      <c r="E218" t="s">
        <v>107</v>
      </c>
      <c r="F218" t="s">
        <v>19</v>
      </c>
      <c r="G218" t="s">
        <v>26</v>
      </c>
      <c r="H218" t="s">
        <v>21</v>
      </c>
      <c r="I218" t="s">
        <v>135</v>
      </c>
      <c r="J218" t="s">
        <v>148</v>
      </c>
      <c r="K218" t="s">
        <v>23</v>
      </c>
      <c r="L218">
        <v>582</v>
      </c>
      <c r="M218">
        <v>18.878416000000001</v>
      </c>
      <c r="N218">
        <v>224.05607323348585</v>
      </c>
      <c r="O218">
        <v>0.1073356134072531</v>
      </c>
      <c r="P218" s="1" t="str">
        <f>HYPERLINK(".\sm_car_260116_2048\sm_car_260116_2048_217_Ca189TrN_MaSLA_DrSt_ode23t_1.png","figure")</f>
        <v>figure</v>
      </c>
      <c r="Q218" t="s">
        <v>15</v>
      </c>
    </row>
    <row r="219" spans="1:17" x14ac:dyDescent="0.25">
      <c r="A219">
        <v>218</v>
      </c>
      <c r="B219">
        <v>218</v>
      </c>
      <c r="C219" t="s">
        <v>16</v>
      </c>
      <c r="D219" t="s">
        <v>128</v>
      </c>
      <c r="E219" t="s">
        <v>107</v>
      </c>
      <c r="F219" t="s">
        <v>19</v>
      </c>
      <c r="G219" t="s">
        <v>188</v>
      </c>
      <c r="H219" t="s">
        <v>21</v>
      </c>
      <c r="I219" t="s">
        <v>132</v>
      </c>
      <c r="J219" t="s">
        <v>148</v>
      </c>
      <c r="K219" t="s">
        <v>23</v>
      </c>
      <c r="L219">
        <v>570</v>
      </c>
      <c r="M219">
        <v>9.6477029000000005</v>
      </c>
      <c r="N219">
        <v>101.33022931283112</v>
      </c>
      <c r="O219">
        <v>-21.930236022192926</v>
      </c>
      <c r="P219" s="1" t="str">
        <f>HYPERLINK(".\sm_car_260116_2048\sm_car_260116_2048_218_Ca218TrN_MaFSH_DrSt_ode23t_1.png","figure")</f>
        <v>figure</v>
      </c>
      <c r="Q219" t="s">
        <v>15</v>
      </c>
    </row>
    <row r="220" spans="1:17" x14ac:dyDescent="0.25">
      <c r="A220">
        <v>219</v>
      </c>
      <c r="B220">
        <v>218</v>
      </c>
      <c r="C220" t="s">
        <v>16</v>
      </c>
      <c r="D220" t="s">
        <v>128</v>
      </c>
      <c r="E220" t="s">
        <v>107</v>
      </c>
      <c r="F220" t="s">
        <v>19</v>
      </c>
      <c r="G220" t="s">
        <v>188</v>
      </c>
      <c r="H220" t="s">
        <v>21</v>
      </c>
      <c r="I220" t="s">
        <v>133</v>
      </c>
      <c r="J220" t="s">
        <v>148</v>
      </c>
      <c r="K220" t="s">
        <v>23</v>
      </c>
      <c r="L220">
        <v>439</v>
      </c>
      <c r="M220">
        <v>7.0448158000000003</v>
      </c>
      <c r="N220">
        <v>136.14999005303744</v>
      </c>
      <c r="O220">
        <v>-8.8907146344441941</v>
      </c>
      <c r="P220" s="1" t="str">
        <f>HYPERLINK(".\sm_car_260116_2048\sm_car_260116_2048_219_Ca218TrN_MaSWD_DrSt_ode23t_1.png","figure")</f>
        <v>figure</v>
      </c>
      <c r="Q220" t="s">
        <v>15</v>
      </c>
    </row>
    <row r="221" spans="1:17" x14ac:dyDescent="0.25">
      <c r="A221">
        <v>220</v>
      </c>
      <c r="B221">
        <v>218</v>
      </c>
      <c r="C221" t="s">
        <v>16</v>
      </c>
      <c r="D221" t="s">
        <v>128</v>
      </c>
      <c r="E221" t="s">
        <v>107</v>
      </c>
      <c r="F221" t="s">
        <v>19</v>
      </c>
      <c r="G221" t="s">
        <v>188</v>
      </c>
      <c r="H221" t="s">
        <v>21</v>
      </c>
      <c r="I221" t="s">
        <v>134</v>
      </c>
      <c r="J221" t="s">
        <v>148</v>
      </c>
      <c r="K221" t="s">
        <v>23</v>
      </c>
      <c r="L221">
        <v>364</v>
      </c>
      <c r="M221">
        <v>6.9416932999999998</v>
      </c>
      <c r="N221">
        <v>101.82533906821875</v>
      </c>
      <c r="O221">
        <v>29.386358790313299</v>
      </c>
      <c r="P221" s="1" t="str">
        <f>HYPERLINK(".\sm_car_260116_2048\sm_car_260116_2048_220_Ca218TrN_MaRST_DrSt_ode23t_1.png","figure")</f>
        <v>figure</v>
      </c>
      <c r="Q221" t="s">
        <v>15</v>
      </c>
    </row>
    <row r="222" spans="1:17" x14ac:dyDescent="0.25">
      <c r="A222">
        <v>221</v>
      </c>
      <c r="B222">
        <v>218</v>
      </c>
      <c r="C222" t="s">
        <v>16</v>
      </c>
      <c r="D222" t="s">
        <v>128</v>
      </c>
      <c r="E222" t="s">
        <v>107</v>
      </c>
      <c r="F222" t="s">
        <v>19</v>
      </c>
      <c r="G222" t="s">
        <v>188</v>
      </c>
      <c r="H222" t="s">
        <v>21</v>
      </c>
      <c r="I222" t="s">
        <v>135</v>
      </c>
      <c r="J222" t="s">
        <v>148</v>
      </c>
      <c r="K222" t="s">
        <v>23</v>
      </c>
      <c r="L222">
        <v>688</v>
      </c>
      <c r="M222">
        <v>17.878921299999998</v>
      </c>
      <c r="N222">
        <v>222.4391282679172</v>
      </c>
      <c r="O222">
        <v>0.10609317601539266</v>
      </c>
      <c r="P222" s="1" t="str">
        <f>HYPERLINK(".\sm_car_260116_2048\sm_car_260116_2048_221_Ca218TrN_MaSLA_DrSt_ode23t_1.png","figure")</f>
        <v>figure</v>
      </c>
      <c r="Q222" t="s">
        <v>15</v>
      </c>
    </row>
    <row r="223" spans="1:17" x14ac:dyDescent="0.25">
      <c r="A223">
        <v>222</v>
      </c>
      <c r="B223">
        <v>232</v>
      </c>
      <c r="C223" t="s">
        <v>160</v>
      </c>
      <c r="D223" t="s">
        <v>172</v>
      </c>
      <c r="E223" t="s">
        <v>162</v>
      </c>
      <c r="F223" t="s">
        <v>179</v>
      </c>
      <c r="G223" t="s">
        <v>26</v>
      </c>
      <c r="H223" t="s">
        <v>21</v>
      </c>
      <c r="I223" t="s">
        <v>132</v>
      </c>
      <c r="J223" t="s">
        <v>148</v>
      </c>
      <c r="K223" t="s">
        <v>23</v>
      </c>
      <c r="L223">
        <v>616</v>
      </c>
      <c r="M223">
        <v>13.5937851</v>
      </c>
      <c r="N223">
        <v>70.895975053487334</v>
      </c>
      <c r="O223">
        <v>-11.375813390198029</v>
      </c>
      <c r="P223" s="1" t="str">
        <f>HYPERLINK(".\sm_car_260116_2048\sm_car_260116_2048_222_Ca232TrN_MaFSH_DrSt_ode23t_1.png","figure")</f>
        <v>figure</v>
      </c>
      <c r="Q223" t="s">
        <v>15</v>
      </c>
    </row>
    <row r="224" spans="1:17" x14ac:dyDescent="0.25">
      <c r="A224">
        <v>223</v>
      </c>
      <c r="B224">
        <v>156</v>
      </c>
      <c r="C224" t="s">
        <v>45</v>
      </c>
      <c r="D224" t="s">
        <v>17</v>
      </c>
      <c r="E224" t="s">
        <v>18</v>
      </c>
      <c r="F224" t="s">
        <v>19</v>
      </c>
      <c r="G224" t="s">
        <v>38</v>
      </c>
      <c r="H224" t="s">
        <v>21</v>
      </c>
      <c r="I224" t="s">
        <v>54</v>
      </c>
      <c r="J224" t="s">
        <v>148</v>
      </c>
      <c r="K224" t="s">
        <v>23</v>
      </c>
      <c r="L224">
        <v>26370</v>
      </c>
      <c r="M224">
        <v>359.24816120000003</v>
      </c>
      <c r="N224">
        <v>19.153104469747959</v>
      </c>
      <c r="O224">
        <v>2.4929664007648293</v>
      </c>
      <c r="P224" s="1" t="str">
        <f>HYPERLINK(".\sm_car_260116_2048\sm_car_260116_2048_223_Ca156TrN_MaIPA_DrSt_ode23t.png","figure")</f>
        <v>figure</v>
      </c>
      <c r="Q224" t="s">
        <v>15</v>
      </c>
    </row>
    <row r="225" spans="1:17" x14ac:dyDescent="0.25">
      <c r="A225">
        <v>224</v>
      </c>
      <c r="B225">
        <v>130</v>
      </c>
      <c r="C225" t="s">
        <v>16</v>
      </c>
      <c r="D225" t="s">
        <v>17</v>
      </c>
      <c r="E225" t="s">
        <v>18</v>
      </c>
      <c r="F225" t="s">
        <v>19</v>
      </c>
      <c r="G225" t="s">
        <v>38</v>
      </c>
      <c r="H225" t="s">
        <v>21</v>
      </c>
      <c r="I225" t="s">
        <v>54</v>
      </c>
      <c r="J225" t="s">
        <v>148</v>
      </c>
      <c r="K225" t="s">
        <v>23</v>
      </c>
      <c r="L225">
        <v>18307</v>
      </c>
      <c r="M225">
        <v>258.3902205</v>
      </c>
      <c r="N225">
        <v>16.243535657949394</v>
      </c>
      <c r="O225">
        <v>0.55831097786633965</v>
      </c>
      <c r="P225" s="1" t="str">
        <f>HYPERLINK(".\sm_car_260116_2048\sm_car_260116_2048_224_Ca130TrN_MaIPA_DrSt_ode23t.png","figure")</f>
        <v>figure</v>
      </c>
      <c r="Q225" t="s">
        <v>15</v>
      </c>
    </row>
    <row r="226" spans="1:17" x14ac:dyDescent="0.25">
      <c r="A226">
        <v>225</v>
      </c>
      <c r="B226">
        <v>171</v>
      </c>
      <c r="C226" t="s">
        <v>45</v>
      </c>
      <c r="D226" t="s">
        <v>17</v>
      </c>
      <c r="E226" t="s">
        <v>72</v>
      </c>
      <c r="F226" t="s">
        <v>19</v>
      </c>
      <c r="G226" t="s">
        <v>26</v>
      </c>
      <c r="H226" t="s">
        <v>21</v>
      </c>
      <c r="I226" t="s">
        <v>73</v>
      </c>
      <c r="J226" t="s">
        <v>148</v>
      </c>
      <c r="K226" t="s">
        <v>23</v>
      </c>
      <c r="L226">
        <v>1458</v>
      </c>
      <c r="M226">
        <v>23.031112799999999</v>
      </c>
      <c r="N226">
        <v>334.66134860482674</v>
      </c>
      <c r="O226">
        <v>0.65326104430696208</v>
      </c>
      <c r="P226" s="1" t="str">
        <f>HYPERLINK(".\sm_car_260116_2048\sm_car_260116_2048_225_Ca171TrN_MaRDP_DrSt_ode23t_1.png","figure")</f>
        <v>figure</v>
      </c>
      <c r="Q226" t="s">
        <v>15</v>
      </c>
    </row>
    <row r="227" spans="1:17" x14ac:dyDescent="0.25">
      <c r="A227">
        <v>226</v>
      </c>
      <c r="B227">
        <v>172</v>
      </c>
      <c r="C227" t="s">
        <v>46</v>
      </c>
      <c r="D227" t="s">
        <v>17</v>
      </c>
      <c r="E227" t="s">
        <v>72</v>
      </c>
      <c r="F227" t="s">
        <v>19</v>
      </c>
      <c r="G227" t="s">
        <v>26</v>
      </c>
      <c r="H227" t="s">
        <v>21</v>
      </c>
      <c r="I227" t="s">
        <v>73</v>
      </c>
      <c r="J227" t="s">
        <v>148</v>
      </c>
      <c r="K227" t="s">
        <v>23</v>
      </c>
      <c r="L227">
        <v>1228</v>
      </c>
      <c r="M227">
        <v>12.1105833</v>
      </c>
      <c r="N227">
        <v>135.71782387638288</v>
      </c>
      <c r="O227">
        <v>3.6287048227889335E-2</v>
      </c>
      <c r="P227" s="1" t="str">
        <f>HYPERLINK(".\sm_car_260116_2048\sm_car_260116_2048_226_Ca172TrN_MaRDP_DrSt_ode23t_1.png","figure")</f>
        <v>figure</v>
      </c>
      <c r="Q227" t="s">
        <v>15</v>
      </c>
    </row>
    <row r="228" spans="1:17" x14ac:dyDescent="0.25">
      <c r="A228">
        <v>227</v>
      </c>
      <c r="B228">
        <v>139</v>
      </c>
      <c r="C228" t="s">
        <v>45</v>
      </c>
      <c r="D228" t="s">
        <v>17</v>
      </c>
      <c r="E228" t="s">
        <v>18</v>
      </c>
      <c r="F228" t="s">
        <v>19</v>
      </c>
      <c r="G228" t="s">
        <v>26</v>
      </c>
      <c r="H228" t="s">
        <v>21</v>
      </c>
      <c r="I228" t="s">
        <v>74</v>
      </c>
      <c r="J228" t="s">
        <v>148</v>
      </c>
      <c r="K228" t="s">
        <v>23</v>
      </c>
      <c r="L228">
        <v>1615</v>
      </c>
      <c r="M228">
        <v>20.3489872</v>
      </c>
      <c r="N228">
        <v>361.21816013097191</v>
      </c>
      <c r="O228">
        <v>0.74908404508399951</v>
      </c>
      <c r="P228" s="1" t="str">
        <f>HYPERLINK(".\sm_car_260116_2048\sm_car_260116_2048_227_Ca139TrN_MaZPL_DrSt_ode23t_1.png","figure")</f>
        <v>figure</v>
      </c>
      <c r="Q228" t="s">
        <v>15</v>
      </c>
    </row>
    <row r="229" spans="1:17" x14ac:dyDescent="0.25">
      <c r="A229">
        <v>228</v>
      </c>
      <c r="B229">
        <v>165</v>
      </c>
      <c r="C229" t="s">
        <v>45</v>
      </c>
      <c r="D229" t="s">
        <v>35</v>
      </c>
      <c r="E229" t="s">
        <v>49</v>
      </c>
      <c r="F229" t="s">
        <v>19</v>
      </c>
      <c r="G229" t="s">
        <v>26</v>
      </c>
      <c r="H229" t="s">
        <v>21</v>
      </c>
      <c r="I229" t="s">
        <v>74</v>
      </c>
      <c r="J229" t="s">
        <v>148</v>
      </c>
      <c r="K229" t="s">
        <v>23</v>
      </c>
      <c r="L229">
        <v>1976</v>
      </c>
      <c r="M229">
        <v>10.138723000000001</v>
      </c>
      <c r="N229">
        <v>397.79576464568521</v>
      </c>
      <c r="O229">
        <v>0.3406155520221863</v>
      </c>
      <c r="P229" s="1" t="str">
        <f>HYPERLINK(".\sm_car_260116_2048\sm_car_260116_2048_228_Ca165TrN_MaZPL_DrSt_ode23t_1.png","figure")</f>
        <v>figure</v>
      </c>
      <c r="Q229" t="s">
        <v>15</v>
      </c>
    </row>
    <row r="230" spans="1:17" x14ac:dyDescent="0.25">
      <c r="A230">
        <v>229</v>
      </c>
      <c r="B230">
        <v>171</v>
      </c>
      <c r="C230" t="s">
        <v>45</v>
      </c>
      <c r="D230" t="s">
        <v>17</v>
      </c>
      <c r="E230" t="s">
        <v>72</v>
      </c>
      <c r="F230" t="s">
        <v>19</v>
      </c>
      <c r="G230" t="s">
        <v>26</v>
      </c>
      <c r="H230" t="s">
        <v>21</v>
      </c>
      <c r="I230" t="s">
        <v>74</v>
      </c>
      <c r="J230" t="s">
        <v>148</v>
      </c>
      <c r="K230" t="s">
        <v>23</v>
      </c>
      <c r="L230">
        <v>1540</v>
      </c>
      <c r="M230">
        <v>24.528758700000001</v>
      </c>
      <c r="N230">
        <v>361.06134073707528</v>
      </c>
      <c r="O230">
        <v>0.71899608941553972</v>
      </c>
      <c r="P230" s="1" t="str">
        <f>HYPERLINK(".\sm_car_260116_2048\sm_car_260116_2048_229_Ca171TrN_MaZPL_DrSt_ode23t_1.png","figure")</f>
        <v>figure</v>
      </c>
      <c r="Q230" t="s">
        <v>15</v>
      </c>
    </row>
    <row r="231" spans="1:17" x14ac:dyDescent="0.25">
      <c r="A231">
        <v>230</v>
      </c>
      <c r="B231">
        <v>165</v>
      </c>
      <c r="C231" t="s">
        <v>45</v>
      </c>
      <c r="D231" t="s">
        <v>35</v>
      </c>
      <c r="E231" t="s">
        <v>49</v>
      </c>
      <c r="F231" t="s">
        <v>19</v>
      </c>
      <c r="G231" t="s">
        <v>26</v>
      </c>
      <c r="H231" t="s">
        <v>21</v>
      </c>
      <c r="I231" t="s">
        <v>75</v>
      </c>
      <c r="J231" t="s">
        <v>148</v>
      </c>
      <c r="K231" t="s">
        <v>23</v>
      </c>
      <c r="L231">
        <v>491</v>
      </c>
      <c r="M231">
        <v>4.3839211999999996</v>
      </c>
      <c r="N231">
        <v>378.5133806392281</v>
      </c>
      <c r="O231">
        <v>0.32792709068456227</v>
      </c>
      <c r="P231" s="1" t="str">
        <f>HYPERLINK(".\sm_car_260116_2048\sm_car_260116_2048_230_Ca165TrN_MaCPL_DrSt_ode23t_1.png","figure")</f>
        <v>figure</v>
      </c>
      <c r="Q231" t="s">
        <v>15</v>
      </c>
    </row>
    <row r="232" spans="1:17" x14ac:dyDescent="0.25">
      <c r="A232">
        <v>231</v>
      </c>
      <c r="B232">
        <v>170</v>
      </c>
      <c r="C232" t="s">
        <v>45</v>
      </c>
      <c r="D232" t="s">
        <v>35</v>
      </c>
      <c r="E232" t="s">
        <v>49</v>
      </c>
      <c r="F232" t="s">
        <v>19</v>
      </c>
      <c r="G232" t="s">
        <v>188</v>
      </c>
      <c r="H232" t="s">
        <v>21</v>
      </c>
      <c r="I232" t="s">
        <v>75</v>
      </c>
      <c r="J232" t="s">
        <v>148</v>
      </c>
      <c r="K232" t="s">
        <v>23</v>
      </c>
      <c r="L232">
        <v>461</v>
      </c>
      <c r="M232">
        <v>3.2960297000000001</v>
      </c>
      <c r="N232">
        <v>381.71710262592887</v>
      </c>
      <c r="O232">
        <v>0.33484229423909817</v>
      </c>
      <c r="P232" s="1" t="str">
        <f>HYPERLINK(".\sm_car_260116_2048\sm_car_260116_2048_231_Ca170TrN_MaCPL_DrSt_ode23t_1.png","figure")</f>
        <v>figure</v>
      </c>
      <c r="Q232" t="s">
        <v>15</v>
      </c>
    </row>
    <row r="233" spans="1:17" x14ac:dyDescent="0.25">
      <c r="A233">
        <v>232</v>
      </c>
      <c r="B233">
        <v>171</v>
      </c>
      <c r="C233" t="s">
        <v>45</v>
      </c>
      <c r="D233" t="s">
        <v>17</v>
      </c>
      <c r="E233" t="s">
        <v>72</v>
      </c>
      <c r="F233" t="s">
        <v>19</v>
      </c>
      <c r="G233" t="s">
        <v>26</v>
      </c>
      <c r="H233" t="s">
        <v>21</v>
      </c>
      <c r="I233" t="s">
        <v>76</v>
      </c>
      <c r="J233" t="s">
        <v>148</v>
      </c>
      <c r="K233" t="s">
        <v>23</v>
      </c>
      <c r="L233">
        <v>2792</v>
      </c>
      <c r="M233">
        <v>45.048017799999997</v>
      </c>
      <c r="N233">
        <v>165.07855811626774</v>
      </c>
      <c r="O233">
        <v>1.1028056787126617E-3</v>
      </c>
      <c r="P233" s="1" t="str">
        <f>HYPERLINK(".\sm_car_260116_2048\sm_car_260116_2048_232_Ca171TrN_MaRDR_DrSt_ode23t_1.png","figure")</f>
        <v>figure</v>
      </c>
      <c r="Q233" t="s">
        <v>15</v>
      </c>
    </row>
    <row r="234" spans="1:17" x14ac:dyDescent="0.25">
      <c r="A234">
        <v>233</v>
      </c>
      <c r="B234">
        <v>172</v>
      </c>
      <c r="C234" t="s">
        <v>46</v>
      </c>
      <c r="D234" t="s">
        <v>17</v>
      </c>
      <c r="E234" t="s">
        <v>72</v>
      </c>
      <c r="F234" t="s">
        <v>19</v>
      </c>
      <c r="G234" t="s">
        <v>26</v>
      </c>
      <c r="H234" t="s">
        <v>21</v>
      </c>
      <c r="I234" t="s">
        <v>76</v>
      </c>
      <c r="J234" t="s">
        <v>148</v>
      </c>
      <c r="K234" t="s">
        <v>23</v>
      </c>
      <c r="L234">
        <v>3280</v>
      </c>
      <c r="M234">
        <v>27.6153473</v>
      </c>
      <c r="N234">
        <v>162.25429077182105</v>
      </c>
      <c r="O234">
        <v>3.6800978511231786E-4</v>
      </c>
      <c r="P234" s="1" t="str">
        <f>HYPERLINK(".\sm_car_260116_2048\sm_car_260116_2048_233_Ca172TrN_MaRDR_DrSt_ode23t_1.png","figure")</f>
        <v>figure</v>
      </c>
      <c r="Q234" t="s">
        <v>15</v>
      </c>
    </row>
    <row r="235" spans="1:17" x14ac:dyDescent="0.25">
      <c r="A235">
        <v>234</v>
      </c>
      <c r="B235">
        <v>139</v>
      </c>
      <c r="C235" t="s">
        <v>45</v>
      </c>
      <c r="D235" t="s">
        <v>17</v>
      </c>
      <c r="E235" t="s">
        <v>18</v>
      </c>
      <c r="F235" t="s">
        <v>19</v>
      </c>
      <c r="G235" t="s">
        <v>26</v>
      </c>
      <c r="H235" t="s">
        <v>21</v>
      </c>
      <c r="I235" t="s">
        <v>77</v>
      </c>
      <c r="J235" t="s">
        <v>148</v>
      </c>
      <c r="K235" t="s">
        <v>23</v>
      </c>
      <c r="L235">
        <v>2961</v>
      </c>
      <c r="M235">
        <v>32.922501099999998</v>
      </c>
      <c r="N235">
        <v>189.2686969984461</v>
      </c>
      <c r="O235">
        <v>6.8765752751906168E-4</v>
      </c>
      <c r="P235" s="1" t="str">
        <f>HYPERLINK(".\sm_car_260116_2048\sm_car_260116_2048_234_Ca139TrN_MaZRR_DrSt_ode23t_1.png","figure")</f>
        <v>figure</v>
      </c>
      <c r="Q235" t="s">
        <v>15</v>
      </c>
    </row>
    <row r="236" spans="1:17" x14ac:dyDescent="0.25">
      <c r="A236">
        <v>235</v>
      </c>
      <c r="B236">
        <v>165</v>
      </c>
      <c r="C236" t="s">
        <v>45</v>
      </c>
      <c r="D236" t="s">
        <v>35</v>
      </c>
      <c r="E236" t="s">
        <v>49</v>
      </c>
      <c r="F236" t="s">
        <v>19</v>
      </c>
      <c r="G236" t="s">
        <v>26</v>
      </c>
      <c r="H236" t="s">
        <v>21</v>
      </c>
      <c r="I236" t="s">
        <v>77</v>
      </c>
      <c r="J236" t="s">
        <v>148</v>
      </c>
      <c r="K236" t="s">
        <v>23</v>
      </c>
      <c r="L236">
        <v>3298</v>
      </c>
      <c r="M236">
        <v>22.021059399999999</v>
      </c>
      <c r="N236">
        <v>189.40970572686228</v>
      </c>
      <c r="O236">
        <v>5.3870159436473319E-5</v>
      </c>
      <c r="P236" s="1" t="str">
        <f>HYPERLINK(".\sm_car_260116_2048\sm_car_260116_2048_235_Ca165TrN_MaZRR_DrSt_ode23t_1.png","figure")</f>
        <v>figure</v>
      </c>
      <c r="Q236" t="s">
        <v>15</v>
      </c>
    </row>
    <row r="237" spans="1:17" x14ac:dyDescent="0.25">
      <c r="A237">
        <v>236</v>
      </c>
      <c r="B237">
        <v>171</v>
      </c>
      <c r="C237" t="s">
        <v>45</v>
      </c>
      <c r="D237" t="s">
        <v>17</v>
      </c>
      <c r="E237" t="s">
        <v>72</v>
      </c>
      <c r="F237" t="s">
        <v>19</v>
      </c>
      <c r="G237" t="s">
        <v>26</v>
      </c>
      <c r="H237" t="s">
        <v>21</v>
      </c>
      <c r="I237" t="s">
        <v>77</v>
      </c>
      <c r="J237" t="s">
        <v>148</v>
      </c>
      <c r="K237" t="s">
        <v>23</v>
      </c>
      <c r="L237">
        <v>2999</v>
      </c>
      <c r="M237">
        <v>51.663042099999998</v>
      </c>
      <c r="N237">
        <v>189.26943365075999</v>
      </c>
      <c r="O237">
        <v>6.991388062142171E-4</v>
      </c>
      <c r="P237" s="1" t="str">
        <f>HYPERLINK(".\sm_car_260116_2048\sm_car_260116_2048_236_Ca171TrN_MaZRR_DrSt_ode23t_1.png","figure")</f>
        <v>figure</v>
      </c>
      <c r="Q237" t="s">
        <v>15</v>
      </c>
    </row>
    <row r="238" spans="1:17" x14ac:dyDescent="0.25">
      <c r="A238">
        <v>237</v>
      </c>
      <c r="B238">
        <v>170</v>
      </c>
      <c r="C238" t="s">
        <v>45</v>
      </c>
      <c r="D238" t="s">
        <v>35</v>
      </c>
      <c r="E238" t="s">
        <v>49</v>
      </c>
      <c r="F238" t="s">
        <v>19</v>
      </c>
      <c r="G238" t="s">
        <v>188</v>
      </c>
      <c r="H238" t="s">
        <v>21</v>
      </c>
      <c r="I238" t="s">
        <v>78</v>
      </c>
      <c r="J238" t="s">
        <v>148</v>
      </c>
      <c r="K238" t="s">
        <v>23</v>
      </c>
      <c r="L238">
        <v>6299</v>
      </c>
      <c r="M238">
        <v>22.599395099999999</v>
      </c>
      <c r="N238">
        <v>-5.9990769165489608</v>
      </c>
      <c r="O238">
        <v>-6.3281538773901072E-3</v>
      </c>
      <c r="P238" s="1" t="str">
        <f>HYPERLINK(".\sm_car_260116_2048\sm_car_260116_2048_237_Ca170TrN_MaCMP_DrSt_ode23t_1.png","figure")</f>
        <v>figure</v>
      </c>
      <c r="Q238" t="s">
        <v>15</v>
      </c>
    </row>
    <row r="239" spans="1:17" x14ac:dyDescent="0.25">
      <c r="A239">
        <v>238</v>
      </c>
      <c r="B239">
        <v>170</v>
      </c>
      <c r="C239" t="s">
        <v>45</v>
      </c>
      <c r="D239" t="s">
        <v>35</v>
      </c>
      <c r="E239" t="s">
        <v>49</v>
      </c>
      <c r="F239" t="s">
        <v>19</v>
      </c>
      <c r="G239" t="s">
        <v>188</v>
      </c>
      <c r="H239" t="s">
        <v>21</v>
      </c>
      <c r="I239" t="s">
        <v>79</v>
      </c>
      <c r="J239" t="s">
        <v>148</v>
      </c>
      <c r="K239" t="s">
        <v>23</v>
      </c>
      <c r="L239">
        <v>1617</v>
      </c>
      <c r="M239">
        <v>12.193956699999999</v>
      </c>
      <c r="N239">
        <v>-5.9984521082395927</v>
      </c>
      <c r="O239">
        <v>-6.2505413515697456E-3</v>
      </c>
      <c r="P239" s="1" t="str">
        <f>HYPERLINK(".\sm_car_260116_2048\sm_car_260116_2048_238_Ca170TrN_MaCMF_DrSt_ode23t_1.png","figure")</f>
        <v>figure</v>
      </c>
      <c r="Q239" t="s">
        <v>15</v>
      </c>
    </row>
    <row r="240" spans="1:17" x14ac:dyDescent="0.25">
      <c r="A240">
        <v>239</v>
      </c>
      <c r="B240">
        <v>170</v>
      </c>
      <c r="C240" t="s">
        <v>45</v>
      </c>
      <c r="D240" t="s">
        <v>35</v>
      </c>
      <c r="E240" t="s">
        <v>49</v>
      </c>
      <c r="F240" t="s">
        <v>19</v>
      </c>
      <c r="G240" t="s">
        <v>188</v>
      </c>
      <c r="H240" t="s">
        <v>21</v>
      </c>
      <c r="I240" t="s">
        <v>80</v>
      </c>
      <c r="J240" t="s">
        <v>148</v>
      </c>
      <c r="K240" t="s">
        <v>23</v>
      </c>
      <c r="L240">
        <v>5387</v>
      </c>
      <c r="M240">
        <v>43.857948800000003</v>
      </c>
      <c r="N240">
        <v>-216.3668880994052</v>
      </c>
      <c r="O240">
        <v>5.6821992224166484</v>
      </c>
      <c r="P240" s="1" t="str">
        <f>HYPERLINK(".\sm_car_260116_2048\sm_car_260116_2048_239_Ca170TrN_MaMPO_DrSt_ode23t_1.png","figure")</f>
        <v>figure</v>
      </c>
      <c r="Q240" t="s">
        <v>15</v>
      </c>
    </row>
    <row r="241" spans="1:17" x14ac:dyDescent="0.25">
      <c r="A241">
        <v>240</v>
      </c>
      <c r="B241">
        <v>170</v>
      </c>
      <c r="C241" t="s">
        <v>45</v>
      </c>
      <c r="D241" t="s">
        <v>35</v>
      </c>
      <c r="E241" t="s">
        <v>49</v>
      </c>
      <c r="F241" t="s">
        <v>19</v>
      </c>
      <c r="G241" t="s">
        <v>188</v>
      </c>
      <c r="H241" t="s">
        <v>21</v>
      </c>
      <c r="I241" t="s">
        <v>81</v>
      </c>
      <c r="J241" t="s">
        <v>148</v>
      </c>
      <c r="K241" t="s">
        <v>23</v>
      </c>
      <c r="L241">
        <v>1210</v>
      </c>
      <c r="M241">
        <v>23.046677299999999</v>
      </c>
      <c r="N241">
        <v>-14.23795026576029</v>
      </c>
      <c r="O241">
        <v>-1.214388796117305E-2</v>
      </c>
      <c r="P241" s="1" t="str">
        <f>HYPERLINK(".\sm_car_260116_2048\sm_car_260116_2048_240_Ca170TrN_MaMCI_DrSt_ode23t_1.png","figure")</f>
        <v>figure</v>
      </c>
      <c r="Q241" t="s">
        <v>15</v>
      </c>
    </row>
    <row r="242" spans="1:17" x14ac:dyDescent="0.25">
      <c r="A242">
        <v>241</v>
      </c>
      <c r="B242">
        <v>170</v>
      </c>
      <c r="C242" t="s">
        <v>45</v>
      </c>
      <c r="D242" t="s">
        <v>35</v>
      </c>
      <c r="E242" t="s">
        <v>49</v>
      </c>
      <c r="F242" t="s">
        <v>19</v>
      </c>
      <c r="G242" t="s">
        <v>188</v>
      </c>
      <c r="H242" t="s">
        <v>21</v>
      </c>
      <c r="I242" t="s">
        <v>110</v>
      </c>
      <c r="J242" t="s">
        <v>148</v>
      </c>
      <c r="K242" t="s">
        <v>23</v>
      </c>
      <c r="L242">
        <v>3785</v>
      </c>
      <c r="M242">
        <v>26.825236</v>
      </c>
      <c r="N242">
        <v>-5.999241063177827</v>
      </c>
      <c r="O242">
        <v>-4.69369769511637E-3</v>
      </c>
      <c r="P242" s="1" t="str">
        <f>HYPERLINK(".\sm_car_260116_2048\sm_car_260116_2048_241_Ca170TrN_MaCHO_DrSt_ode23t_1.png","figure")</f>
        <v>figure</v>
      </c>
      <c r="Q242" t="s">
        <v>15</v>
      </c>
    </row>
    <row r="243" spans="1:17" x14ac:dyDescent="0.25">
      <c r="A243">
        <v>242</v>
      </c>
      <c r="B243">
        <v>170</v>
      </c>
      <c r="C243" t="s">
        <v>45</v>
      </c>
      <c r="D243" t="s">
        <v>35</v>
      </c>
      <c r="E243" t="s">
        <v>49</v>
      </c>
      <c r="F243" t="s">
        <v>19</v>
      </c>
      <c r="G243" t="s">
        <v>188</v>
      </c>
      <c r="H243" t="s">
        <v>21</v>
      </c>
      <c r="I243" t="s">
        <v>111</v>
      </c>
      <c r="J243" t="s">
        <v>148</v>
      </c>
      <c r="K243" t="s">
        <v>23</v>
      </c>
      <c r="L243">
        <v>2641</v>
      </c>
      <c r="M243">
        <v>25.726743899999999</v>
      </c>
      <c r="N243">
        <v>-5.9994017984258488</v>
      </c>
      <c r="O243">
        <v>-4.7390090988919465E-3</v>
      </c>
      <c r="P243" s="1" t="str">
        <f>HYPERLINK(".\sm_car_260116_2048\sm_car_260116_2048_242_Ca170TrN_MaCHF_DrSt_ode23t_1.png","figure")</f>
        <v>figure</v>
      </c>
      <c r="Q243" t="s">
        <v>15</v>
      </c>
    </row>
    <row r="244" spans="1:17" x14ac:dyDescent="0.25">
      <c r="A244">
        <v>243</v>
      </c>
      <c r="B244">
        <v>170</v>
      </c>
      <c r="C244" t="s">
        <v>45</v>
      </c>
      <c r="D244" t="s">
        <v>35</v>
      </c>
      <c r="E244" t="s">
        <v>49</v>
      </c>
      <c r="F244" t="s">
        <v>19</v>
      </c>
      <c r="G244" t="s">
        <v>188</v>
      </c>
      <c r="H244" t="s">
        <v>21</v>
      </c>
      <c r="I244" t="s">
        <v>82</v>
      </c>
      <c r="J244" t="s">
        <v>148</v>
      </c>
      <c r="K244" t="s">
        <v>23</v>
      </c>
      <c r="L244">
        <v>9297</v>
      </c>
      <c r="M244">
        <v>42.141824700000001</v>
      </c>
      <c r="N244">
        <v>-768.71600053891882</v>
      </c>
      <c r="O244">
        <v>638.64313333948121</v>
      </c>
      <c r="P244" s="1" t="str">
        <f>HYPERLINK(".\sm_car_260116_2048\sm_car_260116_2048_243_Ca170TrN_MaCKY_DrSt_ode23t_1.png","figure")</f>
        <v>figure</v>
      </c>
      <c r="Q244" t="s">
        <v>15</v>
      </c>
    </row>
    <row r="245" spans="1:17" x14ac:dyDescent="0.25">
      <c r="A245">
        <v>244</v>
      </c>
      <c r="B245">
        <v>170</v>
      </c>
      <c r="C245" t="s">
        <v>45</v>
      </c>
      <c r="D245" t="s">
        <v>35</v>
      </c>
      <c r="E245" t="s">
        <v>49</v>
      </c>
      <c r="F245" t="s">
        <v>19</v>
      </c>
      <c r="G245" t="s">
        <v>188</v>
      </c>
      <c r="H245" t="s">
        <v>21</v>
      </c>
      <c r="I245" t="s">
        <v>83</v>
      </c>
      <c r="J245" t="s">
        <v>148</v>
      </c>
      <c r="K245" t="s">
        <v>23</v>
      </c>
      <c r="L245">
        <v>1724</v>
      </c>
      <c r="M245">
        <v>15.5408419</v>
      </c>
      <c r="N245">
        <v>-772.67627619643918</v>
      </c>
      <c r="O245">
        <v>640.74522380707151</v>
      </c>
      <c r="P245" s="1" t="str">
        <f>HYPERLINK(".\sm_car_260116_2048\sm_car_260116_2048_244_Ca170TrN_MaCKF_DrSt_ode23t_1.png","figure")</f>
        <v>figure</v>
      </c>
      <c r="Q245" t="s">
        <v>15</v>
      </c>
    </row>
    <row r="246" spans="1:17" x14ac:dyDescent="0.25">
      <c r="A246">
        <v>245</v>
      </c>
      <c r="B246">
        <v>170</v>
      </c>
      <c r="C246" t="s">
        <v>45</v>
      </c>
      <c r="D246" t="s">
        <v>35</v>
      </c>
      <c r="E246" t="s">
        <v>49</v>
      </c>
      <c r="F246" t="s">
        <v>19</v>
      </c>
      <c r="G246" t="s">
        <v>188</v>
      </c>
      <c r="H246" t="s">
        <v>21</v>
      </c>
      <c r="I246" t="s">
        <v>84</v>
      </c>
      <c r="J246" t="s">
        <v>148</v>
      </c>
      <c r="K246" t="s">
        <v>23</v>
      </c>
      <c r="L246">
        <v>2268</v>
      </c>
      <c r="M246">
        <v>30.642964200000002</v>
      </c>
      <c r="N246">
        <v>189.31356980212755</v>
      </c>
      <c r="O246">
        <v>308.88773790177095</v>
      </c>
      <c r="P246" s="1" t="str">
        <f>HYPERLINK(".\sm_car_260116_2048\sm_car_260116_2048_245_Ca170TrN_MaCNN_DrSt_ode23t_1.png","figure")</f>
        <v>figure</v>
      </c>
      <c r="Q246" t="s">
        <v>15</v>
      </c>
    </row>
    <row r="247" spans="1:17" x14ac:dyDescent="0.25">
      <c r="A247">
        <v>246</v>
      </c>
      <c r="B247">
        <v>170</v>
      </c>
      <c r="C247" t="s">
        <v>45</v>
      </c>
      <c r="D247" t="s">
        <v>35</v>
      </c>
      <c r="E247" t="s">
        <v>49</v>
      </c>
      <c r="F247" t="s">
        <v>19</v>
      </c>
      <c r="G247" t="s">
        <v>188</v>
      </c>
      <c r="H247" t="s">
        <v>21</v>
      </c>
      <c r="I247" t="s">
        <v>85</v>
      </c>
      <c r="J247" t="s">
        <v>148</v>
      </c>
      <c r="K247" t="s">
        <v>23</v>
      </c>
      <c r="L247">
        <v>3557</v>
      </c>
      <c r="M247">
        <v>152.6802921</v>
      </c>
      <c r="N247">
        <v>2981.6994285974338</v>
      </c>
      <c r="O247">
        <v>-3077.7705619199373</v>
      </c>
      <c r="P247" s="1" t="str">
        <f>HYPERLINK(".\sm_car_260116_2048\sm_car_260116_2048_246_Ca170TrN_MaCNF_DrSt_ode23t_1.png","figure")</f>
        <v>figure</v>
      </c>
      <c r="Q247" t="s">
        <v>15</v>
      </c>
    </row>
    <row r="248" spans="1:17" x14ac:dyDescent="0.25">
      <c r="A248">
        <v>247</v>
      </c>
      <c r="B248">
        <v>170</v>
      </c>
      <c r="C248" t="s">
        <v>45</v>
      </c>
      <c r="D248" t="s">
        <v>35</v>
      </c>
      <c r="E248" t="s">
        <v>49</v>
      </c>
      <c r="F248" t="s">
        <v>19</v>
      </c>
      <c r="G248" t="s">
        <v>188</v>
      </c>
      <c r="H248" t="s">
        <v>21</v>
      </c>
      <c r="I248" t="s">
        <v>86</v>
      </c>
      <c r="J248" t="s">
        <v>148</v>
      </c>
      <c r="K248" t="s">
        <v>23</v>
      </c>
      <c r="L248">
        <v>3006</v>
      </c>
      <c r="M248">
        <v>21.217362600000001</v>
      </c>
      <c r="N248">
        <v>497.8633130490565</v>
      </c>
      <c r="O248">
        <v>-175.70293786799922</v>
      </c>
      <c r="P248" s="1" t="str">
        <f>HYPERLINK(".\sm_car_260116_2048\sm_car_260116_2048_247_Ca170TrN_MaCSZ_DrSt_ode23t_1.png","figure")</f>
        <v>figure</v>
      </c>
      <c r="Q248" t="s">
        <v>15</v>
      </c>
    </row>
    <row r="249" spans="1:17" x14ac:dyDescent="0.25">
      <c r="A249">
        <v>248</v>
      </c>
      <c r="B249">
        <v>170</v>
      </c>
      <c r="C249" t="s">
        <v>45</v>
      </c>
      <c r="D249" t="s">
        <v>35</v>
      </c>
      <c r="E249" t="s">
        <v>49</v>
      </c>
      <c r="F249" t="s">
        <v>19</v>
      </c>
      <c r="G249" t="s">
        <v>188</v>
      </c>
      <c r="H249" t="s">
        <v>21</v>
      </c>
      <c r="I249" t="s">
        <v>87</v>
      </c>
      <c r="J249" t="s">
        <v>148</v>
      </c>
      <c r="K249" t="s">
        <v>23</v>
      </c>
      <c r="L249">
        <v>5125</v>
      </c>
      <c r="M249">
        <v>118.3861622</v>
      </c>
      <c r="N249">
        <v>-8.9787463822973272</v>
      </c>
      <c r="O249">
        <v>8.1265911202612166E-3</v>
      </c>
      <c r="P249" s="1" t="str">
        <f>HYPERLINK(".\sm_car_260116_2048\sm_car_260116_2048_248_Ca170TrN_MaCSF_DrSt_ode23t_1.png","figure")</f>
        <v>figure</v>
      </c>
      <c r="Q249" t="s">
        <v>15</v>
      </c>
    </row>
    <row r="250" spans="1:17" x14ac:dyDescent="0.25">
      <c r="A250">
        <v>249</v>
      </c>
      <c r="B250">
        <v>170</v>
      </c>
      <c r="C250" t="s">
        <v>45</v>
      </c>
      <c r="D250" t="s">
        <v>35</v>
      </c>
      <c r="E250" t="s">
        <v>49</v>
      </c>
      <c r="F250" t="s">
        <v>19</v>
      </c>
      <c r="G250" t="s">
        <v>188</v>
      </c>
      <c r="H250" t="s">
        <v>21</v>
      </c>
      <c r="I250" t="s">
        <v>88</v>
      </c>
      <c r="J250" t="s">
        <v>148</v>
      </c>
      <c r="K250" t="s">
        <v>23</v>
      </c>
      <c r="L250">
        <v>1617</v>
      </c>
      <c r="M250">
        <v>37.4007334</v>
      </c>
      <c r="N250">
        <v>247.79328154069458</v>
      </c>
      <c r="O250">
        <v>391.37851350458124</v>
      </c>
      <c r="P250" s="1" t="str">
        <f>HYPERLINK(".\sm_car_260116_2048\sm_car_260116_2048_249_Ca170TrN_MaCPU_DrSt_ode23t_1.png","figure")</f>
        <v>figure</v>
      </c>
      <c r="Q250" t="s">
        <v>15</v>
      </c>
    </row>
    <row r="251" spans="1:17" x14ac:dyDescent="0.25">
      <c r="A251">
        <v>250</v>
      </c>
      <c r="B251">
        <v>170</v>
      </c>
      <c r="C251" t="s">
        <v>45</v>
      </c>
      <c r="D251" t="s">
        <v>35</v>
      </c>
      <c r="E251" t="s">
        <v>49</v>
      </c>
      <c r="F251" t="s">
        <v>19</v>
      </c>
      <c r="G251" t="s">
        <v>188</v>
      </c>
      <c r="H251" t="s">
        <v>21</v>
      </c>
      <c r="I251" t="s">
        <v>89</v>
      </c>
      <c r="J251" t="s">
        <v>148</v>
      </c>
      <c r="K251" t="s">
        <v>23</v>
      </c>
      <c r="L251">
        <v>2466</v>
      </c>
      <c r="M251">
        <v>29.044756599999999</v>
      </c>
      <c r="N251">
        <v>179.59000234636187</v>
      </c>
      <c r="O251">
        <v>-180.28252161593991</v>
      </c>
      <c r="P251" s="1" t="str">
        <f>HYPERLINK(".\sm_car_260116_2048\sm_car_260116_2048_250_Ca170TrN_MaCPD_DrSt_ode23t_1.png","figure")</f>
        <v>figure</v>
      </c>
      <c r="Q251" t="s">
        <v>15</v>
      </c>
    </row>
    <row r="252" spans="1:17" x14ac:dyDescent="0.25">
      <c r="A252">
        <v>251</v>
      </c>
      <c r="B252">
        <v>202</v>
      </c>
      <c r="C252" t="s">
        <v>45</v>
      </c>
      <c r="D252" t="s">
        <v>35</v>
      </c>
      <c r="E252" t="s">
        <v>107</v>
      </c>
      <c r="F252" t="s">
        <v>19</v>
      </c>
      <c r="G252" t="s">
        <v>188</v>
      </c>
      <c r="H252" t="s">
        <v>21</v>
      </c>
      <c r="I252" t="s">
        <v>79</v>
      </c>
      <c r="J252" t="s">
        <v>148</v>
      </c>
      <c r="K252" t="s">
        <v>23</v>
      </c>
      <c r="L252">
        <v>1635</v>
      </c>
      <c r="M252">
        <v>4.6389642000000002</v>
      </c>
      <c r="N252">
        <v>-5.9991130369005505</v>
      </c>
      <c r="O252">
        <v>-6.174553701024787E-3</v>
      </c>
      <c r="P252" s="1" t="str">
        <f>HYPERLINK(".\sm_car_260116_2048\sm_car_260116_2048_251_Ca202TrN_MaCMF_DrSt_ode23t_1.png","figure")</f>
        <v>figure</v>
      </c>
      <c r="Q252" t="s">
        <v>15</v>
      </c>
    </row>
    <row r="253" spans="1:17" x14ac:dyDescent="0.25">
      <c r="A253">
        <v>252</v>
      </c>
      <c r="B253">
        <v>202</v>
      </c>
      <c r="C253" t="s">
        <v>45</v>
      </c>
      <c r="D253" t="s">
        <v>35</v>
      </c>
      <c r="E253" t="s">
        <v>107</v>
      </c>
      <c r="F253" t="s">
        <v>19</v>
      </c>
      <c r="G253" t="s">
        <v>188</v>
      </c>
      <c r="H253" t="s">
        <v>21</v>
      </c>
      <c r="I253" t="s">
        <v>80</v>
      </c>
      <c r="J253" t="s">
        <v>148</v>
      </c>
      <c r="K253" t="s">
        <v>23</v>
      </c>
      <c r="L253">
        <v>5367</v>
      </c>
      <c r="M253">
        <v>31.2510792</v>
      </c>
      <c r="N253">
        <v>-217.49333607968032</v>
      </c>
      <c r="O253">
        <v>5.8591981140250748</v>
      </c>
      <c r="P253" s="1" t="str">
        <f>HYPERLINK(".\sm_car_260116_2048\sm_car_260116_2048_252_Ca202TrN_MaMPO_DrSt_ode23t_1.png","figure")</f>
        <v>figure</v>
      </c>
      <c r="Q253" t="s">
        <v>15</v>
      </c>
    </row>
    <row r="254" spans="1:17" x14ac:dyDescent="0.25">
      <c r="A254">
        <v>253</v>
      </c>
      <c r="B254">
        <v>202</v>
      </c>
      <c r="C254" t="s">
        <v>45</v>
      </c>
      <c r="D254" t="s">
        <v>35</v>
      </c>
      <c r="E254" t="s">
        <v>107</v>
      </c>
      <c r="F254" t="s">
        <v>19</v>
      </c>
      <c r="G254" t="s">
        <v>188</v>
      </c>
      <c r="H254" t="s">
        <v>21</v>
      </c>
      <c r="I254" t="s">
        <v>81</v>
      </c>
      <c r="J254" t="s">
        <v>148</v>
      </c>
      <c r="K254" t="s">
        <v>23</v>
      </c>
      <c r="L254">
        <v>1195</v>
      </c>
      <c r="M254">
        <v>11.648181900000001</v>
      </c>
      <c r="N254">
        <v>-14.230475054048874</v>
      </c>
      <c r="O254">
        <v>-6.6785544601657421E-3</v>
      </c>
      <c r="P254" s="1" t="str">
        <f>HYPERLINK(".\sm_car_260116_2048\sm_car_260116_2048_253_Ca202TrN_MaMCI_DrSt_ode23t_1.png","figure")</f>
        <v>figure</v>
      </c>
      <c r="Q254" t="s">
        <v>15</v>
      </c>
    </row>
    <row r="255" spans="1:17" x14ac:dyDescent="0.25">
      <c r="A255">
        <v>254</v>
      </c>
      <c r="B255">
        <v>202</v>
      </c>
      <c r="C255" t="s">
        <v>45</v>
      </c>
      <c r="D255" t="s">
        <v>35</v>
      </c>
      <c r="E255" t="s">
        <v>107</v>
      </c>
      <c r="F255" t="s">
        <v>19</v>
      </c>
      <c r="G255" t="s">
        <v>188</v>
      </c>
      <c r="H255" t="s">
        <v>21</v>
      </c>
      <c r="I255" t="s">
        <v>83</v>
      </c>
      <c r="J255" t="s">
        <v>148</v>
      </c>
      <c r="K255" t="s">
        <v>23</v>
      </c>
      <c r="L255">
        <v>2876</v>
      </c>
      <c r="M255">
        <v>10.9820355</v>
      </c>
      <c r="N255">
        <v>-5.9967599757358716</v>
      </c>
      <c r="O255">
        <v>-2.6152970750457961E-2</v>
      </c>
      <c r="P255" s="1" t="str">
        <f>HYPERLINK(".\sm_car_260116_2048\sm_car_260116_2048_254_Ca202TrN_MaCKF_DrSt_ode23t_1.png","figure")</f>
        <v>figure</v>
      </c>
      <c r="Q255" t="s">
        <v>15</v>
      </c>
    </row>
    <row r="256" spans="1:17" x14ac:dyDescent="0.25">
      <c r="A256">
        <v>255</v>
      </c>
      <c r="B256">
        <v>202</v>
      </c>
      <c r="C256" t="s">
        <v>45</v>
      </c>
      <c r="D256" t="s">
        <v>35</v>
      </c>
      <c r="E256" t="s">
        <v>107</v>
      </c>
      <c r="F256" t="s">
        <v>19</v>
      </c>
      <c r="G256" t="s">
        <v>188</v>
      </c>
      <c r="H256" t="s">
        <v>21</v>
      </c>
      <c r="I256" t="s">
        <v>85</v>
      </c>
      <c r="J256" t="s">
        <v>148</v>
      </c>
      <c r="K256" t="s">
        <v>23</v>
      </c>
      <c r="L256">
        <v>8360</v>
      </c>
      <c r="M256">
        <v>220.8597307</v>
      </c>
      <c r="N256">
        <v>-8.9781757971358171</v>
      </c>
      <c r="O256">
        <v>2.3794324531505762E-2</v>
      </c>
      <c r="P256" s="1" t="str">
        <f>HYPERLINK(".\sm_car_260116_2048\sm_car_260116_2048_255_Ca202TrN_MaCNF_DrSt_ode23t_1.png","figure")</f>
        <v>figure</v>
      </c>
      <c r="Q256" t="s">
        <v>15</v>
      </c>
    </row>
    <row r="257" spans="1:17" x14ac:dyDescent="0.25">
      <c r="A257">
        <v>256</v>
      </c>
      <c r="B257">
        <v>202</v>
      </c>
      <c r="C257" t="s">
        <v>45</v>
      </c>
      <c r="D257" t="s">
        <v>35</v>
      </c>
      <c r="E257" t="s">
        <v>107</v>
      </c>
      <c r="F257" t="s">
        <v>19</v>
      </c>
      <c r="G257" t="s">
        <v>188</v>
      </c>
      <c r="H257" t="s">
        <v>21</v>
      </c>
      <c r="I257" t="s">
        <v>87</v>
      </c>
      <c r="J257" t="s">
        <v>148</v>
      </c>
      <c r="K257" t="s">
        <v>23</v>
      </c>
      <c r="L257">
        <v>5157</v>
      </c>
      <c r="M257">
        <v>64.939311599999996</v>
      </c>
      <c r="N257">
        <v>-8.9900981534315569</v>
      </c>
      <c r="O257">
        <v>8.180138961622483E-3</v>
      </c>
      <c r="P257" s="1" t="str">
        <f>HYPERLINK(".\sm_car_260116_2048\sm_car_260116_2048_256_Ca202TrN_MaCSF_DrSt_ode23t_1.png","figure")</f>
        <v>figure</v>
      </c>
      <c r="Q257" t="s">
        <v>15</v>
      </c>
    </row>
    <row r="258" spans="1:17" x14ac:dyDescent="0.25">
      <c r="A258">
        <v>257</v>
      </c>
      <c r="B258">
        <v>202</v>
      </c>
      <c r="C258" t="s">
        <v>45</v>
      </c>
      <c r="D258" t="s">
        <v>35</v>
      </c>
      <c r="E258" t="s">
        <v>107</v>
      </c>
      <c r="F258" t="s">
        <v>19</v>
      </c>
      <c r="G258" t="s">
        <v>188</v>
      </c>
      <c r="H258" t="s">
        <v>21</v>
      </c>
      <c r="I258" t="s">
        <v>78</v>
      </c>
      <c r="J258" t="s">
        <v>148</v>
      </c>
      <c r="K258" t="s">
        <v>23</v>
      </c>
      <c r="L258">
        <v>7199</v>
      </c>
      <c r="M258">
        <v>24.501854300000002</v>
      </c>
      <c r="N258">
        <v>-5.9988907716602711</v>
      </c>
      <c r="O258">
        <v>-6.2432342963856073E-3</v>
      </c>
      <c r="P258" s="1" t="str">
        <f>HYPERLINK(".\sm_car_260116_2048\sm_car_260116_2048_257_Ca202TrN_MaCMP_DrSt_ode23t_1.png","figure")</f>
        <v>figure</v>
      </c>
      <c r="Q258" t="s">
        <v>15</v>
      </c>
    </row>
    <row r="259" spans="1:17" x14ac:dyDescent="0.25">
      <c r="A259">
        <v>258</v>
      </c>
      <c r="B259">
        <v>202</v>
      </c>
      <c r="C259" t="s">
        <v>45</v>
      </c>
      <c r="D259" t="s">
        <v>35</v>
      </c>
      <c r="E259" t="s">
        <v>107</v>
      </c>
      <c r="F259" t="s">
        <v>19</v>
      </c>
      <c r="G259" t="s">
        <v>188</v>
      </c>
      <c r="H259" t="s">
        <v>21</v>
      </c>
      <c r="I259" t="s">
        <v>82</v>
      </c>
      <c r="J259" t="s">
        <v>148</v>
      </c>
      <c r="K259" t="s">
        <v>23</v>
      </c>
      <c r="L259">
        <v>20050</v>
      </c>
      <c r="M259">
        <v>75.412004600000003</v>
      </c>
      <c r="N259">
        <v>-5.9994553843777556</v>
      </c>
      <c r="O259">
        <v>-2.79228268452241E-2</v>
      </c>
      <c r="P259" s="1" t="str">
        <f>HYPERLINK(".\sm_car_260116_2048\sm_car_260116_2048_258_Ca202TrN_MaCKY_DrSt_ode23t_1.png","figure")</f>
        <v>figure</v>
      </c>
      <c r="Q259" t="s">
        <v>15</v>
      </c>
    </row>
    <row r="260" spans="1:17" x14ac:dyDescent="0.25">
      <c r="A260">
        <v>259</v>
      </c>
      <c r="B260">
        <v>202</v>
      </c>
      <c r="C260" t="s">
        <v>45</v>
      </c>
      <c r="D260" t="s">
        <v>35</v>
      </c>
      <c r="E260" t="s">
        <v>107</v>
      </c>
      <c r="F260" t="s">
        <v>19</v>
      </c>
      <c r="G260" t="s">
        <v>188</v>
      </c>
      <c r="H260" t="s">
        <v>21</v>
      </c>
      <c r="I260" t="s">
        <v>75</v>
      </c>
      <c r="J260" t="s">
        <v>148</v>
      </c>
      <c r="K260" t="s">
        <v>23</v>
      </c>
      <c r="L260">
        <v>474</v>
      </c>
      <c r="M260">
        <v>2.5745771999999998</v>
      </c>
      <c r="N260">
        <v>380.66458331191734</v>
      </c>
      <c r="O260">
        <v>0.33255620780143091</v>
      </c>
      <c r="P260" s="1" t="str">
        <f>HYPERLINK(".\sm_car_260116_2048\sm_car_260116_2048_259_Ca202TrN_MaCPL_DrSt_ode23t_1.png","figure")</f>
        <v>figure</v>
      </c>
      <c r="Q260" t="s">
        <v>15</v>
      </c>
    </row>
    <row r="261" spans="1:17" x14ac:dyDescent="0.25">
      <c r="A261">
        <v>260</v>
      </c>
      <c r="B261">
        <v>140</v>
      </c>
      <c r="C261" t="s">
        <v>45</v>
      </c>
      <c r="D261" t="s">
        <v>17</v>
      </c>
      <c r="E261" t="s">
        <v>49</v>
      </c>
      <c r="F261" t="s">
        <v>19</v>
      </c>
      <c r="G261" t="s">
        <v>26</v>
      </c>
      <c r="H261" t="s">
        <v>21</v>
      </c>
      <c r="I261" t="s">
        <v>112</v>
      </c>
      <c r="J261" t="s">
        <v>148</v>
      </c>
      <c r="K261" t="s">
        <v>23</v>
      </c>
      <c r="L261">
        <v>2630</v>
      </c>
      <c r="M261">
        <v>37.932069200000001</v>
      </c>
      <c r="N261">
        <v>189.15430692663318</v>
      </c>
      <c r="O261">
        <v>7.1084805641706528E-4</v>
      </c>
      <c r="P261" s="1" t="str">
        <f>HYPERLINK(".\sm_car_260116_2048\sm_car_260116_2048_260_Ca140TrN_MaCRR_DrSt_ode23t_1.png","figure")</f>
        <v>figure</v>
      </c>
      <c r="Q261" t="s">
        <v>15</v>
      </c>
    </row>
    <row r="262" spans="1:17" x14ac:dyDescent="0.25">
      <c r="A262">
        <v>261</v>
      </c>
      <c r="B262">
        <v>189</v>
      </c>
      <c r="C262" t="s">
        <v>45</v>
      </c>
      <c r="D262" t="s">
        <v>17</v>
      </c>
      <c r="E262" t="s">
        <v>107</v>
      </c>
      <c r="F262" t="s">
        <v>19</v>
      </c>
      <c r="G262" t="s">
        <v>26</v>
      </c>
      <c r="H262" t="s">
        <v>21</v>
      </c>
      <c r="I262" t="s">
        <v>112</v>
      </c>
      <c r="J262" t="s">
        <v>148</v>
      </c>
      <c r="K262" t="s">
        <v>23</v>
      </c>
      <c r="L262">
        <v>3270</v>
      </c>
      <c r="M262">
        <v>34.6375253</v>
      </c>
      <c r="N262">
        <v>189.18372021564034</v>
      </c>
      <c r="O262">
        <v>7.1209952192259011E-4</v>
      </c>
      <c r="P262" s="1" t="str">
        <f>HYPERLINK(".\sm_car_260116_2048\sm_car_260116_2048_261_Ca189TrN_MaCRR_DrSt_ode23t_1.png","figure")</f>
        <v>figure</v>
      </c>
      <c r="Q262" t="s">
        <v>15</v>
      </c>
    </row>
    <row r="263" spans="1:17" x14ac:dyDescent="0.25">
      <c r="A263">
        <v>262</v>
      </c>
      <c r="B263">
        <v>173</v>
      </c>
      <c r="C263" t="s">
        <v>45</v>
      </c>
      <c r="D263" t="s">
        <v>35</v>
      </c>
      <c r="E263" t="s">
        <v>49</v>
      </c>
      <c r="F263" t="s">
        <v>19</v>
      </c>
      <c r="G263" t="s">
        <v>90</v>
      </c>
      <c r="H263" t="s">
        <v>21</v>
      </c>
      <c r="I263" t="s">
        <v>91</v>
      </c>
      <c r="J263" t="s">
        <v>148</v>
      </c>
      <c r="K263" t="s">
        <v>92</v>
      </c>
      <c r="L263">
        <v>1585</v>
      </c>
      <c r="M263">
        <v>58.940897100000001</v>
      </c>
      <c r="N263">
        <v>51.299534188168501</v>
      </c>
      <c r="O263">
        <v>9.1604319329928793E-3</v>
      </c>
      <c r="P263" s="1" t="str">
        <f>HYPERLINK(".\sm_car_260116_2048\sm_car_260116_2048_262_Ca173TrN_MaDCA_DrSt_daessc_1.png","figure")</f>
        <v>figure</v>
      </c>
      <c r="Q263" t="s">
        <v>15</v>
      </c>
    </row>
    <row r="264" spans="1:17" x14ac:dyDescent="0.25">
      <c r="A264">
        <v>263</v>
      </c>
      <c r="B264">
        <v>173</v>
      </c>
      <c r="C264" t="s">
        <v>45</v>
      </c>
      <c r="D264" t="s">
        <v>35</v>
      </c>
      <c r="E264" t="s">
        <v>49</v>
      </c>
      <c r="F264" t="s">
        <v>19</v>
      </c>
      <c r="G264" t="s">
        <v>90</v>
      </c>
      <c r="H264" t="s">
        <v>21</v>
      </c>
      <c r="I264" t="s">
        <v>93</v>
      </c>
      <c r="J264" t="s">
        <v>148</v>
      </c>
      <c r="K264" t="s">
        <v>92</v>
      </c>
      <c r="L264">
        <v>4028</v>
      </c>
      <c r="M264">
        <v>96.351768699999994</v>
      </c>
      <c r="N264">
        <v>980.46761615367825</v>
      </c>
      <c r="O264">
        <v>0.73486881301210261</v>
      </c>
      <c r="P264" s="1" t="str">
        <f>HYPERLINK(".\sm_car_260116_2048\sm_car_260116_2048_263_Ca173TrN_MaDC1_DrSt_daessc_1.png","figure")</f>
        <v>figure</v>
      </c>
      <c r="Q264" t="s">
        <v>15</v>
      </c>
    </row>
    <row r="265" spans="1:17" x14ac:dyDescent="0.25">
      <c r="A265">
        <v>264</v>
      </c>
      <c r="B265">
        <v>165</v>
      </c>
      <c r="C265" t="s">
        <v>45</v>
      </c>
      <c r="D265" t="s">
        <v>35</v>
      </c>
      <c r="E265" t="s">
        <v>49</v>
      </c>
      <c r="F265" t="s">
        <v>19</v>
      </c>
      <c r="G265" t="s">
        <v>26</v>
      </c>
      <c r="H265" t="s">
        <v>21</v>
      </c>
      <c r="I265" t="s">
        <v>91</v>
      </c>
      <c r="J265" t="s">
        <v>148</v>
      </c>
      <c r="K265" t="s">
        <v>23</v>
      </c>
      <c r="L265">
        <v>320</v>
      </c>
      <c r="M265">
        <v>3.9450021</v>
      </c>
      <c r="N265">
        <v>53.50828056692022</v>
      </c>
      <c r="O265">
        <v>1.0033865208921076E-2</v>
      </c>
      <c r="P265" s="1" t="str">
        <f>HYPERLINK(".\sm_car_260116_2048\sm_car_260116_2048_264_Ca165TrN_MaDCA_DrSt_ode23t_1.png","figure")</f>
        <v>figure</v>
      </c>
      <c r="Q265" t="s">
        <v>15</v>
      </c>
    </row>
    <row r="266" spans="1:17" x14ac:dyDescent="0.25">
      <c r="A266">
        <v>265</v>
      </c>
      <c r="B266">
        <v>165</v>
      </c>
      <c r="C266" t="s">
        <v>45</v>
      </c>
      <c r="D266" t="s">
        <v>35</v>
      </c>
      <c r="E266" t="s">
        <v>49</v>
      </c>
      <c r="F266" t="s">
        <v>19</v>
      </c>
      <c r="G266" t="s">
        <v>26</v>
      </c>
      <c r="H266" t="s">
        <v>21</v>
      </c>
      <c r="I266" t="s">
        <v>93</v>
      </c>
      <c r="J266" t="s">
        <v>148</v>
      </c>
      <c r="K266" t="s">
        <v>23</v>
      </c>
      <c r="L266">
        <v>1186</v>
      </c>
      <c r="M266">
        <v>8.6666070000000008</v>
      </c>
      <c r="N266">
        <v>992.6536892903797</v>
      </c>
      <c r="O266">
        <v>0.79320278077776707</v>
      </c>
      <c r="P266" s="1" t="str">
        <f>HYPERLINK(".\sm_car_260116_2048\sm_car_260116_2048_265_Ca165TrN_MaDC1_DrSt_ode23t_1.png","figure")</f>
        <v>figure</v>
      </c>
      <c r="Q266" t="s">
        <v>15</v>
      </c>
    </row>
    <row r="267" spans="1:17" x14ac:dyDescent="0.25">
      <c r="A267">
        <v>266</v>
      </c>
      <c r="B267">
        <v>196</v>
      </c>
      <c r="C267" t="s">
        <v>45</v>
      </c>
      <c r="D267" t="s">
        <v>35</v>
      </c>
      <c r="E267" t="s">
        <v>107</v>
      </c>
      <c r="F267" t="s">
        <v>19</v>
      </c>
      <c r="G267" t="s">
        <v>90</v>
      </c>
      <c r="H267" t="s">
        <v>21</v>
      </c>
      <c r="I267" t="s">
        <v>93</v>
      </c>
      <c r="J267" t="s">
        <v>148</v>
      </c>
      <c r="K267" t="s">
        <v>92</v>
      </c>
      <c r="L267">
        <v>3965</v>
      </c>
      <c r="M267">
        <v>45.727971699999998</v>
      </c>
      <c r="N267">
        <v>980.46192342082725</v>
      </c>
      <c r="O267">
        <v>0.73495590276864686</v>
      </c>
      <c r="P267" s="1" t="str">
        <f>HYPERLINK(".\sm_car_260116_2048\sm_car_260116_2048_266_Ca196TrN_MaDC1_DrSt_daessc_1.png","figure")</f>
        <v>figure</v>
      </c>
      <c r="Q267" t="s">
        <v>15</v>
      </c>
    </row>
    <row r="268" spans="1:17" x14ac:dyDescent="0.25">
      <c r="A268">
        <v>267</v>
      </c>
      <c r="B268">
        <v>179</v>
      </c>
      <c r="C268" t="s">
        <v>45</v>
      </c>
      <c r="D268" t="s">
        <v>57</v>
      </c>
      <c r="E268" t="s">
        <v>18</v>
      </c>
      <c r="F268" t="s">
        <v>19</v>
      </c>
      <c r="G268" t="s">
        <v>26</v>
      </c>
      <c r="H268" t="s">
        <v>21</v>
      </c>
      <c r="I268" t="s">
        <v>22</v>
      </c>
      <c r="J268" t="s">
        <v>148</v>
      </c>
      <c r="K268" t="s">
        <v>23</v>
      </c>
      <c r="L268">
        <v>475</v>
      </c>
      <c r="M268">
        <v>5.1246345</v>
      </c>
      <c r="N268">
        <v>147.79791096322953</v>
      </c>
      <c r="O268">
        <v>9.6090719978941308E-2</v>
      </c>
      <c r="P268" s="1" t="str">
        <f>HYPERLINK(".\sm_car_260116_2048\sm_car_260116_2048_267_Ca179TrN_MaWOT_DrSt_ode23t_1.png","figure")</f>
        <v>figure</v>
      </c>
      <c r="Q268" t="s">
        <v>15</v>
      </c>
    </row>
    <row r="269" spans="1:17" x14ac:dyDescent="0.25">
      <c r="A269">
        <v>268</v>
      </c>
      <c r="B269">
        <v>180</v>
      </c>
      <c r="C269" t="s">
        <v>45</v>
      </c>
      <c r="D269" t="s">
        <v>57</v>
      </c>
      <c r="E269" t="s">
        <v>49</v>
      </c>
      <c r="F269" t="s">
        <v>19</v>
      </c>
      <c r="G269" t="s">
        <v>26</v>
      </c>
      <c r="H269" t="s">
        <v>21</v>
      </c>
      <c r="I269" t="s">
        <v>22</v>
      </c>
      <c r="J269" t="s">
        <v>148</v>
      </c>
      <c r="K269" t="s">
        <v>23</v>
      </c>
      <c r="L269">
        <v>501</v>
      </c>
      <c r="M269">
        <v>7.4194060999999998</v>
      </c>
      <c r="N269">
        <v>147.84848020290528</v>
      </c>
      <c r="O269">
        <v>9.6072610475325157E-2</v>
      </c>
      <c r="P269" s="1" t="str">
        <f>HYPERLINK(".\sm_car_260116_2048\sm_car_260116_2048_268_Ca180TrN_MaWOT_DrSt_ode23t_1.png","figure")</f>
        <v>figure</v>
      </c>
      <c r="Q269" t="s">
        <v>15</v>
      </c>
    </row>
    <row r="270" spans="1:17" x14ac:dyDescent="0.25">
      <c r="A270">
        <v>269</v>
      </c>
      <c r="B270">
        <v>197</v>
      </c>
      <c r="C270" t="s">
        <v>45</v>
      </c>
      <c r="D270" t="s">
        <v>57</v>
      </c>
      <c r="E270" t="s">
        <v>107</v>
      </c>
      <c r="F270" t="s">
        <v>19</v>
      </c>
      <c r="G270" t="s">
        <v>26</v>
      </c>
      <c r="H270" t="s">
        <v>21</v>
      </c>
      <c r="I270" t="s">
        <v>22</v>
      </c>
      <c r="J270" t="s">
        <v>148</v>
      </c>
      <c r="K270" t="s">
        <v>23</v>
      </c>
      <c r="L270">
        <v>450</v>
      </c>
      <c r="M270">
        <v>2.3252872</v>
      </c>
      <c r="N270">
        <v>147.81194962631631</v>
      </c>
      <c r="O270">
        <v>9.5951331480630425E-2</v>
      </c>
      <c r="P270" s="1" t="str">
        <f>HYPERLINK(".\sm_car_260116_2048\sm_car_260116_2048_269_Ca197TrN_MaWOT_DrSt_ode23t_1.png","figure")</f>
        <v>figure</v>
      </c>
      <c r="Q270" t="s">
        <v>15</v>
      </c>
    </row>
    <row r="271" spans="1:17" x14ac:dyDescent="0.25">
      <c r="A271">
        <v>270</v>
      </c>
      <c r="B271">
        <v>182</v>
      </c>
      <c r="C271" t="s">
        <v>45</v>
      </c>
      <c r="D271" t="s">
        <v>17</v>
      </c>
      <c r="E271" t="s">
        <v>49</v>
      </c>
      <c r="F271" t="s">
        <v>19</v>
      </c>
      <c r="G271" t="s">
        <v>26</v>
      </c>
      <c r="H271" t="s">
        <v>21</v>
      </c>
      <c r="I271" t="s">
        <v>64</v>
      </c>
      <c r="J271" t="s">
        <v>148</v>
      </c>
      <c r="K271" t="s">
        <v>23</v>
      </c>
      <c r="L271">
        <v>425</v>
      </c>
      <c r="M271">
        <v>12.685386299999999</v>
      </c>
      <c r="N271">
        <v>61.843650858857856</v>
      </c>
      <c r="O271">
        <v>-24.157975329121015</v>
      </c>
      <c r="P271" s="1" t="str">
        <f>HYPERLINK(".\sm_car_260116_2048\sm_car_260116_2048_270_Ca182TrN_MaTUR_DrSt_ode23t_1.png","figure")</f>
        <v>figure</v>
      </c>
      <c r="Q271" t="s">
        <v>15</v>
      </c>
    </row>
    <row r="272" spans="1:17" x14ac:dyDescent="0.25">
      <c r="A272">
        <v>271</v>
      </c>
      <c r="B272">
        <v>203</v>
      </c>
      <c r="C272" t="s">
        <v>45</v>
      </c>
      <c r="D272" t="s">
        <v>17</v>
      </c>
      <c r="E272" t="s">
        <v>107</v>
      </c>
      <c r="F272" t="s">
        <v>19</v>
      </c>
      <c r="G272" t="s">
        <v>26</v>
      </c>
      <c r="H272" t="s">
        <v>21</v>
      </c>
      <c r="I272" t="s">
        <v>64</v>
      </c>
      <c r="J272" t="s">
        <v>148</v>
      </c>
      <c r="K272" t="s">
        <v>23</v>
      </c>
      <c r="L272">
        <v>377</v>
      </c>
      <c r="M272">
        <v>4.7522181999999997</v>
      </c>
      <c r="N272">
        <v>61.845585844015361</v>
      </c>
      <c r="O272">
        <v>-24.168117234201031</v>
      </c>
      <c r="P272" s="1" t="str">
        <f>HYPERLINK(".\sm_car_260116_2048\sm_car_260116_2048_271_Ca203TrN_MaTUR_DrSt_ode23t_1.png","figure")</f>
        <v>figure</v>
      </c>
      <c r="Q272" t="s">
        <v>15</v>
      </c>
    </row>
    <row r="273" spans="1:17" x14ac:dyDescent="0.25">
      <c r="A273">
        <v>272</v>
      </c>
      <c r="B273">
        <v>185</v>
      </c>
      <c r="C273" t="s">
        <v>45</v>
      </c>
      <c r="D273" t="s">
        <v>17</v>
      </c>
      <c r="E273" t="s">
        <v>18</v>
      </c>
      <c r="F273" t="s">
        <v>19</v>
      </c>
      <c r="G273" t="s">
        <v>26</v>
      </c>
      <c r="H273" t="s">
        <v>21</v>
      </c>
      <c r="I273" t="s">
        <v>64</v>
      </c>
      <c r="J273" t="s">
        <v>148</v>
      </c>
      <c r="K273" t="s">
        <v>23</v>
      </c>
      <c r="L273">
        <v>528</v>
      </c>
      <c r="M273">
        <v>20.395802199999999</v>
      </c>
      <c r="N273">
        <v>111.93721477114244</v>
      </c>
      <c r="O273">
        <v>-78.480709647680641</v>
      </c>
      <c r="P273" s="1" t="str">
        <f>HYPERLINK(".\sm_car_260116_2048\sm_car_260116_2048_272_Ca185TrN_MaTUR_DrSt_ode23t_1.png","figure")</f>
        <v>figure</v>
      </c>
      <c r="Q273" t="s">
        <v>15</v>
      </c>
    </row>
    <row r="274" spans="1:17" x14ac:dyDescent="0.25">
      <c r="A274">
        <v>273</v>
      </c>
      <c r="B274">
        <v>188</v>
      </c>
      <c r="C274" t="s">
        <v>45</v>
      </c>
      <c r="D274" t="s">
        <v>113</v>
      </c>
      <c r="E274" t="s">
        <v>49</v>
      </c>
      <c r="F274" t="s">
        <v>19</v>
      </c>
      <c r="G274" t="s">
        <v>26</v>
      </c>
      <c r="H274" t="s">
        <v>21</v>
      </c>
      <c r="I274" t="s">
        <v>64</v>
      </c>
      <c r="J274" t="s">
        <v>148</v>
      </c>
      <c r="K274" t="s">
        <v>23</v>
      </c>
      <c r="L274">
        <v>545</v>
      </c>
      <c r="M274">
        <v>7.8836995999999999</v>
      </c>
      <c r="N274">
        <v>140.61608082205137</v>
      </c>
      <c r="O274">
        <v>-71.731282511533919</v>
      </c>
      <c r="P274" s="1" t="str">
        <f>HYPERLINK(".\sm_car_260116_2048\sm_car_260116_2048_273_Ca188TrN_MaTUR_DrSt_ode23t_1.png","figure")</f>
        <v>figure</v>
      </c>
      <c r="Q274" t="s">
        <v>15</v>
      </c>
    </row>
    <row r="275" spans="1:17" x14ac:dyDescent="0.25">
      <c r="A275">
        <v>274</v>
      </c>
      <c r="B275" t="s">
        <v>94</v>
      </c>
      <c r="C275" t="s">
        <v>95</v>
      </c>
      <c r="D275" t="s">
        <v>35</v>
      </c>
      <c r="E275" t="s">
        <v>18</v>
      </c>
      <c r="F275" t="s">
        <v>19</v>
      </c>
      <c r="G275" t="s">
        <v>96</v>
      </c>
      <c r="H275" t="s">
        <v>21</v>
      </c>
      <c r="I275" t="s">
        <v>22</v>
      </c>
      <c r="J275" t="s">
        <v>148</v>
      </c>
      <c r="K275" t="s">
        <v>23</v>
      </c>
      <c r="L275">
        <v>441</v>
      </c>
      <c r="M275">
        <v>13.7754992</v>
      </c>
      <c r="N275">
        <v>79.220922629445354</v>
      </c>
      <c r="O275">
        <v>-0.33365900389598846</v>
      </c>
      <c r="P275" s="1" t="str">
        <f>HYPERLINK(".\sm_car_260116_2048\sm_car_Axle3_260116_2048_274_CaAxle3_000TrN_MaWOT_DrSt_ode23t_1.png","figure")</f>
        <v>figure</v>
      </c>
      <c r="Q275" t="s">
        <v>15</v>
      </c>
    </row>
    <row r="276" spans="1:17" x14ac:dyDescent="0.25">
      <c r="A276">
        <v>275</v>
      </c>
      <c r="B276" t="s">
        <v>99</v>
      </c>
      <c r="C276" t="s">
        <v>100</v>
      </c>
      <c r="D276" t="s">
        <v>35</v>
      </c>
      <c r="E276" t="s">
        <v>18</v>
      </c>
      <c r="F276" t="s">
        <v>19</v>
      </c>
      <c r="G276" t="s">
        <v>96</v>
      </c>
      <c r="H276" t="s">
        <v>21</v>
      </c>
      <c r="I276" t="s">
        <v>22</v>
      </c>
      <c r="J276" t="s">
        <v>148</v>
      </c>
      <c r="K276" t="s">
        <v>23</v>
      </c>
      <c r="L276">
        <v>548</v>
      </c>
      <c r="M276">
        <v>15.3094114</v>
      </c>
      <c r="N276">
        <v>61.776462913405382</v>
      </c>
      <c r="O276">
        <v>-7.8931686155575068E-2</v>
      </c>
      <c r="P276" s="1" t="str">
        <f>HYPERLINK(".\sm_car_260116_2048\sm_car_Axle3_260116_2048_275_CaAxle3_008TrN_MaWOT_DrSt_ode23t_1.png","figure")</f>
        <v>figure</v>
      </c>
      <c r="Q276" t="s">
        <v>15</v>
      </c>
    </row>
    <row r="277" spans="1:17" x14ac:dyDescent="0.25">
      <c r="A277">
        <v>276</v>
      </c>
      <c r="B277" t="s">
        <v>97</v>
      </c>
      <c r="C277" t="s">
        <v>95</v>
      </c>
      <c r="D277" t="s">
        <v>35</v>
      </c>
      <c r="E277" t="s">
        <v>49</v>
      </c>
      <c r="F277" t="s">
        <v>19</v>
      </c>
      <c r="G277" t="s">
        <v>98</v>
      </c>
      <c r="H277" t="s">
        <v>21</v>
      </c>
      <c r="I277" t="s">
        <v>22</v>
      </c>
      <c r="J277" t="s">
        <v>148</v>
      </c>
      <c r="K277" t="s">
        <v>23</v>
      </c>
      <c r="L277">
        <v>424</v>
      </c>
      <c r="M277">
        <v>13.371798099999999</v>
      </c>
      <c r="N277">
        <v>79.244220046451531</v>
      </c>
      <c r="O277">
        <v>-0.31301972908609804</v>
      </c>
      <c r="P277" s="1" t="str">
        <f>HYPERLINK(".\sm_car_260116_2048\sm_car_Axle3_260116_2048_276_CaAxle3_003TrN_MaWOT_DrSt_ode23t_1.png","figure")</f>
        <v>figure</v>
      </c>
      <c r="Q277" t="s">
        <v>15</v>
      </c>
    </row>
    <row r="278" spans="1:17" x14ac:dyDescent="0.25">
      <c r="A278">
        <v>277</v>
      </c>
      <c r="B278" t="s">
        <v>114</v>
      </c>
      <c r="C278" t="s">
        <v>95</v>
      </c>
      <c r="D278" t="s">
        <v>35</v>
      </c>
      <c r="E278" t="s">
        <v>107</v>
      </c>
      <c r="F278" t="s">
        <v>19</v>
      </c>
      <c r="G278" t="s">
        <v>98</v>
      </c>
      <c r="H278" t="s">
        <v>21</v>
      </c>
      <c r="I278" t="s">
        <v>22</v>
      </c>
      <c r="J278" t="s">
        <v>148</v>
      </c>
      <c r="K278" t="s">
        <v>23</v>
      </c>
      <c r="L278">
        <v>433</v>
      </c>
      <c r="M278">
        <v>2.1399916999999999</v>
      </c>
      <c r="N278">
        <v>80.12500224794988</v>
      </c>
      <c r="O278">
        <v>-0.31922959923305844</v>
      </c>
      <c r="P278" s="1" t="str">
        <f>HYPERLINK(".\sm_car_260116_2048\sm_car_Axle3_260116_2048_277_CaAxle3_017TrN_MaWOT_DrSt_ode23t_1.png","figure")</f>
        <v>figure</v>
      </c>
      <c r="Q278" t="s">
        <v>15</v>
      </c>
    </row>
    <row r="279" spans="1:17" x14ac:dyDescent="0.25">
      <c r="A279">
        <v>278</v>
      </c>
      <c r="B279" t="s">
        <v>101</v>
      </c>
      <c r="C279" t="s">
        <v>100</v>
      </c>
      <c r="D279" t="s">
        <v>35</v>
      </c>
      <c r="E279" t="s">
        <v>49</v>
      </c>
      <c r="F279" t="s">
        <v>19</v>
      </c>
      <c r="G279" t="s">
        <v>96</v>
      </c>
      <c r="H279" t="s">
        <v>102</v>
      </c>
      <c r="I279" t="s">
        <v>22</v>
      </c>
      <c r="J279" t="s">
        <v>148</v>
      </c>
      <c r="K279" t="s">
        <v>23</v>
      </c>
      <c r="L279">
        <v>395</v>
      </c>
      <c r="M279">
        <v>35.540978799999998</v>
      </c>
      <c r="N279">
        <v>44.292501656359129</v>
      </c>
      <c r="O279">
        <v>2.2801814233954713E-2</v>
      </c>
      <c r="P279" s="1" t="str">
        <f>HYPERLINK(".\sm_car_260116_2048\sm_car_Axle3_260116_2048_278_CaAxle3_010TrK_MaWOT_DrSt_ode23t_1.png","figure")</f>
        <v>figure</v>
      </c>
      <c r="Q279" t="s">
        <v>15</v>
      </c>
    </row>
    <row r="280" spans="1:17" x14ac:dyDescent="0.25">
      <c r="A280">
        <v>279</v>
      </c>
      <c r="B280" t="s">
        <v>101</v>
      </c>
      <c r="C280" t="s">
        <v>100</v>
      </c>
      <c r="D280" t="s">
        <v>35</v>
      </c>
      <c r="E280" t="s">
        <v>49</v>
      </c>
      <c r="F280" t="s">
        <v>19</v>
      </c>
      <c r="G280" t="s">
        <v>96</v>
      </c>
      <c r="H280" t="s">
        <v>102</v>
      </c>
      <c r="I280" t="s">
        <v>22</v>
      </c>
      <c r="J280" t="s">
        <v>148</v>
      </c>
      <c r="K280" t="s">
        <v>23</v>
      </c>
      <c r="L280">
        <v>402</v>
      </c>
      <c r="M280">
        <v>34.979976999999998</v>
      </c>
      <c r="N280">
        <v>44.314162789346014</v>
      </c>
      <c r="O280">
        <v>2.2833144719518646E-2</v>
      </c>
      <c r="P280" s="1" t="str">
        <f>HYPERLINK(".\sm_car_260116_2048\sm_car_Axle3_260116_2048_279_CaAxle3_010TrK_MaWOT_DrSt_ode23t_1.png","figure")</f>
        <v>figure</v>
      </c>
      <c r="Q280" t="s">
        <v>15</v>
      </c>
    </row>
    <row r="281" spans="1:17" x14ac:dyDescent="0.25">
      <c r="A281">
        <v>280</v>
      </c>
      <c r="B281" t="s">
        <v>115</v>
      </c>
      <c r="C281" t="s">
        <v>100</v>
      </c>
      <c r="D281" t="s">
        <v>35</v>
      </c>
      <c r="E281" t="s">
        <v>107</v>
      </c>
      <c r="F281" t="s">
        <v>19</v>
      </c>
      <c r="G281" t="s">
        <v>96</v>
      </c>
      <c r="H281" t="s">
        <v>102</v>
      </c>
      <c r="I281" t="s">
        <v>22</v>
      </c>
      <c r="J281" t="s">
        <v>148</v>
      </c>
      <c r="K281" t="s">
        <v>23</v>
      </c>
      <c r="L281">
        <v>398</v>
      </c>
      <c r="M281">
        <v>2.8579298</v>
      </c>
      <c r="N281">
        <v>48.183588369776736</v>
      </c>
      <c r="O281">
        <v>2.6474582703681582E-2</v>
      </c>
      <c r="P281" s="1" t="str">
        <f>HYPERLINK(".\sm_car_260116_2048\sm_car_Axle3_260116_2048_280_CaAxle3_019TrK_MaWOT_DrSt_ode23t_1.png","figure")</f>
        <v>figure</v>
      </c>
      <c r="Q281" t="s">
        <v>15</v>
      </c>
    </row>
    <row r="282" spans="1:17" x14ac:dyDescent="0.25">
      <c r="A282">
        <v>281</v>
      </c>
      <c r="B282" t="s">
        <v>115</v>
      </c>
      <c r="C282" t="s">
        <v>100</v>
      </c>
      <c r="D282" t="s">
        <v>35</v>
      </c>
      <c r="E282" t="s">
        <v>107</v>
      </c>
      <c r="F282" t="s">
        <v>19</v>
      </c>
      <c r="G282" t="s">
        <v>96</v>
      </c>
      <c r="H282" t="s">
        <v>102</v>
      </c>
      <c r="I282" t="s">
        <v>22</v>
      </c>
      <c r="J282" t="s">
        <v>148</v>
      </c>
      <c r="K282" t="s">
        <v>23</v>
      </c>
      <c r="L282">
        <v>401</v>
      </c>
      <c r="M282">
        <v>2.9614794</v>
      </c>
      <c r="N282">
        <v>48.113121666629596</v>
      </c>
      <c r="O282">
        <v>2.6374447589685671E-2</v>
      </c>
      <c r="P282" s="1" t="str">
        <f>HYPERLINK(".\sm_car_260116_2048\sm_car_Axle3_260116_2048_281_CaAxle3_019TrK_MaWOT_DrSt_ode23t_1.png","figure")</f>
        <v>figure</v>
      </c>
      <c r="Q282" t="s">
        <v>15</v>
      </c>
    </row>
    <row r="283" spans="1:17" x14ac:dyDescent="0.25">
      <c r="A283">
        <v>282</v>
      </c>
      <c r="B283" t="s">
        <v>115</v>
      </c>
      <c r="C283" t="s">
        <v>100</v>
      </c>
      <c r="D283" t="s">
        <v>35</v>
      </c>
      <c r="E283" t="s">
        <v>107</v>
      </c>
      <c r="F283" t="s">
        <v>19</v>
      </c>
      <c r="G283" t="s">
        <v>96</v>
      </c>
      <c r="H283" t="s">
        <v>102</v>
      </c>
      <c r="I283" t="s">
        <v>53</v>
      </c>
      <c r="J283" t="s">
        <v>148</v>
      </c>
      <c r="K283" t="s">
        <v>23</v>
      </c>
      <c r="L283">
        <v>640</v>
      </c>
      <c r="M283">
        <v>4.5774647000000002</v>
      </c>
      <c r="N283">
        <v>254.59942031649553</v>
      </c>
      <c r="O283">
        <v>-0.11414022371094212</v>
      </c>
      <c r="P283" s="1" t="str">
        <f>HYPERLINK(".\sm_car_260116_2048\sm_car_Axle3_260116_2048_282_CaAxle3_019TrK_MaDLC_DrSt_ode23t_1.png","figure")</f>
        <v>figure</v>
      </c>
      <c r="Q283" t="s">
        <v>15</v>
      </c>
    </row>
    <row r="284" spans="1:17" x14ac:dyDescent="0.25">
      <c r="A284">
        <v>283</v>
      </c>
      <c r="B284" t="s">
        <v>115</v>
      </c>
      <c r="C284" t="s">
        <v>100</v>
      </c>
      <c r="D284" t="s">
        <v>35</v>
      </c>
      <c r="E284" t="s">
        <v>107</v>
      </c>
      <c r="F284" t="s">
        <v>19</v>
      </c>
      <c r="G284" t="s">
        <v>96</v>
      </c>
      <c r="H284" t="s">
        <v>102</v>
      </c>
      <c r="I284" t="s">
        <v>53</v>
      </c>
      <c r="J284" t="s">
        <v>148</v>
      </c>
      <c r="K284" t="s">
        <v>23</v>
      </c>
      <c r="L284">
        <v>776</v>
      </c>
      <c r="M284">
        <v>4.8886396999999997</v>
      </c>
      <c r="N284">
        <v>254.0781455076484</v>
      </c>
      <c r="O284">
        <v>-0.11478207503288518</v>
      </c>
      <c r="P284" s="1" t="str">
        <f>HYPERLINK(".\sm_car_260116_2048\sm_car_Axle3_260116_2048_283_CaAxle3_019TrK_MaDLC_DrSt_ode23t_1.png","figure")</f>
        <v>figure</v>
      </c>
      <c r="Q284" t="s">
        <v>15</v>
      </c>
    </row>
    <row r="285" spans="1:17" x14ac:dyDescent="0.25">
      <c r="A285">
        <v>284</v>
      </c>
      <c r="B285" t="s">
        <v>115</v>
      </c>
      <c r="C285" t="s">
        <v>100</v>
      </c>
      <c r="D285" t="s">
        <v>35</v>
      </c>
      <c r="E285" t="s">
        <v>107</v>
      </c>
      <c r="F285" t="s">
        <v>19</v>
      </c>
      <c r="G285" t="s">
        <v>96</v>
      </c>
      <c r="H285" t="s">
        <v>102</v>
      </c>
      <c r="I285" t="s">
        <v>53</v>
      </c>
      <c r="J285" t="s">
        <v>148</v>
      </c>
      <c r="K285" t="s">
        <v>23</v>
      </c>
      <c r="L285">
        <v>629</v>
      </c>
      <c r="M285">
        <v>4.8318871999999997</v>
      </c>
      <c r="N285">
        <v>253.83587780776918</v>
      </c>
      <c r="O285">
        <v>-0.11097613602120227</v>
      </c>
      <c r="P285" s="1" t="str">
        <f>HYPERLINK(".\sm_car_260116_2048\sm_car_Axle3_260116_2048_284_CaAxle3_019TrK_MaDLC_DrSt_ode23t_1.png","figure")</f>
        <v>figure</v>
      </c>
      <c r="Q285" t="s">
        <v>15</v>
      </c>
    </row>
    <row r="286" spans="1:17" x14ac:dyDescent="0.25">
      <c r="A286">
        <v>285</v>
      </c>
      <c r="B286" t="s">
        <v>115</v>
      </c>
      <c r="C286" t="s">
        <v>100</v>
      </c>
      <c r="D286" t="s">
        <v>35</v>
      </c>
      <c r="E286" t="s">
        <v>107</v>
      </c>
      <c r="F286" t="s">
        <v>19</v>
      </c>
      <c r="G286" t="s">
        <v>96</v>
      </c>
      <c r="H286" t="s">
        <v>102</v>
      </c>
      <c r="I286" t="s">
        <v>53</v>
      </c>
      <c r="J286" t="s">
        <v>148</v>
      </c>
      <c r="K286" t="s">
        <v>23</v>
      </c>
      <c r="L286">
        <v>839</v>
      </c>
      <c r="M286">
        <v>5.2179186</v>
      </c>
      <c r="N286">
        <v>253.67738951909405</v>
      </c>
      <c r="O286">
        <v>-0.1063701531204968</v>
      </c>
      <c r="P286" s="1" t="str">
        <f>HYPERLINK(".\sm_car_260116_2048\sm_car_Axle3_260116_2048_285_CaAxle3_019TrK_MaDLC_DrSt_ode23t_1.png","figure")</f>
        <v>figure</v>
      </c>
      <c r="Q286" t="s">
        <v>15</v>
      </c>
    </row>
    <row r="287" spans="1:17" x14ac:dyDescent="0.25">
      <c r="A287">
        <v>286</v>
      </c>
      <c r="B287" t="s">
        <v>138</v>
      </c>
      <c r="C287" t="s">
        <v>139</v>
      </c>
      <c r="D287" t="s">
        <v>35</v>
      </c>
      <c r="E287" t="s">
        <v>49</v>
      </c>
      <c r="F287" t="s">
        <v>19</v>
      </c>
      <c r="G287" t="s">
        <v>96</v>
      </c>
      <c r="H287" t="s">
        <v>102</v>
      </c>
      <c r="I287" t="s">
        <v>22</v>
      </c>
      <c r="J287" t="s">
        <v>148</v>
      </c>
      <c r="K287" t="s">
        <v>23</v>
      </c>
      <c r="L287">
        <v>366</v>
      </c>
      <c r="M287">
        <v>2.9554125999999998</v>
      </c>
      <c r="N287">
        <v>136.83112990347067</v>
      </c>
      <c r="O287">
        <v>0.19633788496821558</v>
      </c>
      <c r="P287" s="1" t="str">
        <f>HYPERLINK(".\sm_car_260116_2048\sm_car_Axle3_260116_2048_286_CaAxle3_023TrK_MaWOT_DrSt_ode23t_1.png","figure")</f>
        <v>figure</v>
      </c>
      <c r="Q287" t="s">
        <v>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04683-EFEE-45C3-8C0A-326AF8E461C3}">
  <dimension ref="A1:S296"/>
  <sheetViews>
    <sheetView workbookViewId="0">
      <selection activeCell="M1" sqref="M1:M104857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S1" s="2" t="s">
        <v>200</v>
      </c>
    </row>
    <row r="2" spans="1:19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188</v>
      </c>
      <c r="H2" t="s">
        <v>21</v>
      </c>
      <c r="I2" t="s">
        <v>22</v>
      </c>
      <c r="J2" t="s">
        <v>148</v>
      </c>
      <c r="K2" t="s">
        <v>23</v>
      </c>
      <c r="L2">
        <v>407</v>
      </c>
      <c r="M2">
        <v>6.0966740000000001</v>
      </c>
      <c r="N2">
        <v>229.79691633507201</v>
      </c>
      <c r="O2">
        <v>-8.3815857057599977E-3</v>
      </c>
      <c r="P2" s="1" t="str">
        <f>HYPERLINK(".\sm_car_260221_0030\sm_car_260221_0030_001_Ca000TrN_MaWOT_DrSt_ode23t.png","figure")</f>
        <v>figure</v>
      </c>
      <c r="Q2" t="s">
        <v>15</v>
      </c>
      <c r="S2" s="2" t="s">
        <v>116</v>
      </c>
    </row>
    <row r="3" spans="1:19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188</v>
      </c>
      <c r="H3" t="s">
        <v>21</v>
      </c>
      <c r="I3" t="s">
        <v>24</v>
      </c>
      <c r="J3" t="s">
        <v>148</v>
      </c>
      <c r="K3" t="s">
        <v>23</v>
      </c>
      <c r="L3">
        <v>526</v>
      </c>
      <c r="M3">
        <v>7.7761072000000002</v>
      </c>
      <c r="N3">
        <v>70.871391609126391</v>
      </c>
      <c r="O3">
        <v>-0.53285053939936844</v>
      </c>
      <c r="P3" s="1" t="str">
        <f>HYPERLINK(".\sm_car_260221_0030\sm_car_260221_0030_002_Ca000TrN_MaLSS_DrSt_ode23t.png","figure")</f>
        <v>figure</v>
      </c>
      <c r="Q3" t="s">
        <v>15</v>
      </c>
      <c r="S3" s="2" t="s">
        <v>201</v>
      </c>
    </row>
    <row r="4" spans="1:19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188</v>
      </c>
      <c r="H4" t="s">
        <v>21</v>
      </c>
      <c r="I4" t="s">
        <v>22</v>
      </c>
      <c r="J4" t="s">
        <v>148</v>
      </c>
      <c r="K4" t="s">
        <v>23</v>
      </c>
      <c r="L4">
        <v>414</v>
      </c>
      <c r="M4">
        <v>7.6650723000000003</v>
      </c>
      <c r="N4">
        <v>228.9780396740241</v>
      </c>
      <c r="O4">
        <v>-1.7582958650985199E-2</v>
      </c>
      <c r="P4" s="1" t="str">
        <f>HYPERLINK(".\sm_car_260221_0030\sm_car_260221_0030_003_Ca001TrN_MaWOT_DrSt_ode23t.png","figure")</f>
        <v>figure</v>
      </c>
      <c r="Q4" t="s">
        <v>15</v>
      </c>
      <c r="S4" s="2" t="s">
        <v>202</v>
      </c>
    </row>
    <row r="5" spans="1:19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188</v>
      </c>
      <c r="H5" t="s">
        <v>21</v>
      </c>
      <c r="I5" t="s">
        <v>24</v>
      </c>
      <c r="J5" t="s">
        <v>148</v>
      </c>
      <c r="K5" t="s">
        <v>23</v>
      </c>
      <c r="L5">
        <v>535</v>
      </c>
      <c r="M5">
        <v>9.7723212999999998</v>
      </c>
      <c r="N5">
        <v>70.585586465815211</v>
      </c>
      <c r="O5">
        <v>-0.52649935690926708</v>
      </c>
      <c r="P5" s="1" t="str">
        <f>HYPERLINK(".\sm_car_260221_0030\sm_car_260221_0030_004_Ca001TrN_MaLSS_DrSt_ode23t.png","figure")</f>
        <v>figure</v>
      </c>
      <c r="Q5" t="s">
        <v>15</v>
      </c>
      <c r="S5" t="s">
        <v>203</v>
      </c>
    </row>
    <row r="6" spans="1:19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188</v>
      </c>
      <c r="H6" t="s">
        <v>21</v>
      </c>
      <c r="I6" t="s">
        <v>22</v>
      </c>
      <c r="J6" t="s">
        <v>148</v>
      </c>
      <c r="K6" t="s">
        <v>23</v>
      </c>
      <c r="L6">
        <v>438</v>
      </c>
      <c r="M6">
        <v>10.877530399999999</v>
      </c>
      <c r="N6">
        <v>229.08186286831105</v>
      </c>
      <c r="O6">
        <v>4.1194918237159935E-2</v>
      </c>
      <c r="P6" s="1" t="str">
        <f>HYPERLINK(".\sm_car_260221_0030\sm_car_260221_0030_005_Ca002TrN_MaWOT_DrSt_ode23t.png","figure")</f>
        <v>figure</v>
      </c>
      <c r="Q6" t="s">
        <v>15</v>
      </c>
    </row>
    <row r="7" spans="1:19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188</v>
      </c>
      <c r="H7" t="s">
        <v>21</v>
      </c>
      <c r="I7" t="s">
        <v>24</v>
      </c>
      <c r="J7" t="s">
        <v>148</v>
      </c>
      <c r="K7" t="s">
        <v>23</v>
      </c>
      <c r="L7">
        <v>529</v>
      </c>
      <c r="M7">
        <v>12.147322900000001</v>
      </c>
      <c r="N7">
        <v>70.582489448570342</v>
      </c>
      <c r="O7">
        <v>-0.52552702890225911</v>
      </c>
      <c r="P7" s="1" t="str">
        <f>HYPERLINK(".\sm_car_260221_0030\sm_car_260221_0030_006_Ca002TrN_MaLSS_DrSt_ode23t.png","figure")</f>
        <v>figure</v>
      </c>
      <c r="Q7" t="s">
        <v>15</v>
      </c>
    </row>
    <row r="8" spans="1:19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188</v>
      </c>
      <c r="H8" t="s">
        <v>21</v>
      </c>
      <c r="I8" t="s">
        <v>22</v>
      </c>
      <c r="J8" t="s">
        <v>148</v>
      </c>
      <c r="K8" t="s">
        <v>23</v>
      </c>
      <c r="L8">
        <v>478</v>
      </c>
      <c r="M8">
        <v>12.5084331</v>
      </c>
      <c r="N8">
        <v>228.65742485246349</v>
      </c>
      <c r="O8">
        <v>4.4876744693100448E-2</v>
      </c>
      <c r="P8" s="1" t="str">
        <f>HYPERLINK(".\sm_car_260221_0030\sm_car_260221_0030_007_Ca003TrN_MaWOT_DrSt_ode23t.png","figure")</f>
        <v>figure</v>
      </c>
      <c r="Q8" t="s">
        <v>15</v>
      </c>
    </row>
    <row r="9" spans="1:19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188</v>
      </c>
      <c r="H9" t="s">
        <v>21</v>
      </c>
      <c r="I9" t="s">
        <v>24</v>
      </c>
      <c r="J9" t="s">
        <v>148</v>
      </c>
      <c r="K9" t="s">
        <v>23</v>
      </c>
      <c r="L9">
        <v>536</v>
      </c>
      <c r="M9">
        <v>12.5099067</v>
      </c>
      <c r="N9">
        <v>70.460459795576924</v>
      </c>
      <c r="O9">
        <v>-0.51930726611168798</v>
      </c>
      <c r="P9" s="1" t="str">
        <f>HYPERLINK(".\sm_car_260221_0030\sm_car_260221_0030_008_Ca003TrN_MaLSS_DrSt_ode23t.png","figure")</f>
        <v>figure</v>
      </c>
      <c r="Q9" t="s">
        <v>15</v>
      </c>
    </row>
    <row r="10" spans="1:19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188</v>
      </c>
      <c r="H10" t="s">
        <v>21</v>
      </c>
      <c r="I10" t="s">
        <v>22</v>
      </c>
      <c r="J10" t="s">
        <v>148</v>
      </c>
      <c r="K10" t="s">
        <v>23</v>
      </c>
      <c r="L10">
        <v>1101</v>
      </c>
      <c r="M10">
        <v>11.8895582</v>
      </c>
      <c r="N10">
        <v>230.03726528986655</v>
      </c>
      <c r="O10">
        <v>-9.7560265766938863E-3</v>
      </c>
      <c r="P10" s="1" t="str">
        <f>HYPERLINK(".\sm_car_260221_0030\sm_car_260221_0030_009_Ca004TrN_MaWOT_DrSt_ode23t.png","figure")</f>
        <v>figure</v>
      </c>
      <c r="Q10" t="s">
        <v>15</v>
      </c>
    </row>
    <row r="11" spans="1:19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188</v>
      </c>
      <c r="H11" t="s">
        <v>21</v>
      </c>
      <c r="I11" t="s">
        <v>24</v>
      </c>
      <c r="J11" t="s">
        <v>148</v>
      </c>
      <c r="K11" t="s">
        <v>23</v>
      </c>
      <c r="L11">
        <v>1228</v>
      </c>
      <c r="M11">
        <v>14.0404763</v>
      </c>
      <c r="N11">
        <v>70.87933579081141</v>
      </c>
      <c r="O11">
        <v>-0.53594520575646432</v>
      </c>
      <c r="P11" s="1" t="str">
        <f>HYPERLINK(".\sm_car_260221_0030\sm_car_260221_0030_010_Ca004TrN_MaLSS_DrSt_ode23t.png","figure")</f>
        <v>figure</v>
      </c>
      <c r="Q11" t="s">
        <v>15</v>
      </c>
    </row>
    <row r="12" spans="1:19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188</v>
      </c>
      <c r="H12" t="s">
        <v>21</v>
      </c>
      <c r="I12" t="s">
        <v>22</v>
      </c>
      <c r="J12" t="s">
        <v>148</v>
      </c>
      <c r="K12" t="s">
        <v>23</v>
      </c>
      <c r="L12">
        <v>1086</v>
      </c>
      <c r="M12">
        <v>12.827530100000001</v>
      </c>
      <c r="N12">
        <v>229.03707626097486</v>
      </c>
      <c r="O12">
        <v>-1.7601671088690585E-2</v>
      </c>
      <c r="P12" s="1" t="str">
        <f>HYPERLINK(".\sm_car_260221_0030\sm_car_260221_0030_011_Ca005TrN_MaWOT_DrSt_ode23t.png","figure")</f>
        <v>figure</v>
      </c>
      <c r="Q12" t="s">
        <v>15</v>
      </c>
    </row>
    <row r="13" spans="1:19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188</v>
      </c>
      <c r="H13" t="s">
        <v>21</v>
      </c>
      <c r="I13" t="s">
        <v>24</v>
      </c>
      <c r="J13" t="s">
        <v>148</v>
      </c>
      <c r="K13" t="s">
        <v>23</v>
      </c>
      <c r="L13">
        <v>1218</v>
      </c>
      <c r="M13">
        <v>15.4484935</v>
      </c>
      <c r="N13">
        <v>70.59176456017812</v>
      </c>
      <c r="O13">
        <v>-0.5301460871337158</v>
      </c>
      <c r="P13" s="1" t="str">
        <f>HYPERLINK(".\sm_car_260221_0030\sm_car_260221_0030_012_Ca005TrN_MaLSS_DrSt_ode23t.png","figure")</f>
        <v>figure</v>
      </c>
      <c r="Q13" t="s">
        <v>15</v>
      </c>
    </row>
    <row r="14" spans="1:19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188</v>
      </c>
      <c r="H14" t="s">
        <v>21</v>
      </c>
      <c r="I14" t="s">
        <v>22</v>
      </c>
      <c r="J14" t="s">
        <v>148</v>
      </c>
      <c r="K14" t="s">
        <v>23</v>
      </c>
      <c r="L14">
        <v>1238</v>
      </c>
      <c r="M14">
        <v>17.8494545</v>
      </c>
      <c r="N14">
        <v>229.10097216408235</v>
      </c>
      <c r="O14">
        <v>5.20894301552772E-2</v>
      </c>
      <c r="P14" s="1" t="str">
        <f>HYPERLINK(".\sm_car_260221_0030\sm_car_260221_0030_013_Ca006TrN_MaWOT_DrSt_ode23t.png","figure")</f>
        <v>figure</v>
      </c>
      <c r="Q14" t="s">
        <v>15</v>
      </c>
    </row>
    <row r="15" spans="1:19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188</v>
      </c>
      <c r="H15" t="s">
        <v>21</v>
      </c>
      <c r="I15" t="s">
        <v>24</v>
      </c>
      <c r="J15" t="s">
        <v>148</v>
      </c>
      <c r="K15" t="s">
        <v>23</v>
      </c>
      <c r="L15">
        <v>1287</v>
      </c>
      <c r="M15">
        <v>15.961601999999999</v>
      </c>
      <c r="N15">
        <v>70.595757115412709</v>
      </c>
      <c r="O15">
        <v>-0.52906507009332249</v>
      </c>
      <c r="P15" s="1" t="str">
        <f>HYPERLINK(".\sm_car_260221_0030\sm_car_260221_0030_014_Ca006TrN_MaLSS_DrSt_ode23t.png","figure")</f>
        <v>figure</v>
      </c>
      <c r="Q15" t="s">
        <v>15</v>
      </c>
    </row>
    <row r="16" spans="1:19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188</v>
      </c>
      <c r="H16" t="s">
        <v>21</v>
      </c>
      <c r="I16" t="s">
        <v>22</v>
      </c>
      <c r="J16" t="s">
        <v>148</v>
      </c>
      <c r="K16" t="s">
        <v>23</v>
      </c>
      <c r="L16">
        <v>1209</v>
      </c>
      <c r="M16">
        <v>21.551682599999999</v>
      </c>
      <c r="N16">
        <v>228.66138219134302</v>
      </c>
      <c r="O16">
        <v>5.3470138357774817E-2</v>
      </c>
      <c r="P16" s="1" t="str">
        <f>HYPERLINK(".\sm_car_260221_0030\sm_car_260221_0030_015_Ca007TrN_MaWOT_DrSt_ode23t.png","figure")</f>
        <v>figure</v>
      </c>
      <c r="Q16" t="s">
        <v>15</v>
      </c>
    </row>
    <row r="17" spans="1:17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188</v>
      </c>
      <c r="H17" t="s">
        <v>21</v>
      </c>
      <c r="I17" t="s">
        <v>24</v>
      </c>
      <c r="J17" t="s">
        <v>148</v>
      </c>
      <c r="K17" t="s">
        <v>23</v>
      </c>
      <c r="L17">
        <v>1277</v>
      </c>
      <c r="M17">
        <v>17.553925599999999</v>
      </c>
      <c r="N17">
        <v>70.461979662589826</v>
      </c>
      <c r="O17">
        <v>-0.52338532687897232</v>
      </c>
      <c r="P17" s="1" t="str">
        <f>HYPERLINK(".\sm_car_260221_0030\sm_car_260221_0030_016_Ca007TrN_MaLSS_DrSt_ode23t.png","figure")</f>
        <v>figure</v>
      </c>
      <c r="Q17" t="s">
        <v>15</v>
      </c>
    </row>
    <row r="18" spans="1:17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188</v>
      </c>
      <c r="H18" t="s">
        <v>21</v>
      </c>
      <c r="I18" t="s">
        <v>22</v>
      </c>
      <c r="J18" t="s">
        <v>148</v>
      </c>
      <c r="K18" t="s">
        <v>23</v>
      </c>
      <c r="L18">
        <v>414</v>
      </c>
      <c r="M18">
        <v>6.8656246999999997</v>
      </c>
      <c r="N18">
        <v>230.40960672488885</v>
      </c>
      <c r="O18">
        <v>-7.5480656363989873E-2</v>
      </c>
      <c r="P18" s="1" t="str">
        <f>HYPERLINK(".\sm_car_260221_0030\sm_car_260221_0030_017_Ca016TrN_MaWOT_DrSt_ode23t.png","figure")</f>
        <v>figure</v>
      </c>
      <c r="Q18" t="s">
        <v>15</v>
      </c>
    </row>
    <row r="19" spans="1:17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188</v>
      </c>
      <c r="H19" t="s">
        <v>21</v>
      </c>
      <c r="I19" t="s">
        <v>24</v>
      </c>
      <c r="J19" t="s">
        <v>148</v>
      </c>
      <c r="K19" t="s">
        <v>23</v>
      </c>
      <c r="L19">
        <v>479</v>
      </c>
      <c r="M19">
        <v>5.7840423000000003</v>
      </c>
      <c r="N19">
        <v>71.136919732424161</v>
      </c>
      <c r="O19">
        <v>-2.1879904771588968E-2</v>
      </c>
      <c r="P19" s="1" t="str">
        <f>HYPERLINK(".\sm_car_260221_0030\sm_car_260221_0030_018_Ca016TrN_MaLSS_DrSt_ode23t.png","figure")</f>
        <v>figure</v>
      </c>
      <c r="Q19" t="s">
        <v>15</v>
      </c>
    </row>
    <row r="20" spans="1:17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188</v>
      </c>
      <c r="H20" t="s">
        <v>21</v>
      </c>
      <c r="I20" t="s">
        <v>22</v>
      </c>
      <c r="J20" t="s">
        <v>148</v>
      </c>
      <c r="K20" t="s">
        <v>23</v>
      </c>
      <c r="L20">
        <v>405</v>
      </c>
      <c r="M20">
        <v>7.0734101999999996</v>
      </c>
      <c r="N20">
        <v>230.15045365605587</v>
      </c>
      <c r="O20">
        <v>5.5534640356316141E-3</v>
      </c>
      <c r="P20" s="1" t="str">
        <f>HYPERLINK(".\sm_car_260221_0030\sm_car_260221_0030_019_Ca032TrN_MaWOT_DrSt_ode23t.png","figure")</f>
        <v>figure</v>
      </c>
      <c r="Q20" t="s">
        <v>15</v>
      </c>
    </row>
    <row r="21" spans="1:17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188</v>
      </c>
      <c r="H21" t="s">
        <v>21</v>
      </c>
      <c r="I21" t="s">
        <v>24</v>
      </c>
      <c r="J21" t="s">
        <v>148</v>
      </c>
      <c r="K21" t="s">
        <v>23</v>
      </c>
      <c r="L21">
        <v>526</v>
      </c>
      <c r="M21">
        <v>8.2748431999999994</v>
      </c>
      <c r="N21">
        <v>70.887018122001578</v>
      </c>
      <c r="O21">
        <v>-0.51641941013081838</v>
      </c>
      <c r="P21" s="1" t="str">
        <f>HYPERLINK(".\sm_car_260221_0030\sm_car_260221_0030_020_Ca032TrN_MaLSS_DrSt_ode23t.png","figure")</f>
        <v>figure</v>
      </c>
      <c r="Q21" t="s">
        <v>15</v>
      </c>
    </row>
    <row r="22" spans="1:17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188</v>
      </c>
      <c r="H22" t="s">
        <v>21</v>
      </c>
      <c r="I22" t="s">
        <v>22</v>
      </c>
      <c r="J22" t="s">
        <v>148</v>
      </c>
      <c r="K22" t="s">
        <v>23</v>
      </c>
      <c r="L22">
        <v>408</v>
      </c>
      <c r="M22">
        <v>7.7965928</v>
      </c>
      <c r="N22">
        <v>230.07116592822823</v>
      </c>
      <c r="O22">
        <v>-2.2803956668757609E-2</v>
      </c>
      <c r="P22" s="1" t="str">
        <f>HYPERLINK(".\sm_car_260221_0030\sm_car_260221_0030_021_Ca048TrN_MaWOT_DrSt_ode23t.png","figure")</f>
        <v>figure</v>
      </c>
      <c r="Q22" t="s">
        <v>15</v>
      </c>
    </row>
    <row r="23" spans="1:17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188</v>
      </c>
      <c r="H23" t="s">
        <v>21</v>
      </c>
      <c r="I23" t="s">
        <v>24</v>
      </c>
      <c r="J23" t="s">
        <v>148</v>
      </c>
      <c r="K23" t="s">
        <v>23</v>
      </c>
      <c r="L23">
        <v>532</v>
      </c>
      <c r="M23">
        <v>8.2436349</v>
      </c>
      <c r="N23">
        <v>70.879734943070645</v>
      </c>
      <c r="O23">
        <v>-0.52128276122161854</v>
      </c>
      <c r="P23" s="1" t="str">
        <f>HYPERLINK(".\sm_car_260221_0030\sm_car_260221_0030_022_Ca048TrN_MaLSS_DrSt_ode23t.png","figure")</f>
        <v>figure</v>
      </c>
      <c r="Q23" t="s">
        <v>15</v>
      </c>
    </row>
    <row r="24" spans="1:17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188</v>
      </c>
      <c r="H24" t="s">
        <v>21</v>
      </c>
      <c r="I24" t="s">
        <v>22</v>
      </c>
      <c r="J24" t="s">
        <v>148</v>
      </c>
      <c r="K24" t="s">
        <v>23</v>
      </c>
      <c r="L24">
        <v>400</v>
      </c>
      <c r="M24">
        <v>8.6193402999999993</v>
      </c>
      <c r="N24">
        <v>230.15012909419332</v>
      </c>
      <c r="O24">
        <v>4.0306009787751344E-3</v>
      </c>
      <c r="P24" s="1" t="str">
        <f>HYPERLINK(".\sm_car_260221_0030\sm_car_260221_0030_023_Ca064TrN_MaWOT_DrSt_ode23t.png","figure")</f>
        <v>figure</v>
      </c>
      <c r="Q24" t="s">
        <v>15</v>
      </c>
    </row>
    <row r="25" spans="1:17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188</v>
      </c>
      <c r="H25" t="s">
        <v>21</v>
      </c>
      <c r="I25" t="s">
        <v>24</v>
      </c>
      <c r="J25" t="s">
        <v>148</v>
      </c>
      <c r="K25" t="s">
        <v>23</v>
      </c>
      <c r="L25">
        <v>512</v>
      </c>
      <c r="M25">
        <v>8.1655718000000004</v>
      </c>
      <c r="N25">
        <v>70.903978167550335</v>
      </c>
      <c r="O25">
        <v>-0.50998323756179686</v>
      </c>
      <c r="P25" s="1" t="str">
        <f>HYPERLINK(".\sm_car_260221_0030\sm_car_260221_0030_024_Ca064TrN_MaLSS_DrSt_ode23t.png","figure")</f>
        <v>figure</v>
      </c>
      <c r="Q25" t="s">
        <v>15</v>
      </c>
    </row>
    <row r="26" spans="1:17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188</v>
      </c>
      <c r="H26" t="s">
        <v>21</v>
      </c>
      <c r="I26" t="s">
        <v>22</v>
      </c>
      <c r="J26" t="s">
        <v>148</v>
      </c>
      <c r="K26" t="s">
        <v>23</v>
      </c>
      <c r="L26">
        <v>407</v>
      </c>
      <c r="M26">
        <v>8.8137322000000005</v>
      </c>
      <c r="N26">
        <v>229.977002942746</v>
      </c>
      <c r="O26">
        <v>-2.5215828614378225E-2</v>
      </c>
      <c r="P26" s="1" t="str">
        <f>HYPERLINK(".\sm_car_260221_0030\sm_car_260221_0030_025_Ca080TrN_MaWOT_DrSt_ode23t.png","figure")</f>
        <v>figure</v>
      </c>
      <c r="Q26" t="s">
        <v>15</v>
      </c>
    </row>
    <row r="27" spans="1:17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188</v>
      </c>
      <c r="H27" t="s">
        <v>21</v>
      </c>
      <c r="I27" t="s">
        <v>24</v>
      </c>
      <c r="J27" t="s">
        <v>148</v>
      </c>
      <c r="K27" t="s">
        <v>23</v>
      </c>
      <c r="L27">
        <v>521</v>
      </c>
      <c r="M27">
        <v>8.1508348000000002</v>
      </c>
      <c r="N27">
        <v>70.871571113951205</v>
      </c>
      <c r="O27">
        <v>-0.51798401216276602</v>
      </c>
      <c r="P27" s="1" t="str">
        <f>HYPERLINK(".\sm_car_260221_0030\sm_car_260221_0030_026_Ca080TrN_MaLSS_DrSt_ode23t.png","figure")</f>
        <v>figure</v>
      </c>
      <c r="Q27" t="s">
        <v>15</v>
      </c>
    </row>
    <row r="28" spans="1:17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188</v>
      </c>
      <c r="H28" t="s">
        <v>21</v>
      </c>
      <c r="I28" t="s">
        <v>22</v>
      </c>
      <c r="J28" t="s">
        <v>148</v>
      </c>
      <c r="K28" t="s">
        <v>23</v>
      </c>
      <c r="L28">
        <v>400</v>
      </c>
      <c r="M28">
        <v>6.1912585</v>
      </c>
      <c r="N28">
        <v>231.7060108500074</v>
      </c>
      <c r="O28">
        <v>1.6013963503973151E-2</v>
      </c>
      <c r="P28" s="1" t="str">
        <f>HYPERLINK(".\sm_car_260221_0030\sm_car_260221_0030_027_Ca096TrN_MaWOT_DrSt_ode23t.png","figure")</f>
        <v>figure</v>
      </c>
      <c r="Q28" t="s">
        <v>15</v>
      </c>
    </row>
    <row r="29" spans="1:17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188</v>
      </c>
      <c r="H29" t="s">
        <v>21</v>
      </c>
      <c r="I29" t="s">
        <v>24</v>
      </c>
      <c r="J29" t="s">
        <v>148</v>
      </c>
      <c r="K29" t="s">
        <v>23</v>
      </c>
      <c r="L29">
        <v>516</v>
      </c>
      <c r="M29">
        <v>6.6054174999999997</v>
      </c>
      <c r="N29">
        <v>71.376201274642568</v>
      </c>
      <c r="O29">
        <v>-0.52101015842835785</v>
      </c>
      <c r="P29" s="1" t="str">
        <f>HYPERLINK(".\sm_car_260221_0030\sm_car_260221_0030_028_Ca096TrN_MaLSS_DrSt_ode23t.png","figure")</f>
        <v>figure</v>
      </c>
      <c r="Q29" t="s">
        <v>15</v>
      </c>
    </row>
    <row r="30" spans="1:17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188</v>
      </c>
      <c r="H30" t="s">
        <v>21</v>
      </c>
      <c r="I30" t="s">
        <v>22</v>
      </c>
      <c r="J30" t="s">
        <v>148</v>
      </c>
      <c r="K30" t="s">
        <v>23</v>
      </c>
      <c r="L30">
        <v>343</v>
      </c>
      <c r="M30">
        <v>2.6799605</v>
      </c>
      <c r="N30">
        <v>242.43362774734626</v>
      </c>
      <c r="O30">
        <v>0.23525250866934741</v>
      </c>
      <c r="P30" s="1" t="str">
        <f>HYPERLINK(".\sm_car_260221_0030\sm_car_260221_0030_029_Ca112TrN_MaWOT_DrSt_ode23t.png","figure")</f>
        <v>figure</v>
      </c>
      <c r="Q30" t="s">
        <v>15</v>
      </c>
    </row>
    <row r="31" spans="1:17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188</v>
      </c>
      <c r="H31" t="s">
        <v>21</v>
      </c>
      <c r="I31" t="s">
        <v>24</v>
      </c>
      <c r="J31" t="s">
        <v>148</v>
      </c>
      <c r="K31" t="s">
        <v>23</v>
      </c>
      <c r="L31">
        <v>458</v>
      </c>
      <c r="M31">
        <v>2.5934499999999998</v>
      </c>
      <c r="N31">
        <v>74.660640114503309</v>
      </c>
      <c r="O31">
        <v>-0.33895610552822808</v>
      </c>
      <c r="P31" s="1" t="str">
        <f>HYPERLINK(".\sm_car_260221_0030\sm_car_260221_0030_030_Ca112TrN_MaLSS_DrSt_ode23t.png","figure")</f>
        <v>figure</v>
      </c>
      <c r="Q31" t="s">
        <v>15</v>
      </c>
    </row>
    <row r="32" spans="1:17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188</v>
      </c>
      <c r="H32" t="s">
        <v>21</v>
      </c>
      <c r="I32" t="s">
        <v>22</v>
      </c>
      <c r="J32" t="s">
        <v>148</v>
      </c>
      <c r="K32" t="s">
        <v>23</v>
      </c>
      <c r="L32">
        <v>340</v>
      </c>
      <c r="M32">
        <v>2.9919969000000002</v>
      </c>
      <c r="N32">
        <v>241.58349907106185</v>
      </c>
      <c r="O32">
        <v>0.23220441159262017</v>
      </c>
      <c r="P32" s="1" t="str">
        <f>HYPERLINK(".\sm_car_260221_0030\sm_car_260221_0030_031_Ca113TrN_MaWOT_DrSt_ode23t.png","figure")</f>
        <v>figure</v>
      </c>
      <c r="Q32" t="s">
        <v>15</v>
      </c>
    </row>
    <row r="33" spans="1:17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188</v>
      </c>
      <c r="H33" t="s">
        <v>21</v>
      </c>
      <c r="I33" t="s">
        <v>24</v>
      </c>
      <c r="J33" t="s">
        <v>148</v>
      </c>
      <c r="K33" t="s">
        <v>23</v>
      </c>
      <c r="L33">
        <v>452</v>
      </c>
      <c r="M33">
        <v>3.0433807000000002</v>
      </c>
      <c r="N33">
        <v>74.341149914540182</v>
      </c>
      <c r="O33">
        <v>-0.33338484264579354</v>
      </c>
      <c r="P33" s="1" t="str">
        <f>HYPERLINK(".\sm_car_260221_0030\sm_car_260221_0030_032_Ca113TrN_MaLSS_DrSt_ode23t.png","figure")</f>
        <v>figure</v>
      </c>
      <c r="Q33" t="s">
        <v>15</v>
      </c>
    </row>
    <row r="34" spans="1:17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188</v>
      </c>
      <c r="H34" t="s">
        <v>21</v>
      </c>
      <c r="I34" t="s">
        <v>22</v>
      </c>
      <c r="J34" t="s">
        <v>148</v>
      </c>
      <c r="K34" t="s">
        <v>23</v>
      </c>
      <c r="L34">
        <v>339</v>
      </c>
      <c r="M34">
        <v>3.2413265</v>
      </c>
      <c r="N34">
        <v>241.65642515794619</v>
      </c>
      <c r="O34">
        <v>0.23387049705337862</v>
      </c>
      <c r="P34" s="1" t="str">
        <f>HYPERLINK(".\sm_car_260221_0030\sm_car_260221_0030_033_Ca114TrN_MaWOT_DrSt_ode23t.png","figure")</f>
        <v>figure</v>
      </c>
      <c r="Q34" t="s">
        <v>15</v>
      </c>
    </row>
    <row r="35" spans="1:17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188</v>
      </c>
      <c r="H35" t="s">
        <v>21</v>
      </c>
      <c r="I35" t="s">
        <v>24</v>
      </c>
      <c r="J35" t="s">
        <v>148</v>
      </c>
      <c r="K35" t="s">
        <v>23</v>
      </c>
      <c r="L35">
        <v>461</v>
      </c>
      <c r="M35">
        <v>3.4675435000000001</v>
      </c>
      <c r="N35">
        <v>74.368743385918108</v>
      </c>
      <c r="O35">
        <v>-0.33447973286028443</v>
      </c>
      <c r="P35" s="1" t="str">
        <f>HYPERLINK(".\sm_car_260221_0030\sm_car_260221_0030_034_Ca114TrN_MaLSS_DrSt_ode23t.png","figure")</f>
        <v>figure</v>
      </c>
      <c r="Q35" t="s">
        <v>15</v>
      </c>
    </row>
    <row r="36" spans="1:17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188</v>
      </c>
      <c r="H36" t="s">
        <v>21</v>
      </c>
      <c r="I36" t="s">
        <v>22</v>
      </c>
      <c r="J36" t="s">
        <v>148</v>
      </c>
      <c r="K36" t="s">
        <v>23</v>
      </c>
      <c r="L36">
        <v>383</v>
      </c>
      <c r="M36">
        <v>3.7745650999999998</v>
      </c>
      <c r="N36">
        <v>241.14579668164649</v>
      </c>
      <c r="O36">
        <v>0.22999894787942624</v>
      </c>
      <c r="P36" s="1" t="str">
        <f>HYPERLINK(".\sm_car_260221_0030\sm_car_260221_0030_035_Ca115TrN_MaWOT_DrSt_ode23t.png","figure")</f>
        <v>figure</v>
      </c>
      <c r="Q36" t="s">
        <v>15</v>
      </c>
    </row>
    <row r="37" spans="1:17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188</v>
      </c>
      <c r="H37" t="s">
        <v>21</v>
      </c>
      <c r="I37" t="s">
        <v>24</v>
      </c>
      <c r="J37" t="s">
        <v>148</v>
      </c>
      <c r="K37" t="s">
        <v>23</v>
      </c>
      <c r="L37">
        <v>512</v>
      </c>
      <c r="M37">
        <v>3.6197509999999999</v>
      </c>
      <c r="N37">
        <v>74.197326064061201</v>
      </c>
      <c r="O37">
        <v>-0.33199031901667825</v>
      </c>
      <c r="P37" s="1" t="str">
        <f>HYPERLINK(".\sm_car_260221_0030\sm_car_260221_0030_036_Ca115TrN_MaLSS_DrSt_ode23t.png","figure")</f>
        <v>figure</v>
      </c>
      <c r="Q37" t="s">
        <v>15</v>
      </c>
    </row>
    <row r="38" spans="1:17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188</v>
      </c>
      <c r="H38" t="s">
        <v>21</v>
      </c>
      <c r="I38" t="s">
        <v>22</v>
      </c>
      <c r="J38" t="s">
        <v>148</v>
      </c>
      <c r="K38" t="s">
        <v>23</v>
      </c>
      <c r="L38">
        <v>871</v>
      </c>
      <c r="M38">
        <v>4.3944878000000003</v>
      </c>
      <c r="N38">
        <v>242.63359811761086</v>
      </c>
      <c r="O38">
        <v>0.23812089056063013</v>
      </c>
      <c r="P38" s="1" t="str">
        <f>HYPERLINK(".\sm_car_260221_0030\sm_car_260221_0030_037_Ca116TrN_MaWOT_DrSt_ode23t.png","figure")</f>
        <v>figure</v>
      </c>
      <c r="Q38" t="s">
        <v>15</v>
      </c>
    </row>
    <row r="39" spans="1:17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188</v>
      </c>
      <c r="H39" t="s">
        <v>21</v>
      </c>
      <c r="I39" t="s">
        <v>24</v>
      </c>
      <c r="J39" t="s">
        <v>148</v>
      </c>
      <c r="K39" t="s">
        <v>23</v>
      </c>
      <c r="L39">
        <v>998</v>
      </c>
      <c r="M39">
        <v>4.8256614999999998</v>
      </c>
      <c r="N39">
        <v>74.662888271720306</v>
      </c>
      <c r="O39">
        <v>-0.34121923194264048</v>
      </c>
      <c r="P39" s="1" t="str">
        <f>HYPERLINK(".\sm_car_260221_0030\sm_car_260221_0030_038_Ca116TrN_MaLSS_DrSt_ode23t.png","figure")</f>
        <v>figure</v>
      </c>
      <c r="Q39" t="s">
        <v>15</v>
      </c>
    </row>
    <row r="40" spans="1:17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188</v>
      </c>
      <c r="H40" t="s">
        <v>21</v>
      </c>
      <c r="I40" t="s">
        <v>22</v>
      </c>
      <c r="J40" t="s">
        <v>148</v>
      </c>
      <c r="K40" t="s">
        <v>23</v>
      </c>
      <c r="L40">
        <v>938</v>
      </c>
      <c r="M40">
        <v>5.2825471000000004</v>
      </c>
      <c r="N40">
        <v>241.62037437889805</v>
      </c>
      <c r="O40">
        <v>0.2336187380888643</v>
      </c>
      <c r="P40" s="1" t="str">
        <f>HYPERLINK(".\sm_car_260221_0030\sm_car_260221_0030_039_Ca117TrN_MaWOT_DrSt_ode23t.png","figure")</f>
        <v>figure</v>
      </c>
      <c r="Q40" t="s">
        <v>15</v>
      </c>
    </row>
    <row r="41" spans="1:17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188</v>
      </c>
      <c r="H41" t="s">
        <v>21</v>
      </c>
      <c r="I41" t="s">
        <v>24</v>
      </c>
      <c r="J41" t="s">
        <v>148</v>
      </c>
      <c r="K41" t="s">
        <v>23</v>
      </c>
      <c r="L41">
        <v>1052</v>
      </c>
      <c r="M41">
        <v>5.8487074999999997</v>
      </c>
      <c r="N41">
        <v>74.343952719588856</v>
      </c>
      <c r="O41">
        <v>-0.33600016304038804</v>
      </c>
      <c r="P41" s="1" t="str">
        <f>HYPERLINK(".\sm_car_260221_0030\sm_car_260221_0030_040_Ca117TrN_MaLSS_DrSt_ode23t.png","figure")</f>
        <v>figure</v>
      </c>
      <c r="Q41" t="s">
        <v>15</v>
      </c>
    </row>
    <row r="42" spans="1:17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188</v>
      </c>
      <c r="H42" t="s">
        <v>21</v>
      </c>
      <c r="I42" t="s">
        <v>22</v>
      </c>
      <c r="J42" t="s">
        <v>148</v>
      </c>
      <c r="K42" t="s">
        <v>23</v>
      </c>
      <c r="L42">
        <v>929</v>
      </c>
      <c r="M42">
        <v>6.5943152999999999</v>
      </c>
      <c r="N42">
        <v>241.37664029866468</v>
      </c>
      <c r="O42">
        <v>0.23269239573681333</v>
      </c>
      <c r="P42" s="1" t="str">
        <f>HYPERLINK(".\sm_car_260221_0030\sm_car_260221_0030_041_Ca118TrN_MaWOT_DrSt_ode23t.png","figure")</f>
        <v>figure</v>
      </c>
      <c r="Q42" t="s">
        <v>15</v>
      </c>
    </row>
    <row r="43" spans="1:17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188</v>
      </c>
      <c r="H43" t="s">
        <v>21</v>
      </c>
      <c r="I43" t="s">
        <v>24</v>
      </c>
      <c r="J43" t="s">
        <v>148</v>
      </c>
      <c r="K43" t="s">
        <v>23</v>
      </c>
      <c r="L43">
        <v>1048</v>
      </c>
      <c r="M43">
        <v>6.6898483000000004</v>
      </c>
      <c r="N43">
        <v>74.337334317462975</v>
      </c>
      <c r="O43">
        <v>-0.33745011636549177</v>
      </c>
      <c r="P43" s="1" t="str">
        <f>HYPERLINK(".\sm_car_260221_0030\sm_car_260221_0030_042_Ca118TrN_MaLSS_DrSt_ode23t.png","figure")</f>
        <v>figure</v>
      </c>
      <c r="Q43" t="s">
        <v>15</v>
      </c>
    </row>
    <row r="44" spans="1:17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188</v>
      </c>
      <c r="H44" t="s">
        <v>21</v>
      </c>
      <c r="I44" t="s">
        <v>22</v>
      </c>
      <c r="J44" t="s">
        <v>148</v>
      </c>
      <c r="K44" t="s">
        <v>23</v>
      </c>
      <c r="L44">
        <v>1025</v>
      </c>
      <c r="M44">
        <v>5.8139494000000003</v>
      </c>
      <c r="N44">
        <v>241.06875317489815</v>
      </c>
      <c r="O44">
        <v>0.23079668050904012</v>
      </c>
      <c r="P44" s="1" t="str">
        <f>HYPERLINK(".\sm_car_260221_0030\sm_car_260221_0030_043_Ca119TrN_MaWOT_DrSt_ode23t.png","figure")</f>
        <v>figure</v>
      </c>
      <c r="Q44" t="s">
        <v>15</v>
      </c>
    </row>
    <row r="45" spans="1:17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188</v>
      </c>
      <c r="H45" t="s">
        <v>21</v>
      </c>
      <c r="I45" t="s">
        <v>24</v>
      </c>
      <c r="J45" t="s">
        <v>148</v>
      </c>
      <c r="K45" t="s">
        <v>23</v>
      </c>
      <c r="L45">
        <v>1148</v>
      </c>
      <c r="M45">
        <v>6.6927738999999997</v>
      </c>
      <c r="N45">
        <v>74.194673338193866</v>
      </c>
      <c r="O45">
        <v>-0.33357281365691277</v>
      </c>
      <c r="P45" s="1" t="str">
        <f>HYPERLINK(".\sm_car_260221_0030\sm_car_260221_0030_044_Ca119TrN_MaLSS_DrSt_ode23t.png","figure")</f>
        <v>figure</v>
      </c>
      <c r="Q45" t="s">
        <v>15</v>
      </c>
    </row>
    <row r="46" spans="1:17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148</v>
      </c>
      <c r="K46" t="s">
        <v>23</v>
      </c>
      <c r="L46">
        <v>318</v>
      </c>
      <c r="M46">
        <v>5.6607716000000003</v>
      </c>
      <c r="N46">
        <v>98.948832658708881</v>
      </c>
      <c r="O46">
        <v>-1.8192142408068518E-2</v>
      </c>
      <c r="P46" s="1" t="str">
        <f>HYPERLINK(".\sm_car_260221_0030\sm_car_260221_0030_045_Ca128TrN_MaWOT_DrSt_ode23t.png","figure")</f>
        <v>figure</v>
      </c>
      <c r="Q46" t="s">
        <v>15</v>
      </c>
    </row>
    <row r="47" spans="1:17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148</v>
      </c>
      <c r="K47" t="s">
        <v>23</v>
      </c>
      <c r="L47">
        <v>444</v>
      </c>
      <c r="M47">
        <v>7.4032137999999996</v>
      </c>
      <c r="N47">
        <v>36.706247785734796</v>
      </c>
      <c r="O47">
        <v>-0.12790851319900903</v>
      </c>
      <c r="P47" s="1" t="str">
        <f>HYPERLINK(".\sm_car_260221_0030\sm_car_260221_0030_046_Ca128TrN_MaLSS_DrSt_ode23t.png","figure")</f>
        <v>figure</v>
      </c>
      <c r="Q47" t="s">
        <v>15</v>
      </c>
    </row>
    <row r="48" spans="1:17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148</v>
      </c>
      <c r="K48" t="s">
        <v>23</v>
      </c>
      <c r="L48">
        <v>336</v>
      </c>
      <c r="M48">
        <v>6.4283920999999999</v>
      </c>
      <c r="N48">
        <v>228.60831844427548</v>
      </c>
      <c r="O48">
        <v>5.5546729607121252E-2</v>
      </c>
      <c r="P48" s="1" t="str">
        <f>HYPERLINK(".\sm_car_260221_0030\sm_car_260221_0030_047_Ca129TrN_MaWOT_DrSt_ode23t.png","figure")</f>
        <v>figure</v>
      </c>
      <c r="Q48" t="s">
        <v>15</v>
      </c>
    </row>
    <row r="49" spans="1:17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148</v>
      </c>
      <c r="K49" t="s">
        <v>23</v>
      </c>
      <c r="L49">
        <v>468</v>
      </c>
      <c r="M49">
        <v>7.8401993000000001</v>
      </c>
      <c r="N49">
        <v>70.412497413323322</v>
      </c>
      <c r="O49">
        <v>-0.5148013173360646</v>
      </c>
      <c r="P49" s="1" t="str">
        <f>HYPERLINK(".\sm_car_260221_0030\sm_car_260221_0030_048_Ca129TrN_MaLSS_DrSt_ode23t.png","figure")</f>
        <v>figure</v>
      </c>
      <c r="Q49" t="s">
        <v>15</v>
      </c>
    </row>
    <row r="50" spans="1:17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148</v>
      </c>
      <c r="K50" t="s">
        <v>23</v>
      </c>
      <c r="L50">
        <v>784</v>
      </c>
      <c r="M50">
        <v>23.1018629</v>
      </c>
      <c r="N50">
        <v>215.59735345246881</v>
      </c>
      <c r="O50">
        <v>-1.5811195402930518</v>
      </c>
      <c r="P50" s="1" t="str">
        <f>HYPERLINK(".\sm_car_260221_0030\sm_car_260221_0030_049_Ca130TrN_MaWOT_DrSt_ode23t.png","figure")</f>
        <v>figure</v>
      </c>
      <c r="Q50" t="s">
        <v>15</v>
      </c>
    </row>
    <row r="51" spans="1:17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148</v>
      </c>
      <c r="K51" t="s">
        <v>23</v>
      </c>
      <c r="L51">
        <v>783</v>
      </c>
      <c r="M51">
        <v>19.974444399999999</v>
      </c>
      <c r="N51">
        <v>68.38531206372528</v>
      </c>
      <c r="O51">
        <v>-0.54270858292140389</v>
      </c>
      <c r="P51" s="1" t="str">
        <f>HYPERLINK(".\sm_car_260221_0030\sm_car_260221_0030_050_Ca130TrN_MaLSS_DrSt_ode23t.png","figure")</f>
        <v>figure</v>
      </c>
      <c r="Q51" t="s">
        <v>15</v>
      </c>
    </row>
    <row r="52" spans="1:17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148</v>
      </c>
      <c r="K52" t="s">
        <v>23</v>
      </c>
      <c r="L52">
        <v>362</v>
      </c>
      <c r="M52">
        <v>5.1120957999999996</v>
      </c>
      <c r="N52">
        <v>229.06946181491995</v>
      </c>
      <c r="O52">
        <v>-4.7096847210738403E-2</v>
      </c>
      <c r="P52" s="1" t="str">
        <f>HYPERLINK(".\sm_car_260221_0030\sm_car_260221_0030_051_Ca131TrN_MaWOT_DrSt_ode23t.png","figure")</f>
        <v>figure</v>
      </c>
      <c r="Q52" t="s">
        <v>15</v>
      </c>
    </row>
    <row r="53" spans="1:17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148</v>
      </c>
      <c r="K53" t="s">
        <v>23</v>
      </c>
      <c r="L53">
        <v>496</v>
      </c>
      <c r="M53">
        <v>5.3776967000000004</v>
      </c>
      <c r="N53">
        <v>70.602113444761429</v>
      </c>
      <c r="O53">
        <v>-0.53202137514837988</v>
      </c>
      <c r="P53" s="1" t="str">
        <f>HYPERLINK(".\sm_car_260221_0030\sm_car_260221_0030_052_Ca131TrN_MaLSS_DrSt_ode23t.png","figure")</f>
        <v>figure</v>
      </c>
      <c r="Q53" t="s">
        <v>15</v>
      </c>
    </row>
    <row r="54" spans="1:17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148</v>
      </c>
      <c r="K54" t="s">
        <v>23</v>
      </c>
      <c r="L54">
        <v>342</v>
      </c>
      <c r="M54">
        <v>4.2554502000000003</v>
      </c>
      <c r="N54">
        <v>229.26614666779687</v>
      </c>
      <c r="O54">
        <v>-8.8582341724798164E-3</v>
      </c>
      <c r="P54" s="1" t="str">
        <f>HYPERLINK(".\sm_car_260221_0030\sm_car_260221_0030_053_Ca132TrN_MaWOT_DrSt_ode23t.png","figure")</f>
        <v>figure</v>
      </c>
      <c r="Q54" t="s">
        <v>15</v>
      </c>
    </row>
    <row r="55" spans="1:17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148</v>
      </c>
      <c r="K55" t="s">
        <v>23</v>
      </c>
      <c r="L55">
        <v>485</v>
      </c>
      <c r="M55">
        <v>5.5251831999999999</v>
      </c>
      <c r="N55">
        <v>70.620900855276503</v>
      </c>
      <c r="O55">
        <v>-0.53125694053650063</v>
      </c>
      <c r="P55" s="1" t="str">
        <f>HYPERLINK(".\sm_car_260221_0030\sm_car_260221_0030_054_Ca132TrN_MaLSS_DrSt_ode23t.png","figure")</f>
        <v>figure</v>
      </c>
      <c r="Q55" t="s">
        <v>15</v>
      </c>
    </row>
    <row r="56" spans="1:17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148</v>
      </c>
      <c r="K56" t="s">
        <v>23</v>
      </c>
      <c r="L56">
        <v>355</v>
      </c>
      <c r="M56">
        <v>4.5606811</v>
      </c>
      <c r="N56">
        <v>228.92197232724629</v>
      </c>
      <c r="O56">
        <v>-1.6433735155349398E-2</v>
      </c>
      <c r="P56" s="1" t="str">
        <f>HYPERLINK(".\sm_car_260221_0030\sm_car_260221_0030_055_Ca133TrN_MaWOT_DrSt_ode23t.png","figure")</f>
        <v>figure</v>
      </c>
      <c r="Q56" t="s">
        <v>15</v>
      </c>
    </row>
    <row r="57" spans="1:17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148</v>
      </c>
      <c r="K57" t="s">
        <v>23</v>
      </c>
      <c r="L57">
        <v>492</v>
      </c>
      <c r="M57">
        <v>5.7073954999999996</v>
      </c>
      <c r="N57">
        <v>70.60904386683616</v>
      </c>
      <c r="O57">
        <v>-0.52727643772388055</v>
      </c>
      <c r="P57" s="1" t="str">
        <f>HYPERLINK(".\sm_car_260221_0030\sm_car_260221_0030_056_Ca133TrN_MaLSS_DrSt_ode23t.png","figure")</f>
        <v>figure</v>
      </c>
      <c r="Q57" t="s">
        <v>15</v>
      </c>
    </row>
    <row r="58" spans="1:17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148</v>
      </c>
      <c r="K58" t="s">
        <v>23</v>
      </c>
      <c r="L58">
        <v>364</v>
      </c>
      <c r="M58">
        <v>4.8151758999999998</v>
      </c>
      <c r="N58">
        <v>229.07965509436562</v>
      </c>
      <c r="O58">
        <v>-1.4034161611199057E-2</v>
      </c>
      <c r="P58" s="1" t="str">
        <f>HYPERLINK(".\sm_car_260221_0030\sm_car_260221_0030_057_Ca134TrN_MaWOT_DrSt_ode23t.png","figure")</f>
        <v>figure</v>
      </c>
      <c r="Q58" t="s">
        <v>15</v>
      </c>
    </row>
    <row r="59" spans="1:17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148</v>
      </c>
      <c r="K59" t="s">
        <v>23</v>
      </c>
      <c r="L59">
        <v>489</v>
      </c>
      <c r="M59">
        <v>5.4035494000000002</v>
      </c>
      <c r="N59">
        <v>70.60841409589132</v>
      </c>
      <c r="O59">
        <v>-0.5259245191350983</v>
      </c>
      <c r="P59" s="1" t="str">
        <f>HYPERLINK(".\sm_car_260221_0030\sm_car_260221_0030_058_Ca134TrN_MaLSS_DrSt_ode23t.png","figure")</f>
        <v>figure</v>
      </c>
      <c r="Q59" t="s">
        <v>15</v>
      </c>
    </row>
    <row r="60" spans="1:17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148</v>
      </c>
      <c r="K60" t="s">
        <v>23</v>
      </c>
      <c r="L60">
        <v>355</v>
      </c>
      <c r="M60">
        <v>4.8495403000000001</v>
      </c>
      <c r="N60">
        <v>229.02167478438082</v>
      </c>
      <c r="O60">
        <v>-1.5701056101979981E-2</v>
      </c>
      <c r="P60" s="1" t="str">
        <f>HYPERLINK(".\sm_car_260221_0030\sm_car_260221_0030_059_Ca135TrN_MaWOT_DrSt_ode23t.png","figure")</f>
        <v>figure</v>
      </c>
      <c r="Q60" t="s">
        <v>15</v>
      </c>
    </row>
    <row r="61" spans="1:17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148</v>
      </c>
      <c r="K61" t="s">
        <v>23</v>
      </c>
      <c r="L61">
        <v>489</v>
      </c>
      <c r="M61">
        <v>5.6203905000000001</v>
      </c>
      <c r="N61">
        <v>70.600581903710989</v>
      </c>
      <c r="O61">
        <v>-0.52725446151442568</v>
      </c>
      <c r="P61" s="1" t="str">
        <f>HYPERLINK(".\sm_car_260221_0030\sm_car_260221_0030_060_Ca135TrN_MaLSS_DrSt_ode23t.png","figure")</f>
        <v>figure</v>
      </c>
      <c r="Q61" t="s">
        <v>15</v>
      </c>
    </row>
    <row r="62" spans="1:17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148</v>
      </c>
      <c r="K62" t="s">
        <v>23</v>
      </c>
      <c r="L62">
        <v>380</v>
      </c>
      <c r="M62">
        <v>5.6576230000000001</v>
      </c>
      <c r="N62">
        <v>229.14209482545954</v>
      </c>
      <c r="O62">
        <v>4.8883582120868317E-2</v>
      </c>
      <c r="P62" s="1" t="str">
        <f>HYPERLINK(".\sm_car_260221_0030\sm_car_260221_0030_061_Ca136TrN_MaWOT_DrSt_ode23t.png","figure")</f>
        <v>figure</v>
      </c>
      <c r="Q62" t="s">
        <v>15</v>
      </c>
    </row>
    <row r="63" spans="1:17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148</v>
      </c>
      <c r="K63" t="s">
        <v>23</v>
      </c>
      <c r="L63">
        <v>517</v>
      </c>
      <c r="M63">
        <v>6.6927284</v>
      </c>
      <c r="N63">
        <v>70.60858246515086</v>
      </c>
      <c r="O63">
        <v>-0.51854366652956907</v>
      </c>
      <c r="P63" s="1" t="str">
        <f>HYPERLINK(".\sm_car_260221_0030\sm_car_260221_0030_062_Ca136TrN_MaLSS_DrSt_ode23t.png","figure")</f>
        <v>figure</v>
      </c>
      <c r="Q63" t="s">
        <v>15</v>
      </c>
    </row>
    <row r="64" spans="1:17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148</v>
      </c>
      <c r="K64" t="s">
        <v>23</v>
      </c>
      <c r="L64">
        <v>332</v>
      </c>
      <c r="M64">
        <v>3.8463091</v>
      </c>
      <c r="N64">
        <v>229.95518451074733</v>
      </c>
      <c r="O64">
        <v>0.13756237903841206</v>
      </c>
      <c r="P64" s="1" t="str">
        <f>HYPERLINK(".\sm_car_260221_0030\sm_car_260221_0030_063_Ca137TrN_MaWOT_DrSt_ode23t.png","figure")</f>
        <v>figure</v>
      </c>
      <c r="Q64" t="s">
        <v>15</v>
      </c>
    </row>
    <row r="65" spans="1:17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148</v>
      </c>
      <c r="K65" t="s">
        <v>23</v>
      </c>
      <c r="L65">
        <v>494</v>
      </c>
      <c r="M65">
        <v>4.6498289000000002</v>
      </c>
      <c r="N65">
        <v>70.870326348040138</v>
      </c>
      <c r="O65">
        <v>-0.50593401979041874</v>
      </c>
      <c r="P65" s="1" t="str">
        <f>HYPERLINK(".\sm_car_260221_0030\sm_car_260221_0030_064_Ca137TrN_MaLSS_DrSt_ode23t.png","figure")</f>
        <v>figure</v>
      </c>
      <c r="Q65" t="s">
        <v>15</v>
      </c>
    </row>
    <row r="66" spans="1:17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148</v>
      </c>
      <c r="K66" t="s">
        <v>23</v>
      </c>
      <c r="L66">
        <v>349</v>
      </c>
      <c r="M66">
        <v>5.6787159000000003</v>
      </c>
      <c r="N66">
        <v>230.06529382496802</v>
      </c>
      <c r="O66">
        <v>0.14701885491900663</v>
      </c>
      <c r="P66" s="1" t="str">
        <f>HYPERLINK(".\sm_car_260221_0030\sm_car_260221_0030_065_Ca138TrN_MaWOT_DrSt_ode23t.png","figure")</f>
        <v>figure</v>
      </c>
      <c r="Q66" t="s">
        <v>15</v>
      </c>
    </row>
    <row r="67" spans="1:17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148</v>
      </c>
      <c r="K67" t="s">
        <v>23</v>
      </c>
      <c r="L67">
        <v>491</v>
      </c>
      <c r="M67">
        <v>6.3655499000000004</v>
      </c>
      <c r="N67">
        <v>70.766996121754786</v>
      </c>
      <c r="O67">
        <v>-0.81554137803787474</v>
      </c>
      <c r="P67" s="1" t="str">
        <f>HYPERLINK(".\sm_car_260221_0030\sm_car_260221_0030_066_Ca138TrN_MaLSS_DrSt_ode23t.png","figure")</f>
        <v>figure</v>
      </c>
      <c r="Q67" t="s">
        <v>15</v>
      </c>
    </row>
    <row r="68" spans="1:17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148</v>
      </c>
      <c r="K68" t="s">
        <v>23</v>
      </c>
      <c r="L68">
        <v>640</v>
      </c>
      <c r="M68">
        <v>25.9793217</v>
      </c>
      <c r="N68">
        <v>401.85094102514995</v>
      </c>
      <c r="O68">
        <v>1.8723750116183679</v>
      </c>
      <c r="P68" s="1" t="str">
        <f>HYPERLINK(".\sm_car_260221_0030\sm_car_260221_0030_067_Ca139TrN_MaWOT_DrSt_ode23t.png","figure")</f>
        <v>figure</v>
      </c>
      <c r="Q68" t="s">
        <v>15</v>
      </c>
    </row>
    <row r="69" spans="1:17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148</v>
      </c>
      <c r="K69" t="s">
        <v>23</v>
      </c>
      <c r="L69">
        <v>628</v>
      </c>
      <c r="M69">
        <v>15.058958199999999</v>
      </c>
      <c r="N69">
        <v>152.87392105542403</v>
      </c>
      <c r="O69">
        <v>-0.55727882876991863</v>
      </c>
      <c r="P69" s="1" t="str">
        <f>HYPERLINK(".\sm_car_260221_0030\sm_car_260221_0030_068_Ca139TrN_MaLSS_DrSt_ode23t.png","figure")</f>
        <v>figure</v>
      </c>
      <c r="Q69" t="s">
        <v>15</v>
      </c>
    </row>
    <row r="70" spans="1:17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148</v>
      </c>
      <c r="K70" t="s">
        <v>23</v>
      </c>
      <c r="L70">
        <v>1965</v>
      </c>
      <c r="M70">
        <v>39.011727499999999</v>
      </c>
      <c r="N70">
        <v>401.95283603304915</v>
      </c>
      <c r="O70">
        <v>1.6898749760276914</v>
      </c>
      <c r="P70" s="1" t="str">
        <f>HYPERLINK(".\sm_car_260221_0030\sm_car_260221_0030_069_Ca141TrN_MaWOT_DrSt_ode23t.png","figure")</f>
        <v>figure</v>
      </c>
      <c r="Q70" t="s">
        <v>15</v>
      </c>
    </row>
    <row r="71" spans="1:17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148</v>
      </c>
      <c r="K71" t="s">
        <v>23</v>
      </c>
      <c r="L71">
        <v>1864</v>
      </c>
      <c r="M71">
        <v>25.844910599999999</v>
      </c>
      <c r="N71">
        <v>152.95109289091934</v>
      </c>
      <c r="O71">
        <v>-0.57193954307335948</v>
      </c>
      <c r="P71" s="1" t="str">
        <f>HYPERLINK(".\sm_car_260221_0030\sm_car_260221_0030_070_Ca141TrN_MaLSS_DrSt_ode23t.png","figure")</f>
        <v>figure</v>
      </c>
      <c r="Q71" t="s">
        <v>15</v>
      </c>
    </row>
    <row r="72" spans="1:17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148</v>
      </c>
      <c r="K72" t="s">
        <v>23</v>
      </c>
      <c r="L72">
        <v>339</v>
      </c>
      <c r="M72">
        <v>13.785496699999999</v>
      </c>
      <c r="N72">
        <v>62.429228728995554</v>
      </c>
      <c r="O72">
        <v>2.0360010244354493E-2</v>
      </c>
      <c r="P72" s="1" t="str">
        <f>HYPERLINK(".\sm_car_260221_0030\sm_car_260221_0030_071_Ca143TrN_MaWOT_DrSt_ode23t.png","figure")</f>
        <v>figure</v>
      </c>
      <c r="Q72" t="s">
        <v>15</v>
      </c>
    </row>
    <row r="73" spans="1:17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148</v>
      </c>
      <c r="K73" t="s">
        <v>23</v>
      </c>
      <c r="L73">
        <v>455</v>
      </c>
      <c r="M73">
        <v>15.4841426</v>
      </c>
      <c r="N73">
        <v>24.932453038047335</v>
      </c>
      <c r="O73">
        <v>-5.2412360246060913E-2</v>
      </c>
      <c r="P73" s="1" t="str">
        <f>HYPERLINK(".\sm_car_260221_0030\sm_car_260221_0030_072_Ca143TrN_MaLSS_DrSt_ode23t.png","figure")</f>
        <v>figure</v>
      </c>
      <c r="Q73" t="s">
        <v>15</v>
      </c>
    </row>
    <row r="74" spans="1:17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148</v>
      </c>
      <c r="K74" t="s">
        <v>23</v>
      </c>
      <c r="L74">
        <v>333</v>
      </c>
      <c r="M74">
        <v>10.2676289</v>
      </c>
      <c r="N74">
        <v>76.994184260676107</v>
      </c>
      <c r="O74">
        <v>0.24481820331855314</v>
      </c>
      <c r="P74" s="1" t="str">
        <f>HYPERLINK(".\sm_car_260221_0030\sm_car_260221_0030_073_Ca144TrN_MaWOT_DrSt_ode23t.png","figure")</f>
        <v>figure</v>
      </c>
      <c r="Q74" t="s">
        <v>15</v>
      </c>
    </row>
    <row r="75" spans="1:17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148</v>
      </c>
      <c r="K75" t="s">
        <v>23</v>
      </c>
      <c r="L75">
        <v>466</v>
      </c>
      <c r="M75">
        <v>11.715036400000001</v>
      </c>
      <c r="N75">
        <v>35.47184757229526</v>
      </c>
      <c r="O75">
        <v>-3.1656986960444493E-2</v>
      </c>
      <c r="P75" s="1" t="str">
        <f>HYPERLINK(".\sm_car_260221_0030\sm_car_260221_0030_074_Ca144TrN_MaLSS_DrSt_ode23t.png","figure")</f>
        <v>figure</v>
      </c>
      <c r="Q75" t="s">
        <v>15</v>
      </c>
    </row>
    <row r="76" spans="1:17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148</v>
      </c>
      <c r="K76" t="s">
        <v>23</v>
      </c>
      <c r="L76">
        <v>2422</v>
      </c>
      <c r="M76">
        <v>25.8525609</v>
      </c>
      <c r="N76">
        <v>396.26297791897298</v>
      </c>
      <c r="O76">
        <v>-14.590727064320152</v>
      </c>
      <c r="P76" s="1" t="str">
        <f>HYPERLINK(".\sm_car_260221_0030\sm_car_260221_0030_075_Ca147TrN_MaWOT_DrSt_ode23t.png","figure")</f>
        <v>figure</v>
      </c>
      <c r="Q76" t="s">
        <v>15</v>
      </c>
    </row>
    <row r="77" spans="1:17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148</v>
      </c>
      <c r="K77" t="s">
        <v>23</v>
      </c>
      <c r="L77">
        <v>1312</v>
      </c>
      <c r="M77">
        <v>17.130005499999999</v>
      </c>
      <c r="N77">
        <v>150.26495722844493</v>
      </c>
      <c r="O77">
        <v>-2.207409264125531</v>
      </c>
      <c r="P77" s="1" t="str">
        <f>HYPERLINK(".\sm_car_260221_0030\sm_car_260221_0030_076_Ca147TrN_MaLSS_DrSt_ode23t.png","figure")</f>
        <v>figure</v>
      </c>
      <c r="Q77" t="s">
        <v>15</v>
      </c>
    </row>
    <row r="78" spans="1:17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148</v>
      </c>
      <c r="K78" t="s">
        <v>23</v>
      </c>
      <c r="L78">
        <v>289</v>
      </c>
      <c r="M78">
        <v>7.2756910000000001</v>
      </c>
      <c r="N78">
        <v>135.69017204928181</v>
      </c>
      <c r="O78">
        <v>1.9781572282533215E-3</v>
      </c>
      <c r="P78" s="1" t="str">
        <f>HYPERLINK(".\sm_car_260221_0030\sm_car_260221_0030_077_Ca215TrN_MaWOT_DrSt_ode23t.png","figure")</f>
        <v>figure</v>
      </c>
      <c r="Q78" t="s">
        <v>15</v>
      </c>
    </row>
    <row r="79" spans="1:17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148</v>
      </c>
      <c r="K79" t="s">
        <v>23</v>
      </c>
      <c r="L79">
        <v>455</v>
      </c>
      <c r="M79">
        <v>7.5293939999999999</v>
      </c>
      <c r="N79">
        <v>50.383510105505579</v>
      </c>
      <c r="O79">
        <v>-0.11561801673911339</v>
      </c>
      <c r="P79" s="1" t="str">
        <f>HYPERLINK(".\sm_car_260221_0030\sm_car_260221_0030_078_Ca215TrN_MaLSS_DrSt_ode23t.png","figure")</f>
        <v>figure</v>
      </c>
      <c r="Q79" t="s">
        <v>15</v>
      </c>
    </row>
    <row r="80" spans="1:17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188</v>
      </c>
      <c r="H80" t="s">
        <v>21</v>
      </c>
      <c r="I80" t="s">
        <v>22</v>
      </c>
      <c r="J80" t="s">
        <v>148</v>
      </c>
      <c r="K80" t="s">
        <v>23</v>
      </c>
      <c r="L80">
        <v>363</v>
      </c>
      <c r="M80">
        <v>4.9601382999999997</v>
      </c>
      <c r="N80">
        <v>229.79365830600199</v>
      </c>
      <c r="O80">
        <v>0.16899819473405742</v>
      </c>
      <c r="P80" s="1" t="str">
        <f>HYPERLINK(".\sm_car_260221_0030\sm_car_260221_0030_079_Ca218TrN_MaWOT_DrSt_ode23t.png","figure")</f>
        <v>figure</v>
      </c>
      <c r="Q80" t="s">
        <v>15</v>
      </c>
    </row>
    <row r="81" spans="1:17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188</v>
      </c>
      <c r="H81" t="s">
        <v>21</v>
      </c>
      <c r="I81" t="s">
        <v>24</v>
      </c>
      <c r="J81" t="s">
        <v>148</v>
      </c>
      <c r="K81" t="s">
        <v>23</v>
      </c>
      <c r="L81">
        <v>479</v>
      </c>
      <c r="M81">
        <v>5.7449399999999997</v>
      </c>
      <c r="N81">
        <v>70.77937437904437</v>
      </c>
      <c r="O81">
        <v>-0.51893977193110874</v>
      </c>
      <c r="P81" s="1" t="str">
        <f>HYPERLINK(".\sm_car_260221_0030\sm_car_260221_0030_080_Ca218TrN_MaLSS_DrSt_ode23t.png","figure")</f>
        <v>figure</v>
      </c>
      <c r="Q81" t="s">
        <v>15</v>
      </c>
    </row>
    <row r="82" spans="1:17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188</v>
      </c>
      <c r="H82" t="s">
        <v>21</v>
      </c>
      <c r="I82" t="s">
        <v>22</v>
      </c>
      <c r="J82" t="s">
        <v>148</v>
      </c>
      <c r="K82" t="s">
        <v>23</v>
      </c>
      <c r="L82">
        <v>383</v>
      </c>
      <c r="M82">
        <v>6.8652977999999996</v>
      </c>
      <c r="N82">
        <v>229.16836180472353</v>
      </c>
      <c r="O82">
        <v>0.17097444926983393</v>
      </c>
      <c r="P82" s="1" t="str">
        <f>HYPERLINK(".\sm_car_260221_0030\sm_car_260221_0030_081_Ca219TrN_MaWOT_DrSt_ode23t.png","figure")</f>
        <v>figure</v>
      </c>
      <c r="Q82" t="s">
        <v>15</v>
      </c>
    </row>
    <row r="83" spans="1:17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188</v>
      </c>
      <c r="H83" t="s">
        <v>21</v>
      </c>
      <c r="I83" t="s">
        <v>24</v>
      </c>
      <c r="J83" t="s">
        <v>148</v>
      </c>
      <c r="K83" t="s">
        <v>23</v>
      </c>
      <c r="L83">
        <v>514</v>
      </c>
      <c r="M83">
        <v>8.8771722000000004</v>
      </c>
      <c r="N83">
        <v>70.603632262827105</v>
      </c>
      <c r="O83">
        <v>-0.55047386483361205</v>
      </c>
      <c r="P83" s="1" t="str">
        <f>HYPERLINK(".\sm_car_260221_0030\sm_car_260221_0030_082_Ca219TrN_MaLSS_DrSt_ode23t.png","figure")</f>
        <v>figure</v>
      </c>
      <c r="Q83" t="s">
        <v>15</v>
      </c>
    </row>
    <row r="84" spans="1:17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188</v>
      </c>
      <c r="H84" t="s">
        <v>21</v>
      </c>
      <c r="I84" t="s">
        <v>22</v>
      </c>
      <c r="J84" t="s">
        <v>148</v>
      </c>
      <c r="K84" t="s">
        <v>23</v>
      </c>
      <c r="L84">
        <v>907</v>
      </c>
      <c r="M84">
        <v>37.946111199999997</v>
      </c>
      <c r="N84">
        <v>223.48763002466751</v>
      </c>
      <c r="O84">
        <v>-1.1892953255649366</v>
      </c>
      <c r="P84" s="1" t="str">
        <f>HYPERLINK(".\sm_car_260221_0030\sm_car_260221_0030_083_Ca220TrN_MaWOT_DrSt_ode23t.png","figure")</f>
        <v>figure</v>
      </c>
      <c r="Q84" t="s">
        <v>15</v>
      </c>
    </row>
    <row r="85" spans="1:17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188</v>
      </c>
      <c r="H85" t="s">
        <v>21</v>
      </c>
      <c r="I85" t="s">
        <v>24</v>
      </c>
      <c r="J85" t="s">
        <v>148</v>
      </c>
      <c r="K85" t="s">
        <v>23</v>
      </c>
      <c r="L85">
        <v>1051</v>
      </c>
      <c r="M85">
        <v>48.841138600000001</v>
      </c>
      <c r="N85">
        <v>69.324972863476546</v>
      </c>
      <c r="O85">
        <v>-1.4936245847682945</v>
      </c>
      <c r="P85" s="1" t="str">
        <f>HYPERLINK(".\sm_car_260221_0030\sm_car_260221_0030_084_Ca220TrN_MaLSS_DrSt_ode23t.png","figure")</f>
        <v>figure</v>
      </c>
      <c r="Q85" t="s">
        <v>15</v>
      </c>
    </row>
    <row r="86" spans="1:17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148</v>
      </c>
      <c r="K86" t="s">
        <v>23</v>
      </c>
      <c r="L86">
        <v>471</v>
      </c>
      <c r="M86">
        <v>7.6129002999999997</v>
      </c>
      <c r="N86">
        <v>293.79634837494405</v>
      </c>
      <c r="O86">
        <v>-1.0559115673585016E-4</v>
      </c>
      <c r="P86" s="1" t="str">
        <f>HYPERLINK(".\sm_car_260221_0030\sm_car_260221_0030_085_Ca223TrN_MaWOT_DrSt_ode23t.png","figure")</f>
        <v>figure</v>
      </c>
      <c r="Q86" t="s">
        <v>15</v>
      </c>
    </row>
    <row r="87" spans="1:17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148</v>
      </c>
      <c r="K87" t="s">
        <v>23</v>
      </c>
      <c r="L87">
        <v>644</v>
      </c>
      <c r="M87">
        <v>7.9722701999999996</v>
      </c>
      <c r="N87">
        <v>103.82758518896868</v>
      </c>
      <c r="O87">
        <v>-0.15470132601341063</v>
      </c>
      <c r="P87" s="1" t="str">
        <f>HYPERLINK(".\sm_car_260221_0030\sm_car_260221_0030_086_Ca223TrN_MaLSS_DrSt_ode23t.png","figure")</f>
        <v>figure</v>
      </c>
      <c r="Q87" t="s">
        <v>15</v>
      </c>
    </row>
    <row r="88" spans="1:17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148</v>
      </c>
      <c r="K88" t="s">
        <v>23</v>
      </c>
      <c r="L88">
        <v>714</v>
      </c>
      <c r="M88">
        <v>23.124542099999999</v>
      </c>
      <c r="N88">
        <v>405.64367068219286</v>
      </c>
      <c r="O88">
        <v>-12.085084449143755</v>
      </c>
      <c r="P88" s="1" t="str">
        <f>HYPERLINK(".\sm_car_260221_0030\sm_car_260221_0030_087_Ca227TrN_MaWOT_DrSt_ode23t.png","figure")</f>
        <v>figure</v>
      </c>
      <c r="Q88" t="s">
        <v>15</v>
      </c>
    </row>
    <row r="89" spans="1:17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148</v>
      </c>
      <c r="K89" t="s">
        <v>23</v>
      </c>
      <c r="L89">
        <v>712</v>
      </c>
      <c r="M89">
        <v>15.794624199999999</v>
      </c>
      <c r="N89">
        <v>154.52988656019627</v>
      </c>
      <c r="O89">
        <v>-2.8576786776509717</v>
      </c>
      <c r="P89" s="1" t="str">
        <f>HYPERLINK(".\sm_car_260221_0030\sm_car_260221_0030_088_Ca227TrN_MaLSS_DrSt_ode23t.png","figure")</f>
        <v>figure</v>
      </c>
      <c r="Q89" t="s">
        <v>15</v>
      </c>
    </row>
    <row r="90" spans="1:17" x14ac:dyDescent="0.25">
      <c r="A90">
        <v>89</v>
      </c>
      <c r="B90">
        <v>237</v>
      </c>
      <c r="C90" t="s">
        <v>45</v>
      </c>
      <c r="D90" t="s">
        <v>17</v>
      </c>
      <c r="E90" t="s">
        <v>107</v>
      </c>
      <c r="F90" t="s">
        <v>19</v>
      </c>
      <c r="G90" t="s">
        <v>191</v>
      </c>
      <c r="H90" t="s">
        <v>21</v>
      </c>
      <c r="I90" t="s">
        <v>22</v>
      </c>
      <c r="J90" t="s">
        <v>148</v>
      </c>
      <c r="K90" t="s">
        <v>23</v>
      </c>
      <c r="L90">
        <v>632</v>
      </c>
      <c r="M90">
        <v>44.438849099999999</v>
      </c>
      <c r="N90">
        <v>402.67772515433717</v>
      </c>
      <c r="O90">
        <v>1.5723571967904628</v>
      </c>
      <c r="P90" s="1" t="str">
        <f>HYPERLINK(".\sm_car_260221_0030\sm_car_260221_0030_089_Ca237TrN_MaWOT_DrSt_ode23t.png","figure")</f>
        <v>figure</v>
      </c>
      <c r="Q90" t="s">
        <v>15</v>
      </c>
    </row>
    <row r="91" spans="1:17" x14ac:dyDescent="0.25">
      <c r="A91">
        <v>90</v>
      </c>
      <c r="B91">
        <v>237</v>
      </c>
      <c r="C91" t="s">
        <v>45</v>
      </c>
      <c r="D91" t="s">
        <v>17</v>
      </c>
      <c r="E91" t="s">
        <v>107</v>
      </c>
      <c r="F91" t="s">
        <v>19</v>
      </c>
      <c r="G91" t="s">
        <v>191</v>
      </c>
      <c r="H91" t="s">
        <v>21</v>
      </c>
      <c r="I91" t="s">
        <v>24</v>
      </c>
      <c r="J91" t="s">
        <v>148</v>
      </c>
      <c r="K91" t="s">
        <v>23</v>
      </c>
      <c r="L91">
        <v>620</v>
      </c>
      <c r="M91">
        <v>29.526700200000001</v>
      </c>
      <c r="N91">
        <v>153.58064921038994</v>
      </c>
      <c r="O91">
        <v>-0.3416011991144226</v>
      </c>
      <c r="P91" s="1" t="str">
        <f>HYPERLINK(".\sm_car_260221_0030\sm_car_260221_0030_090_Ca237TrN_MaLSS_DrSt_ode23t.png","figure")</f>
        <v>figure</v>
      </c>
      <c r="Q91" t="s">
        <v>15</v>
      </c>
    </row>
    <row r="92" spans="1:17" x14ac:dyDescent="0.25">
      <c r="A92">
        <v>91</v>
      </c>
      <c r="B92">
        <v>238</v>
      </c>
      <c r="C92" t="s">
        <v>45</v>
      </c>
      <c r="D92" t="s">
        <v>17</v>
      </c>
      <c r="E92" t="s">
        <v>107</v>
      </c>
      <c r="F92" t="s">
        <v>19</v>
      </c>
      <c r="G92" t="s">
        <v>192</v>
      </c>
      <c r="H92" t="s">
        <v>21</v>
      </c>
      <c r="I92" t="s">
        <v>22</v>
      </c>
      <c r="J92" t="s">
        <v>148</v>
      </c>
      <c r="K92" t="s">
        <v>23</v>
      </c>
      <c r="L92">
        <v>740</v>
      </c>
      <c r="M92">
        <v>60.590044300000002</v>
      </c>
      <c r="N92">
        <v>402.58044624723476</v>
      </c>
      <c r="O92">
        <v>1.6841196565519443</v>
      </c>
      <c r="P92" s="1" t="str">
        <f>HYPERLINK(".\sm_car_260221_0030\sm_car_260221_0030_091_Ca238TrN_MaWOT_DrSt_ode23t.png","figure")</f>
        <v>figure</v>
      </c>
      <c r="Q92" t="s">
        <v>15</v>
      </c>
    </row>
    <row r="93" spans="1:17" x14ac:dyDescent="0.25">
      <c r="A93">
        <v>92</v>
      </c>
      <c r="B93">
        <v>238</v>
      </c>
      <c r="C93" t="s">
        <v>45</v>
      </c>
      <c r="D93" t="s">
        <v>17</v>
      </c>
      <c r="E93" t="s">
        <v>107</v>
      </c>
      <c r="F93" t="s">
        <v>19</v>
      </c>
      <c r="G93" t="s">
        <v>192</v>
      </c>
      <c r="H93" t="s">
        <v>21</v>
      </c>
      <c r="I93" t="s">
        <v>24</v>
      </c>
      <c r="J93" t="s">
        <v>148</v>
      </c>
      <c r="K93" t="s">
        <v>23</v>
      </c>
      <c r="L93">
        <v>686</v>
      </c>
      <c r="M93">
        <v>36.310934400000001</v>
      </c>
      <c r="N93">
        <v>153.45232172944472</v>
      </c>
      <c r="O93">
        <v>-0.32607143617534773</v>
      </c>
      <c r="P93" s="1" t="str">
        <f>HYPERLINK(".\sm_car_260221_0030\sm_car_260221_0030_092_Ca238TrN_MaLSS_DrSt_ode23t.png","figure")</f>
        <v>figure</v>
      </c>
      <c r="Q93" t="s">
        <v>15</v>
      </c>
    </row>
    <row r="94" spans="1:17" x14ac:dyDescent="0.25">
      <c r="A94">
        <v>93</v>
      </c>
      <c r="B94">
        <v>8</v>
      </c>
      <c r="C94" t="s">
        <v>16</v>
      </c>
      <c r="D94" t="s">
        <v>17</v>
      </c>
      <c r="E94" t="s">
        <v>49</v>
      </c>
      <c r="F94" t="s">
        <v>19</v>
      </c>
      <c r="G94" t="s">
        <v>188</v>
      </c>
      <c r="H94" t="s">
        <v>21</v>
      </c>
      <c r="I94" t="s">
        <v>22</v>
      </c>
      <c r="J94" t="s">
        <v>148</v>
      </c>
      <c r="K94" t="s">
        <v>23</v>
      </c>
      <c r="L94">
        <v>382</v>
      </c>
      <c r="M94">
        <v>10.683600999999999</v>
      </c>
      <c r="N94">
        <v>229.86289638092822</v>
      </c>
      <c r="O94">
        <v>-8.6453136492681461E-3</v>
      </c>
      <c r="P94" s="1" t="str">
        <f>HYPERLINK(".\sm_car_260221_0030\sm_car_260221_0030_093_Ca008TrN_MaWOT_DrSt_ode23t_1.png","figure")</f>
        <v>figure</v>
      </c>
      <c r="Q94" t="s">
        <v>15</v>
      </c>
    </row>
    <row r="95" spans="1:17" x14ac:dyDescent="0.25">
      <c r="A95">
        <v>94</v>
      </c>
      <c r="B95">
        <v>8</v>
      </c>
      <c r="C95" t="s">
        <v>16</v>
      </c>
      <c r="D95" t="s">
        <v>17</v>
      </c>
      <c r="E95" t="s">
        <v>49</v>
      </c>
      <c r="F95" t="s">
        <v>19</v>
      </c>
      <c r="G95" t="s">
        <v>188</v>
      </c>
      <c r="H95" t="s">
        <v>21</v>
      </c>
      <c r="I95" t="s">
        <v>24</v>
      </c>
      <c r="J95" t="s">
        <v>148</v>
      </c>
      <c r="K95" t="s">
        <v>23</v>
      </c>
      <c r="L95">
        <v>542</v>
      </c>
      <c r="M95">
        <v>12.7153475</v>
      </c>
      <c r="N95">
        <v>70.879575559165261</v>
      </c>
      <c r="O95">
        <v>-0.53202774463117308</v>
      </c>
      <c r="P95" s="1" t="str">
        <f>HYPERLINK(".\sm_car_260221_0030\sm_car_260221_0030_094_Ca008TrN_MaLSS_DrSt_ode23t_1.png","figure")</f>
        <v>figure</v>
      </c>
      <c r="Q95" t="s">
        <v>15</v>
      </c>
    </row>
    <row r="96" spans="1:17" x14ac:dyDescent="0.25">
      <c r="A96">
        <v>95</v>
      </c>
      <c r="B96">
        <v>13</v>
      </c>
      <c r="C96" t="s">
        <v>16</v>
      </c>
      <c r="D96" t="s">
        <v>17</v>
      </c>
      <c r="E96" t="s">
        <v>49</v>
      </c>
      <c r="F96" t="s">
        <v>28</v>
      </c>
      <c r="G96" t="s">
        <v>188</v>
      </c>
      <c r="H96" t="s">
        <v>21</v>
      </c>
      <c r="I96" t="s">
        <v>22</v>
      </c>
      <c r="J96" t="s">
        <v>148</v>
      </c>
      <c r="K96" t="s">
        <v>23</v>
      </c>
      <c r="L96">
        <v>856</v>
      </c>
      <c r="M96">
        <v>14.731183400000001</v>
      </c>
      <c r="N96">
        <v>229.09986921052308</v>
      </c>
      <c r="O96">
        <v>-1.6178206492318239E-2</v>
      </c>
      <c r="P96" s="1" t="str">
        <f>HYPERLINK(".\sm_car_260221_0030\sm_car_260221_0030_095_Ca013TrN_MaWOT_DrSt_ode23t_1.png","figure")</f>
        <v>figure</v>
      </c>
      <c r="Q96" t="s">
        <v>15</v>
      </c>
    </row>
    <row r="97" spans="1:17" x14ac:dyDescent="0.25">
      <c r="A97">
        <v>96</v>
      </c>
      <c r="B97">
        <v>13</v>
      </c>
      <c r="C97" t="s">
        <v>16</v>
      </c>
      <c r="D97" t="s">
        <v>17</v>
      </c>
      <c r="E97" t="s">
        <v>49</v>
      </c>
      <c r="F97" t="s">
        <v>28</v>
      </c>
      <c r="G97" t="s">
        <v>188</v>
      </c>
      <c r="H97" t="s">
        <v>21</v>
      </c>
      <c r="I97" t="s">
        <v>24</v>
      </c>
      <c r="J97" t="s">
        <v>148</v>
      </c>
      <c r="K97" t="s">
        <v>23</v>
      </c>
      <c r="L97">
        <v>1007</v>
      </c>
      <c r="M97">
        <v>16.978664599999998</v>
      </c>
      <c r="N97">
        <v>70.589936283730353</v>
      </c>
      <c r="O97">
        <v>-0.53085841609054596</v>
      </c>
      <c r="P97" s="1" t="str">
        <f>HYPERLINK(".\sm_car_260221_0030\sm_car_260221_0030_096_Ca013TrN_MaLSS_DrSt_ode23t_1.png","figure")</f>
        <v>figure</v>
      </c>
      <c r="Q97" t="s">
        <v>15</v>
      </c>
    </row>
    <row r="98" spans="1:17" x14ac:dyDescent="0.25">
      <c r="A98">
        <v>97</v>
      </c>
      <c r="B98">
        <v>120</v>
      </c>
      <c r="C98" t="s">
        <v>16</v>
      </c>
      <c r="D98" t="s">
        <v>35</v>
      </c>
      <c r="E98" t="s">
        <v>49</v>
      </c>
      <c r="F98" t="s">
        <v>19</v>
      </c>
      <c r="G98" t="s">
        <v>188</v>
      </c>
      <c r="H98" t="s">
        <v>21</v>
      </c>
      <c r="I98" t="s">
        <v>22</v>
      </c>
      <c r="J98" t="s">
        <v>148</v>
      </c>
      <c r="K98" t="s">
        <v>23</v>
      </c>
      <c r="L98">
        <v>390</v>
      </c>
      <c r="M98">
        <v>3.8288427999999999</v>
      </c>
      <c r="N98">
        <v>242.67823304873914</v>
      </c>
      <c r="O98">
        <v>0.23485751263672042</v>
      </c>
      <c r="P98" s="1" t="str">
        <f>HYPERLINK(".\sm_car_260221_0030\sm_car_260221_0030_097_Ca120TrN_MaWOT_DrSt_ode23t_1.png","figure")</f>
        <v>figure</v>
      </c>
      <c r="Q98" t="s">
        <v>15</v>
      </c>
    </row>
    <row r="99" spans="1:17" x14ac:dyDescent="0.25">
      <c r="A99">
        <v>98</v>
      </c>
      <c r="B99">
        <v>120</v>
      </c>
      <c r="C99" t="s">
        <v>16</v>
      </c>
      <c r="D99" t="s">
        <v>35</v>
      </c>
      <c r="E99" t="s">
        <v>49</v>
      </c>
      <c r="F99" t="s">
        <v>19</v>
      </c>
      <c r="G99" t="s">
        <v>188</v>
      </c>
      <c r="H99" t="s">
        <v>21</v>
      </c>
      <c r="I99" t="s">
        <v>24</v>
      </c>
      <c r="J99" t="s">
        <v>148</v>
      </c>
      <c r="K99" t="s">
        <v>23</v>
      </c>
      <c r="L99">
        <v>510</v>
      </c>
      <c r="M99">
        <v>4.6812588999999996</v>
      </c>
      <c r="N99">
        <v>74.678937333827832</v>
      </c>
      <c r="O99">
        <v>-0.33886192333213677</v>
      </c>
      <c r="P99" s="1" t="str">
        <f>HYPERLINK(".\sm_car_260221_0030\sm_car_260221_0030_098_Ca120TrN_MaLSS_DrSt_ode23t_1.png","figure")</f>
        <v>figure</v>
      </c>
      <c r="Q99" t="s">
        <v>15</v>
      </c>
    </row>
    <row r="100" spans="1:17" x14ac:dyDescent="0.25">
      <c r="A100">
        <v>99</v>
      </c>
      <c r="B100">
        <v>126</v>
      </c>
      <c r="C100" t="s">
        <v>16</v>
      </c>
      <c r="D100" t="s">
        <v>35</v>
      </c>
      <c r="E100" t="s">
        <v>49</v>
      </c>
      <c r="F100" t="s">
        <v>28</v>
      </c>
      <c r="G100" t="s">
        <v>188</v>
      </c>
      <c r="H100" t="s">
        <v>21</v>
      </c>
      <c r="I100" t="s">
        <v>22</v>
      </c>
      <c r="J100" t="s">
        <v>148</v>
      </c>
      <c r="K100" t="s">
        <v>23</v>
      </c>
      <c r="L100">
        <v>994</v>
      </c>
      <c r="M100">
        <v>6.0973306000000003</v>
      </c>
      <c r="N100">
        <v>241.45040642992598</v>
      </c>
      <c r="O100">
        <v>0.23235640977943442</v>
      </c>
      <c r="P100" s="1" t="str">
        <f>HYPERLINK(".\sm_car_260221_0030\sm_car_260221_0030_099_Ca126TrN_MaWOT_DrSt_ode23t_1.png","figure")</f>
        <v>figure</v>
      </c>
      <c r="Q100" t="s">
        <v>15</v>
      </c>
    </row>
    <row r="101" spans="1:17" x14ac:dyDescent="0.25">
      <c r="A101">
        <v>100</v>
      </c>
      <c r="B101">
        <v>126</v>
      </c>
      <c r="C101" t="s">
        <v>16</v>
      </c>
      <c r="D101" t="s">
        <v>35</v>
      </c>
      <c r="E101" t="s">
        <v>49</v>
      </c>
      <c r="F101" t="s">
        <v>28</v>
      </c>
      <c r="G101" t="s">
        <v>188</v>
      </c>
      <c r="H101" t="s">
        <v>21</v>
      </c>
      <c r="I101" t="s">
        <v>24</v>
      </c>
      <c r="J101" t="s">
        <v>148</v>
      </c>
      <c r="K101" t="s">
        <v>23</v>
      </c>
      <c r="L101">
        <v>1126</v>
      </c>
      <c r="M101">
        <v>6.4754005000000001</v>
      </c>
      <c r="N101">
        <v>74.344442040272099</v>
      </c>
      <c r="O101">
        <v>-0.33571493790556178</v>
      </c>
      <c r="P101" s="1" t="str">
        <f>HYPERLINK(".\sm_car_260221_0030\sm_car_260221_0030_100_Ca126TrN_MaLSS_DrSt_ode23t_1.png","figure")</f>
        <v>figure</v>
      </c>
      <c r="Q101" t="s">
        <v>15</v>
      </c>
    </row>
    <row r="102" spans="1:17" x14ac:dyDescent="0.25">
      <c r="A102">
        <v>101</v>
      </c>
      <c r="B102">
        <v>127</v>
      </c>
      <c r="C102" t="s">
        <v>16</v>
      </c>
      <c r="D102" t="s">
        <v>35</v>
      </c>
      <c r="E102" t="s">
        <v>49</v>
      </c>
      <c r="F102" t="s">
        <v>28</v>
      </c>
      <c r="G102" t="s">
        <v>188</v>
      </c>
      <c r="H102" t="s">
        <v>21</v>
      </c>
      <c r="I102" t="s">
        <v>22</v>
      </c>
      <c r="J102" t="s">
        <v>148</v>
      </c>
      <c r="K102" t="s">
        <v>23</v>
      </c>
      <c r="L102">
        <v>1041</v>
      </c>
      <c r="M102">
        <v>6.0933875999999998</v>
      </c>
      <c r="N102">
        <v>240.99142224434348</v>
      </c>
      <c r="O102">
        <v>0.23078731590243703</v>
      </c>
      <c r="P102" s="1" t="str">
        <f>HYPERLINK(".\sm_car_260221_0030\sm_car_260221_0030_101_Ca127TrN_MaWOT_DrSt_ode23t_1.png","figure")</f>
        <v>figure</v>
      </c>
      <c r="Q102" t="s">
        <v>15</v>
      </c>
    </row>
    <row r="103" spans="1:17" x14ac:dyDescent="0.25">
      <c r="A103">
        <v>102</v>
      </c>
      <c r="B103">
        <v>127</v>
      </c>
      <c r="C103" t="s">
        <v>16</v>
      </c>
      <c r="D103" t="s">
        <v>35</v>
      </c>
      <c r="E103" t="s">
        <v>49</v>
      </c>
      <c r="F103" t="s">
        <v>28</v>
      </c>
      <c r="G103" t="s">
        <v>188</v>
      </c>
      <c r="H103" t="s">
        <v>21</v>
      </c>
      <c r="I103" t="s">
        <v>24</v>
      </c>
      <c r="J103" t="s">
        <v>148</v>
      </c>
      <c r="K103" t="s">
        <v>23</v>
      </c>
      <c r="L103">
        <v>1160</v>
      </c>
      <c r="M103">
        <v>7.1932489000000004</v>
      </c>
      <c r="N103">
        <v>74.198910982551141</v>
      </c>
      <c r="O103">
        <v>-0.33514851843137955</v>
      </c>
      <c r="P103" s="1" t="str">
        <f>HYPERLINK(".\sm_car_260221_0030\sm_car_260221_0030_102_Ca127TrN_MaLSS_DrSt_ode23t_1.png","figure")</f>
        <v>figure</v>
      </c>
      <c r="Q103" t="s">
        <v>15</v>
      </c>
    </row>
    <row r="104" spans="1:17" x14ac:dyDescent="0.25">
      <c r="A104">
        <v>103</v>
      </c>
      <c r="B104">
        <v>145</v>
      </c>
      <c r="C104" t="s">
        <v>46</v>
      </c>
      <c r="D104" t="s">
        <v>17</v>
      </c>
      <c r="E104" t="s">
        <v>50</v>
      </c>
      <c r="F104" t="s">
        <v>19</v>
      </c>
      <c r="G104" t="s">
        <v>26</v>
      </c>
      <c r="H104" t="s">
        <v>21</v>
      </c>
      <c r="I104" t="s">
        <v>22</v>
      </c>
      <c r="J104" t="s">
        <v>148</v>
      </c>
      <c r="K104" t="s">
        <v>23</v>
      </c>
      <c r="L104">
        <v>353</v>
      </c>
      <c r="M104">
        <v>14.4100138</v>
      </c>
      <c r="N104">
        <v>62.399080719229602</v>
      </c>
      <c r="O104">
        <v>1.9098261566904209E-2</v>
      </c>
      <c r="P104" s="1" t="str">
        <f>HYPERLINK(".\sm_car_260221_0030\sm_car_260221_0030_103_Ca145TrN_MaWOT_DrSt_ode23t_1.png","figure")</f>
        <v>figure</v>
      </c>
      <c r="Q104" t="s">
        <v>15</v>
      </c>
    </row>
    <row r="105" spans="1:17" x14ac:dyDescent="0.25">
      <c r="A105">
        <v>104</v>
      </c>
      <c r="B105">
        <v>145</v>
      </c>
      <c r="C105" t="s">
        <v>46</v>
      </c>
      <c r="D105" t="s">
        <v>17</v>
      </c>
      <c r="E105" t="s">
        <v>50</v>
      </c>
      <c r="F105" t="s">
        <v>19</v>
      </c>
      <c r="G105" t="s">
        <v>26</v>
      </c>
      <c r="H105" t="s">
        <v>21</v>
      </c>
      <c r="I105" t="s">
        <v>24</v>
      </c>
      <c r="J105" t="s">
        <v>148</v>
      </c>
      <c r="K105" t="s">
        <v>23</v>
      </c>
      <c r="L105">
        <v>477</v>
      </c>
      <c r="M105">
        <v>19.722348199999999</v>
      </c>
      <c r="N105">
        <v>24.926902762877102</v>
      </c>
      <c r="O105">
        <v>-4.9659853639739363E-2</v>
      </c>
      <c r="P105" s="1" t="str">
        <f>HYPERLINK(".\sm_car_260221_0030\sm_car_260221_0030_104_Ca145TrN_MaLSS_DrSt_ode23t_1.png","figure")</f>
        <v>figure</v>
      </c>
      <c r="Q105" t="s">
        <v>15</v>
      </c>
    </row>
    <row r="106" spans="1:17" x14ac:dyDescent="0.25">
      <c r="A106">
        <v>105</v>
      </c>
      <c r="B106">
        <v>184</v>
      </c>
      <c r="C106" t="s">
        <v>105</v>
      </c>
      <c r="D106" t="s">
        <v>120</v>
      </c>
      <c r="E106" t="s">
        <v>49</v>
      </c>
      <c r="F106" t="s">
        <v>19</v>
      </c>
      <c r="G106" t="s">
        <v>20</v>
      </c>
      <c r="H106" t="s">
        <v>21</v>
      </c>
      <c r="I106" t="s">
        <v>22</v>
      </c>
      <c r="J106" t="s">
        <v>148</v>
      </c>
      <c r="K106" t="s">
        <v>23</v>
      </c>
      <c r="L106">
        <v>292</v>
      </c>
      <c r="M106">
        <v>15.7153648</v>
      </c>
      <c r="N106">
        <v>294.74069698770438</v>
      </c>
      <c r="O106">
        <v>7.4289683620038763E-4</v>
      </c>
      <c r="P106" s="1" t="str">
        <f>HYPERLINK(".\sm_car_260221_0030\sm_car_260221_0030_105_Ca184TrN_MaWOT_DrSt_ode23t_1.png","figure")</f>
        <v>figure</v>
      </c>
      <c r="Q106" t="s">
        <v>15</v>
      </c>
    </row>
    <row r="107" spans="1:17" x14ac:dyDescent="0.25">
      <c r="A107">
        <v>106</v>
      </c>
      <c r="B107">
        <v>184</v>
      </c>
      <c r="C107" t="s">
        <v>105</v>
      </c>
      <c r="D107" t="s">
        <v>120</v>
      </c>
      <c r="E107" t="s">
        <v>49</v>
      </c>
      <c r="F107" t="s">
        <v>19</v>
      </c>
      <c r="G107" t="s">
        <v>20</v>
      </c>
      <c r="H107" t="s">
        <v>21</v>
      </c>
      <c r="I107" t="s">
        <v>24</v>
      </c>
      <c r="J107" t="s">
        <v>148</v>
      </c>
      <c r="K107" t="s">
        <v>23</v>
      </c>
      <c r="L107">
        <v>455</v>
      </c>
      <c r="M107">
        <v>12.1395597</v>
      </c>
      <c r="N107">
        <v>103.58573313599253</v>
      </c>
      <c r="O107">
        <v>-0.21281535676134566</v>
      </c>
      <c r="P107" s="1" t="str">
        <f>HYPERLINK(".\sm_car_260221_0030\sm_car_260221_0030_106_Ca184TrN_MaLSS_DrSt_ode23t_1.png","figure")</f>
        <v>figure</v>
      </c>
      <c r="Q107" t="s">
        <v>15</v>
      </c>
    </row>
    <row r="108" spans="1:17" x14ac:dyDescent="0.25">
      <c r="A108">
        <v>107</v>
      </c>
      <c r="B108">
        <v>217</v>
      </c>
      <c r="C108" t="s">
        <v>45</v>
      </c>
      <c r="D108" t="s">
        <v>17</v>
      </c>
      <c r="E108" t="s">
        <v>107</v>
      </c>
      <c r="F108" t="s">
        <v>119</v>
      </c>
      <c r="G108" t="s">
        <v>26</v>
      </c>
      <c r="H108" t="s">
        <v>21</v>
      </c>
      <c r="I108" t="s">
        <v>22</v>
      </c>
      <c r="J108" t="s">
        <v>148</v>
      </c>
      <c r="K108" t="s">
        <v>23</v>
      </c>
      <c r="L108">
        <v>698</v>
      </c>
      <c r="M108">
        <v>30.720873699999999</v>
      </c>
      <c r="N108">
        <v>164.98798823835426</v>
      </c>
      <c r="O108">
        <v>0.26536847668186708</v>
      </c>
      <c r="P108" s="1" t="str">
        <f>HYPERLINK(".\sm_car_260221_0030\sm_car_260221_0030_107_Ca217TrN_MaWOT_DrSt_ode23t_1.png","figure")</f>
        <v>figure</v>
      </c>
      <c r="Q108" t="s">
        <v>15</v>
      </c>
    </row>
    <row r="109" spans="1:17" x14ac:dyDescent="0.25">
      <c r="A109">
        <v>108</v>
      </c>
      <c r="B109">
        <v>217</v>
      </c>
      <c r="C109" t="s">
        <v>45</v>
      </c>
      <c r="D109" t="s">
        <v>17</v>
      </c>
      <c r="E109" t="s">
        <v>107</v>
      </c>
      <c r="F109" t="s">
        <v>119</v>
      </c>
      <c r="G109" t="s">
        <v>26</v>
      </c>
      <c r="H109" t="s">
        <v>21</v>
      </c>
      <c r="I109" t="s">
        <v>24</v>
      </c>
      <c r="J109" t="s">
        <v>148</v>
      </c>
      <c r="K109" t="s">
        <v>23</v>
      </c>
      <c r="L109">
        <v>849</v>
      </c>
      <c r="M109">
        <v>41.446675599999999</v>
      </c>
      <c r="N109">
        <v>69.410561218305105</v>
      </c>
      <c r="O109">
        <v>-0.19671567428375347</v>
      </c>
      <c r="P109" s="1" t="str">
        <f>HYPERLINK(".\sm_car_260221_0030\sm_car_260221_0030_108_Ca217TrN_MaLSS_DrSt_ode23t_1.png","figure")</f>
        <v>figure</v>
      </c>
      <c r="Q109" t="s">
        <v>15</v>
      </c>
    </row>
    <row r="110" spans="1:17" x14ac:dyDescent="0.25">
      <c r="A110">
        <v>109</v>
      </c>
      <c r="B110">
        <v>12</v>
      </c>
      <c r="C110" t="s">
        <v>16</v>
      </c>
      <c r="D110" t="s">
        <v>17</v>
      </c>
      <c r="E110" t="s">
        <v>49</v>
      </c>
      <c r="F110" t="s">
        <v>28</v>
      </c>
      <c r="G110" t="s">
        <v>188</v>
      </c>
      <c r="H110" t="s">
        <v>21</v>
      </c>
      <c r="I110" t="s">
        <v>53</v>
      </c>
      <c r="J110" t="s">
        <v>148</v>
      </c>
      <c r="K110" t="s">
        <v>23</v>
      </c>
      <c r="L110">
        <v>859</v>
      </c>
      <c r="M110">
        <v>11.5624562</v>
      </c>
      <c r="N110">
        <v>255.38978732848261</v>
      </c>
      <c r="O110">
        <v>4.0241209167115599E-2</v>
      </c>
      <c r="P110" s="1" t="str">
        <f>HYPERLINK(".\sm_car_260221_0030\sm_car_260221_0030_109_Ca012TrN_MaDLC_DrSt_ode23t_1.png","figure")</f>
        <v>figure</v>
      </c>
      <c r="Q110" t="s">
        <v>15</v>
      </c>
    </row>
    <row r="111" spans="1:17" x14ac:dyDescent="0.25">
      <c r="A111">
        <v>110</v>
      </c>
      <c r="B111">
        <v>12</v>
      </c>
      <c r="C111" t="s">
        <v>16</v>
      </c>
      <c r="D111" t="s">
        <v>17</v>
      </c>
      <c r="E111" t="s">
        <v>49</v>
      </c>
      <c r="F111" t="s">
        <v>28</v>
      </c>
      <c r="G111" t="s">
        <v>188</v>
      </c>
      <c r="H111" t="s">
        <v>21</v>
      </c>
      <c r="I111" t="s">
        <v>54</v>
      </c>
      <c r="J111" t="s">
        <v>148</v>
      </c>
      <c r="K111" t="s">
        <v>23</v>
      </c>
      <c r="L111">
        <v>892</v>
      </c>
      <c r="M111">
        <v>14.3447368</v>
      </c>
      <c r="N111">
        <v>74.405033838650652</v>
      </c>
      <c r="O111">
        <v>0.702081084970264</v>
      </c>
      <c r="P111" s="1" t="str">
        <f>HYPERLINK(".\sm_car_260221_0030\sm_car_260221_0030_110_Ca012TrN_MaIPA_DrSt_ode23t_1.png","figure")</f>
        <v>figure</v>
      </c>
      <c r="Q111" t="s">
        <v>15</v>
      </c>
    </row>
    <row r="112" spans="1:17" x14ac:dyDescent="0.25">
      <c r="A112">
        <v>111</v>
      </c>
      <c r="B112">
        <v>142</v>
      </c>
      <c r="C112" t="s">
        <v>45</v>
      </c>
      <c r="D112" t="s">
        <v>17</v>
      </c>
      <c r="E112" t="s">
        <v>49</v>
      </c>
      <c r="F112" t="s">
        <v>28</v>
      </c>
      <c r="G112" t="s">
        <v>26</v>
      </c>
      <c r="H112" t="s">
        <v>21</v>
      </c>
      <c r="I112" t="s">
        <v>53</v>
      </c>
      <c r="J112" t="s">
        <v>148</v>
      </c>
      <c r="K112" t="s">
        <v>23</v>
      </c>
      <c r="L112">
        <v>970</v>
      </c>
      <c r="M112">
        <v>15.955951900000001</v>
      </c>
      <c r="N112">
        <v>255.24004158172033</v>
      </c>
      <c r="O112">
        <v>-7.0435670150938989E-3</v>
      </c>
      <c r="P112" s="1" t="str">
        <f>HYPERLINK(".\sm_car_260221_0030\sm_car_260221_0030_111_Ca142TrN_MaDLC_DrSt_ode23t_1.png","figure")</f>
        <v>figure</v>
      </c>
      <c r="Q112" t="s">
        <v>15</v>
      </c>
    </row>
    <row r="113" spans="1:17" x14ac:dyDescent="0.25">
      <c r="A113">
        <v>112</v>
      </c>
      <c r="B113">
        <v>142</v>
      </c>
      <c r="C113" t="s">
        <v>45</v>
      </c>
      <c r="D113" t="s">
        <v>17</v>
      </c>
      <c r="E113" t="s">
        <v>49</v>
      </c>
      <c r="F113" t="s">
        <v>28</v>
      </c>
      <c r="G113" t="s">
        <v>26</v>
      </c>
      <c r="H113" t="s">
        <v>21</v>
      </c>
      <c r="I113" t="s">
        <v>54</v>
      </c>
      <c r="J113" t="s">
        <v>148</v>
      </c>
      <c r="K113" t="s">
        <v>23</v>
      </c>
      <c r="L113">
        <v>3107</v>
      </c>
      <c r="M113">
        <v>171.18460719999999</v>
      </c>
      <c r="N113">
        <v>82.501721592045598</v>
      </c>
      <c r="O113">
        <v>0.67660461485853829</v>
      </c>
      <c r="P113" s="1" t="str">
        <f>HYPERLINK(".\sm_car_260221_0030\sm_car_260221_0030_112_Ca142TrN_MaIPA_DrSt_ode23t_1.png","figure")</f>
        <v>figure</v>
      </c>
      <c r="Q113" t="s">
        <v>15</v>
      </c>
    </row>
    <row r="114" spans="1:17" x14ac:dyDescent="0.25">
      <c r="A114">
        <v>113</v>
      </c>
      <c r="B114">
        <v>145</v>
      </c>
      <c r="C114" t="s">
        <v>46</v>
      </c>
      <c r="D114" t="s">
        <v>17</v>
      </c>
      <c r="E114" t="s">
        <v>50</v>
      </c>
      <c r="F114" t="s">
        <v>19</v>
      </c>
      <c r="G114" t="s">
        <v>26</v>
      </c>
      <c r="H114" t="s">
        <v>21</v>
      </c>
      <c r="I114" t="s">
        <v>53</v>
      </c>
      <c r="J114" t="s">
        <v>148</v>
      </c>
      <c r="K114" t="s">
        <v>23</v>
      </c>
      <c r="L114">
        <v>464</v>
      </c>
      <c r="M114">
        <v>16.9403942</v>
      </c>
      <c r="N114">
        <v>253.89788928119884</v>
      </c>
      <c r="O114">
        <v>7.4999592997252229E-2</v>
      </c>
      <c r="P114" s="1" t="str">
        <f>HYPERLINK(".\sm_car_260221_0030\sm_car_260221_0030_113_Ca145TrN_MaDLC_DrSt_ode23t_1.png","figure")</f>
        <v>figure</v>
      </c>
      <c r="Q114" t="s">
        <v>15</v>
      </c>
    </row>
    <row r="115" spans="1:17" x14ac:dyDescent="0.25">
      <c r="A115">
        <v>114</v>
      </c>
      <c r="B115">
        <v>145</v>
      </c>
      <c r="C115" t="s">
        <v>46</v>
      </c>
      <c r="D115" t="s">
        <v>17</v>
      </c>
      <c r="E115" t="s">
        <v>50</v>
      </c>
      <c r="F115" t="s">
        <v>19</v>
      </c>
      <c r="G115" t="s">
        <v>26</v>
      </c>
      <c r="H115" t="s">
        <v>21</v>
      </c>
      <c r="I115" t="s">
        <v>54</v>
      </c>
      <c r="J115" t="s">
        <v>148</v>
      </c>
      <c r="K115" t="s">
        <v>23</v>
      </c>
      <c r="L115">
        <v>307</v>
      </c>
      <c r="M115">
        <v>12.862788800000001</v>
      </c>
      <c r="N115">
        <v>27.998881334011159</v>
      </c>
      <c r="O115">
        <v>1.5718214641137665E-2</v>
      </c>
      <c r="P115" s="1" t="str">
        <f>HYPERLINK(".\sm_car_260221_0030\sm_car_260221_0030_114_Ca145TrN_MaIPA_DrSt_ode23t_1.png","figure")</f>
        <v>figure</v>
      </c>
      <c r="Q115" t="s">
        <v>15</v>
      </c>
    </row>
    <row r="116" spans="1:17" x14ac:dyDescent="0.25">
      <c r="A116">
        <v>115</v>
      </c>
      <c r="B116">
        <v>184</v>
      </c>
      <c r="C116" t="s">
        <v>105</v>
      </c>
      <c r="D116" t="s">
        <v>120</v>
      </c>
      <c r="E116" t="s">
        <v>49</v>
      </c>
      <c r="F116" t="s">
        <v>19</v>
      </c>
      <c r="G116" t="s">
        <v>20</v>
      </c>
      <c r="H116" t="s">
        <v>21</v>
      </c>
      <c r="I116" t="s">
        <v>53</v>
      </c>
      <c r="J116" t="s">
        <v>148</v>
      </c>
      <c r="K116" t="s">
        <v>23</v>
      </c>
      <c r="L116">
        <v>376</v>
      </c>
      <c r="M116">
        <v>11.4759045</v>
      </c>
      <c r="N116">
        <v>256.1292992889621</v>
      </c>
      <c r="O116">
        <v>8.7765826105483669E-3</v>
      </c>
      <c r="P116" s="1" t="str">
        <f>HYPERLINK(".\sm_car_260221_0030\sm_car_260221_0030_115_Ca184TrN_MaDLC_DrSt_ode23t_1.png","figure")</f>
        <v>figure</v>
      </c>
      <c r="Q116" t="s">
        <v>15</v>
      </c>
    </row>
    <row r="117" spans="1:17" x14ac:dyDescent="0.25">
      <c r="A117">
        <v>116</v>
      </c>
      <c r="B117">
        <v>184</v>
      </c>
      <c r="C117" t="s">
        <v>105</v>
      </c>
      <c r="D117" t="s">
        <v>120</v>
      </c>
      <c r="E117" t="s">
        <v>49</v>
      </c>
      <c r="F117" t="s">
        <v>19</v>
      </c>
      <c r="G117" t="s">
        <v>20</v>
      </c>
      <c r="H117" t="s">
        <v>21</v>
      </c>
      <c r="I117" t="s">
        <v>54</v>
      </c>
      <c r="J117" t="s">
        <v>148</v>
      </c>
      <c r="K117" t="s">
        <v>23</v>
      </c>
      <c r="L117">
        <v>317</v>
      </c>
      <c r="M117">
        <v>14.188137899999999</v>
      </c>
      <c r="N117">
        <v>55.270148988381457</v>
      </c>
      <c r="O117">
        <v>5.7326978107924325E-3</v>
      </c>
      <c r="P117" s="1" t="str">
        <f>HYPERLINK(".\sm_car_260221_0030\sm_car_260221_0030_116_Ca184TrN_MaIPA_DrSt_ode23t_1.png","figure")</f>
        <v>figure</v>
      </c>
      <c r="Q117" t="s">
        <v>15</v>
      </c>
    </row>
    <row r="118" spans="1:17" x14ac:dyDescent="0.25">
      <c r="A118">
        <v>117</v>
      </c>
      <c r="B118">
        <v>204</v>
      </c>
      <c r="C118" t="s">
        <v>105</v>
      </c>
      <c r="D118" t="s">
        <v>106</v>
      </c>
      <c r="E118" t="s">
        <v>18</v>
      </c>
      <c r="F118" t="s">
        <v>19</v>
      </c>
      <c r="G118" t="s">
        <v>20</v>
      </c>
      <c r="H118" t="s">
        <v>21</v>
      </c>
      <c r="I118" t="s">
        <v>53</v>
      </c>
      <c r="J118" t="s">
        <v>148</v>
      </c>
      <c r="K118" t="s">
        <v>23</v>
      </c>
      <c r="L118">
        <v>1790</v>
      </c>
      <c r="M118">
        <v>28.132627100000001</v>
      </c>
      <c r="N118">
        <v>254.01044640051271</v>
      </c>
      <c r="O118">
        <v>1.9348336476582517E-2</v>
      </c>
      <c r="P118" s="1" t="str">
        <f>HYPERLINK(".\sm_car_260221_0030\sm_car_260221_0030_117_Ca204TrN_MaDLC_DrSt_ode23t_1.png","figure")</f>
        <v>figure</v>
      </c>
      <c r="Q118" t="s">
        <v>15</v>
      </c>
    </row>
    <row r="119" spans="1:17" x14ac:dyDescent="0.25">
      <c r="A119">
        <v>118</v>
      </c>
      <c r="B119">
        <v>204</v>
      </c>
      <c r="C119" t="s">
        <v>105</v>
      </c>
      <c r="D119" t="s">
        <v>106</v>
      </c>
      <c r="E119" t="s">
        <v>18</v>
      </c>
      <c r="F119" t="s">
        <v>19</v>
      </c>
      <c r="G119" t="s">
        <v>20</v>
      </c>
      <c r="H119" t="s">
        <v>21</v>
      </c>
      <c r="I119" t="s">
        <v>54</v>
      </c>
      <c r="J119" t="s">
        <v>148</v>
      </c>
      <c r="K119" t="s">
        <v>23</v>
      </c>
      <c r="L119">
        <v>704</v>
      </c>
      <c r="M119">
        <v>13.754571</v>
      </c>
      <c r="N119">
        <v>26.038369466422857</v>
      </c>
      <c r="O119">
        <v>9.6441214159081173E-3</v>
      </c>
      <c r="P119" s="1" t="str">
        <f>HYPERLINK(".\sm_car_260221_0030\sm_car_260221_0030_118_Ca204TrN_MaIPA_DrSt_ode23t_1.png","figure")</f>
        <v>figure</v>
      </c>
      <c r="Q119" t="s">
        <v>15</v>
      </c>
    </row>
    <row r="120" spans="1:17" x14ac:dyDescent="0.25">
      <c r="A120">
        <v>119</v>
      </c>
      <c r="B120">
        <v>12</v>
      </c>
      <c r="C120" t="s">
        <v>16</v>
      </c>
      <c r="D120" t="s">
        <v>17</v>
      </c>
      <c r="E120" t="s">
        <v>49</v>
      </c>
      <c r="F120" t="s">
        <v>28</v>
      </c>
      <c r="G120" t="s">
        <v>188</v>
      </c>
      <c r="H120" t="s">
        <v>21</v>
      </c>
      <c r="I120" t="s">
        <v>55</v>
      </c>
      <c r="J120" t="s">
        <v>148</v>
      </c>
      <c r="K120" t="s">
        <v>23</v>
      </c>
      <c r="L120">
        <v>2579</v>
      </c>
      <c r="M120">
        <v>27.0138277</v>
      </c>
      <c r="N120">
        <v>-1.5535072751644549E-2</v>
      </c>
      <c r="O120">
        <v>-0.64601161232637283</v>
      </c>
      <c r="P120" s="1" t="str">
        <f>HYPERLINK(".\sm_car_260221_0030\sm_car_260221_0030_119_Ca012TrN_MaMPK_DrSt_ode23t_1.png","figure")</f>
        <v>figure</v>
      </c>
      <c r="Q120" t="s">
        <v>15</v>
      </c>
    </row>
    <row r="121" spans="1:17" x14ac:dyDescent="0.25">
      <c r="A121">
        <v>120</v>
      </c>
      <c r="B121">
        <v>12</v>
      </c>
      <c r="C121" t="s">
        <v>16</v>
      </c>
      <c r="D121" t="s">
        <v>17</v>
      </c>
      <c r="E121" t="s">
        <v>49</v>
      </c>
      <c r="F121" t="s">
        <v>28</v>
      </c>
      <c r="G121" t="s">
        <v>188</v>
      </c>
      <c r="H121" t="s">
        <v>21</v>
      </c>
      <c r="I121" t="s">
        <v>55</v>
      </c>
      <c r="J121" t="s">
        <v>149</v>
      </c>
      <c r="K121" t="s">
        <v>23</v>
      </c>
      <c r="L121">
        <v>2401</v>
      </c>
      <c r="M121">
        <v>25.396397199999999</v>
      </c>
      <c r="N121">
        <v>-9.3576876739216164E-3</v>
      </c>
      <c r="O121">
        <v>-3.7524624150169425E-2</v>
      </c>
      <c r="P121" s="1" t="str">
        <f>HYPERLINK(".\sm_car_260221_0030\sm_car_260221_0030_120_Ca012TrN_MaMPK_DrSt_ode23t_1.png","figure")</f>
        <v>figure</v>
      </c>
      <c r="Q121" t="s">
        <v>15</v>
      </c>
    </row>
    <row r="122" spans="1:17" x14ac:dyDescent="0.25">
      <c r="A122">
        <v>121</v>
      </c>
      <c r="B122">
        <v>12</v>
      </c>
      <c r="C122" t="s">
        <v>16</v>
      </c>
      <c r="D122" t="s">
        <v>17</v>
      </c>
      <c r="E122" t="s">
        <v>49</v>
      </c>
      <c r="F122" t="s">
        <v>28</v>
      </c>
      <c r="G122" t="s">
        <v>188</v>
      </c>
      <c r="H122" t="s">
        <v>21</v>
      </c>
      <c r="I122" t="s">
        <v>56</v>
      </c>
      <c r="J122" t="s">
        <v>148</v>
      </c>
      <c r="K122" t="s">
        <v>23</v>
      </c>
      <c r="L122">
        <v>2414</v>
      </c>
      <c r="M122">
        <v>24.625295399999999</v>
      </c>
      <c r="N122">
        <v>0.7877851761905923</v>
      </c>
      <c r="O122">
        <v>-0.33088366372090522</v>
      </c>
      <c r="P122" s="1" t="str">
        <f>HYPERLINK(".\sm_car_260221_0030\sm_car_260221_0030_121_Ca012TrN_MaMPC_DrSt_ode23t_1.png","figure")</f>
        <v>figure</v>
      </c>
      <c r="Q122" t="s">
        <v>15</v>
      </c>
    </row>
    <row r="123" spans="1:17" x14ac:dyDescent="0.25">
      <c r="A123">
        <v>122</v>
      </c>
      <c r="B123">
        <v>12</v>
      </c>
      <c r="C123" t="s">
        <v>16</v>
      </c>
      <c r="D123" t="s">
        <v>17</v>
      </c>
      <c r="E123" t="s">
        <v>49</v>
      </c>
      <c r="F123" t="s">
        <v>28</v>
      </c>
      <c r="G123" t="s">
        <v>188</v>
      </c>
      <c r="H123" t="s">
        <v>21</v>
      </c>
      <c r="I123" t="s">
        <v>56</v>
      </c>
      <c r="J123" t="s">
        <v>149</v>
      </c>
      <c r="K123" t="s">
        <v>23</v>
      </c>
      <c r="L123">
        <v>2241</v>
      </c>
      <c r="M123">
        <v>24.166824200000001</v>
      </c>
      <c r="N123">
        <v>0.78901198833632691</v>
      </c>
      <c r="O123">
        <v>0.10467080845013405</v>
      </c>
      <c r="P123" s="1" t="str">
        <f>HYPERLINK(".\sm_car_260221_0030\sm_car_260221_0030_122_Ca012TrN_MaMPC_DrSt_ode23t_1.png","figure")</f>
        <v>figure</v>
      </c>
      <c r="Q123" t="s">
        <v>15</v>
      </c>
    </row>
    <row r="124" spans="1:17" x14ac:dyDescent="0.25">
      <c r="A124">
        <v>123</v>
      </c>
      <c r="B124">
        <v>142</v>
      </c>
      <c r="C124" t="s">
        <v>45</v>
      </c>
      <c r="D124" t="s">
        <v>17</v>
      </c>
      <c r="E124" t="s">
        <v>49</v>
      </c>
      <c r="F124" t="s">
        <v>28</v>
      </c>
      <c r="G124" t="s">
        <v>26</v>
      </c>
      <c r="H124" t="s">
        <v>21</v>
      </c>
      <c r="I124" t="s">
        <v>55</v>
      </c>
      <c r="J124" t="s">
        <v>148</v>
      </c>
      <c r="K124" t="s">
        <v>23</v>
      </c>
      <c r="L124">
        <v>2516</v>
      </c>
      <c r="M124">
        <v>32.841008100000003</v>
      </c>
      <c r="N124">
        <v>-1.8773258589893635E-2</v>
      </c>
      <c r="O124">
        <v>-0.5588749045252811</v>
      </c>
      <c r="P124" s="1" t="str">
        <f>HYPERLINK(".\sm_car_260221_0030\sm_car_260221_0030_123_Ca142TrN_MaMPK_DrSt_ode23t_1.png","figure")</f>
        <v>figure</v>
      </c>
      <c r="Q124" t="s">
        <v>15</v>
      </c>
    </row>
    <row r="125" spans="1:17" x14ac:dyDescent="0.25">
      <c r="A125">
        <v>124</v>
      </c>
      <c r="B125">
        <v>142</v>
      </c>
      <c r="C125" t="s">
        <v>45</v>
      </c>
      <c r="D125" t="s">
        <v>17</v>
      </c>
      <c r="E125" t="s">
        <v>49</v>
      </c>
      <c r="F125" t="s">
        <v>28</v>
      </c>
      <c r="G125" t="s">
        <v>26</v>
      </c>
      <c r="H125" t="s">
        <v>21</v>
      </c>
      <c r="I125" t="s">
        <v>55</v>
      </c>
      <c r="J125" t="s">
        <v>149</v>
      </c>
      <c r="K125" t="s">
        <v>23</v>
      </c>
      <c r="L125">
        <v>2875</v>
      </c>
      <c r="M125">
        <v>31.970127300000001</v>
      </c>
      <c r="N125">
        <v>-1.159906279051405E-2</v>
      </c>
      <c r="O125">
        <v>-8.1459775369514723E-2</v>
      </c>
      <c r="P125" s="1" t="str">
        <f>HYPERLINK(".\sm_car_260221_0030\sm_car_260221_0030_124_Ca142TrN_MaMPK_DrSt_ode23t_1.png","figure")</f>
        <v>figure</v>
      </c>
      <c r="Q125" t="s">
        <v>15</v>
      </c>
    </row>
    <row r="126" spans="1:17" x14ac:dyDescent="0.25">
      <c r="A126">
        <v>125</v>
      </c>
      <c r="B126">
        <v>142</v>
      </c>
      <c r="C126" t="s">
        <v>45</v>
      </c>
      <c r="D126" t="s">
        <v>17</v>
      </c>
      <c r="E126" t="s">
        <v>49</v>
      </c>
      <c r="F126" t="s">
        <v>28</v>
      </c>
      <c r="G126" t="s">
        <v>26</v>
      </c>
      <c r="H126" t="s">
        <v>21</v>
      </c>
      <c r="I126" t="s">
        <v>56</v>
      </c>
      <c r="J126" t="s">
        <v>148</v>
      </c>
      <c r="K126" t="s">
        <v>23</v>
      </c>
      <c r="L126">
        <v>2379</v>
      </c>
      <c r="M126">
        <v>34.801272300000001</v>
      </c>
      <c r="N126">
        <v>0.77841761688337385</v>
      </c>
      <c r="O126">
        <v>-0.37160051398800314</v>
      </c>
      <c r="P126" s="1" t="str">
        <f>HYPERLINK(".\sm_car_260221_0030\sm_car_260221_0030_125_Ca142TrN_MaMPC_DrSt_ode23t_1.png","figure")</f>
        <v>figure</v>
      </c>
      <c r="Q126" t="s">
        <v>15</v>
      </c>
    </row>
    <row r="127" spans="1:17" x14ac:dyDescent="0.25">
      <c r="A127">
        <v>126</v>
      </c>
      <c r="B127">
        <v>142</v>
      </c>
      <c r="C127" t="s">
        <v>45</v>
      </c>
      <c r="D127" t="s">
        <v>17</v>
      </c>
      <c r="E127" t="s">
        <v>49</v>
      </c>
      <c r="F127" t="s">
        <v>28</v>
      </c>
      <c r="G127" t="s">
        <v>26</v>
      </c>
      <c r="H127" t="s">
        <v>21</v>
      </c>
      <c r="I127" t="s">
        <v>56</v>
      </c>
      <c r="J127" t="s">
        <v>149</v>
      </c>
      <c r="K127" t="s">
        <v>23</v>
      </c>
      <c r="L127">
        <v>2785</v>
      </c>
      <c r="M127">
        <v>39.4397248</v>
      </c>
      <c r="N127">
        <v>0.77608801887256362</v>
      </c>
      <c r="O127">
        <v>1.9172283381497804E-2</v>
      </c>
      <c r="P127" s="1" t="str">
        <f>HYPERLINK(".\sm_car_260221_0030\sm_car_260221_0030_126_Ca142TrN_MaMPC_DrSt_ode23t_1.png","figure")</f>
        <v>figure</v>
      </c>
      <c r="Q127" t="s">
        <v>15</v>
      </c>
    </row>
    <row r="128" spans="1:17" x14ac:dyDescent="0.25">
      <c r="A128">
        <v>127</v>
      </c>
      <c r="B128">
        <v>116</v>
      </c>
      <c r="C128" t="s">
        <v>16</v>
      </c>
      <c r="D128" t="s">
        <v>35</v>
      </c>
      <c r="E128" t="s">
        <v>18</v>
      </c>
      <c r="F128" t="s">
        <v>28</v>
      </c>
      <c r="G128" t="s">
        <v>188</v>
      </c>
      <c r="H128" t="s">
        <v>21</v>
      </c>
      <c r="I128" t="s">
        <v>55</v>
      </c>
      <c r="J128" t="s">
        <v>148</v>
      </c>
      <c r="K128" t="s">
        <v>23</v>
      </c>
      <c r="L128">
        <v>2844</v>
      </c>
      <c r="M128">
        <v>12.619077300000001</v>
      </c>
      <c r="N128">
        <v>-1.3631253826489637E-2</v>
      </c>
      <c r="O128">
        <v>-0.54252601575801551</v>
      </c>
      <c r="P128" s="1" t="str">
        <f>HYPERLINK(".\sm_car_260221_0030\sm_car_260221_0030_127_Ca116TrN_MaMPK_DrSt_ode23t_1.png","figure")</f>
        <v>figure</v>
      </c>
      <c r="Q128" t="s">
        <v>15</v>
      </c>
    </row>
    <row r="129" spans="1:17" x14ac:dyDescent="0.25">
      <c r="A129">
        <v>128</v>
      </c>
      <c r="B129">
        <v>116</v>
      </c>
      <c r="C129" t="s">
        <v>16</v>
      </c>
      <c r="D129" t="s">
        <v>35</v>
      </c>
      <c r="E129" t="s">
        <v>18</v>
      </c>
      <c r="F129" t="s">
        <v>28</v>
      </c>
      <c r="G129" t="s">
        <v>188</v>
      </c>
      <c r="H129" t="s">
        <v>21</v>
      </c>
      <c r="I129" t="s">
        <v>55</v>
      </c>
      <c r="J129" t="s">
        <v>149</v>
      </c>
      <c r="K129" t="s">
        <v>23</v>
      </c>
      <c r="L129">
        <v>2775</v>
      </c>
      <c r="M129">
        <v>13.023099999999999</v>
      </c>
      <c r="N129">
        <v>-1.8849442838768535E-2</v>
      </c>
      <c r="O129">
        <v>-0.53577962454098049</v>
      </c>
      <c r="P129" s="1" t="str">
        <f>HYPERLINK(".\sm_car_260221_0030\sm_car_260221_0030_128_Ca116TrN_MaMPK_DrSt_ode23t_1.png","figure")</f>
        <v>figure</v>
      </c>
      <c r="Q129" t="s">
        <v>15</v>
      </c>
    </row>
    <row r="130" spans="1:17" x14ac:dyDescent="0.25">
      <c r="A130">
        <v>129</v>
      </c>
      <c r="B130">
        <v>116</v>
      </c>
      <c r="C130" t="s">
        <v>16</v>
      </c>
      <c r="D130" t="s">
        <v>35</v>
      </c>
      <c r="E130" t="s">
        <v>18</v>
      </c>
      <c r="F130" t="s">
        <v>28</v>
      </c>
      <c r="G130" t="s">
        <v>188</v>
      </c>
      <c r="H130" t="s">
        <v>21</v>
      </c>
      <c r="I130" t="s">
        <v>56</v>
      </c>
      <c r="J130" t="s">
        <v>148</v>
      </c>
      <c r="K130" t="s">
        <v>23</v>
      </c>
      <c r="L130">
        <v>2729</v>
      </c>
      <c r="M130">
        <v>11.785291300000001</v>
      </c>
      <c r="N130">
        <v>0.78783349860022867</v>
      </c>
      <c r="O130">
        <v>-0.36274204669494903</v>
      </c>
      <c r="P130" s="1" t="str">
        <f>HYPERLINK(".\sm_car_260221_0030\sm_car_260221_0030_129_Ca116TrN_MaMPC_DrSt_ode23t_1.png","figure")</f>
        <v>figure</v>
      </c>
      <c r="Q130" t="s">
        <v>15</v>
      </c>
    </row>
    <row r="131" spans="1:17" x14ac:dyDescent="0.25">
      <c r="A131">
        <v>130</v>
      </c>
      <c r="B131">
        <v>116</v>
      </c>
      <c r="C131" t="s">
        <v>16</v>
      </c>
      <c r="D131" t="s">
        <v>35</v>
      </c>
      <c r="E131" t="s">
        <v>18</v>
      </c>
      <c r="F131" t="s">
        <v>28</v>
      </c>
      <c r="G131" t="s">
        <v>188</v>
      </c>
      <c r="H131" t="s">
        <v>21</v>
      </c>
      <c r="I131" t="s">
        <v>56</v>
      </c>
      <c r="J131" t="s">
        <v>149</v>
      </c>
      <c r="K131" t="s">
        <v>23</v>
      </c>
      <c r="L131">
        <v>2610</v>
      </c>
      <c r="M131">
        <v>11.7785049</v>
      </c>
      <c r="N131">
        <v>0.78855520247341993</v>
      </c>
      <c r="O131">
        <v>0.44069597343998751</v>
      </c>
      <c r="P131" s="1" t="str">
        <f>HYPERLINK(".\sm_car_260221_0030\sm_car_260221_0030_130_Ca116TrN_MaMPC_DrSt_ode23t_1.png","figure")</f>
        <v>figure</v>
      </c>
      <c r="Q131" t="s">
        <v>15</v>
      </c>
    </row>
    <row r="132" spans="1:17" x14ac:dyDescent="0.25">
      <c r="A132">
        <v>131</v>
      </c>
      <c r="B132">
        <v>143</v>
      </c>
      <c r="C132" t="s">
        <v>46</v>
      </c>
      <c r="D132" t="s">
        <v>17</v>
      </c>
      <c r="E132" t="s">
        <v>47</v>
      </c>
      <c r="F132" t="s">
        <v>19</v>
      </c>
      <c r="G132" t="s">
        <v>26</v>
      </c>
      <c r="H132" t="s">
        <v>21</v>
      </c>
      <c r="I132" t="s">
        <v>55</v>
      </c>
      <c r="J132" t="s">
        <v>148</v>
      </c>
      <c r="K132" t="s">
        <v>23</v>
      </c>
      <c r="L132">
        <v>2446</v>
      </c>
      <c r="M132">
        <v>48.726916899999999</v>
      </c>
      <c r="N132">
        <v>8.7723116759506892E-4</v>
      </c>
      <c r="O132">
        <v>-0.40385323425565295</v>
      </c>
      <c r="P132" s="1" t="str">
        <f>HYPERLINK(".\sm_car_260221_0030\sm_car_260221_0030_131_Ca143TrN_MaMPK_DrSt_ode23t_1.png","figure")</f>
        <v>figure</v>
      </c>
      <c r="Q132" t="s">
        <v>15</v>
      </c>
    </row>
    <row r="133" spans="1:17" x14ac:dyDescent="0.25">
      <c r="A133">
        <v>132</v>
      </c>
      <c r="B133">
        <v>143</v>
      </c>
      <c r="C133" t="s">
        <v>46</v>
      </c>
      <c r="D133" t="s">
        <v>17</v>
      </c>
      <c r="E133" t="s">
        <v>47</v>
      </c>
      <c r="F133" t="s">
        <v>19</v>
      </c>
      <c r="G133" t="s">
        <v>26</v>
      </c>
      <c r="H133" t="s">
        <v>21</v>
      </c>
      <c r="I133" t="s">
        <v>55</v>
      </c>
      <c r="J133" t="s">
        <v>149</v>
      </c>
      <c r="K133" t="s">
        <v>23</v>
      </c>
      <c r="L133">
        <v>2204</v>
      </c>
      <c r="M133">
        <v>44.633137300000001</v>
      </c>
      <c r="N133">
        <v>-1.1336251382628129E-2</v>
      </c>
      <c r="O133">
        <v>-9.0061627724928636E-2</v>
      </c>
      <c r="P133" s="1" t="str">
        <f>HYPERLINK(".\sm_car_260221_0030\sm_car_260221_0030_132_Ca143TrN_MaMPK_DrSt_ode23t_1.png","figure")</f>
        <v>figure</v>
      </c>
      <c r="Q133" t="s">
        <v>15</v>
      </c>
    </row>
    <row r="134" spans="1:17" x14ac:dyDescent="0.25">
      <c r="A134">
        <v>133</v>
      </c>
      <c r="B134">
        <v>143</v>
      </c>
      <c r="C134" t="s">
        <v>46</v>
      </c>
      <c r="D134" t="s">
        <v>17</v>
      </c>
      <c r="E134" t="s">
        <v>47</v>
      </c>
      <c r="F134" t="s">
        <v>19</v>
      </c>
      <c r="G134" t="s">
        <v>26</v>
      </c>
      <c r="H134" t="s">
        <v>21</v>
      </c>
      <c r="I134" t="s">
        <v>56</v>
      </c>
      <c r="J134" t="s">
        <v>148</v>
      </c>
      <c r="K134" t="s">
        <v>23</v>
      </c>
      <c r="L134">
        <v>2361</v>
      </c>
      <c r="M134">
        <v>50.2685295</v>
      </c>
      <c r="N134">
        <v>0.75555819239843558</v>
      </c>
      <c r="O134">
        <v>-0.27232873221484516</v>
      </c>
      <c r="P134" s="1" t="str">
        <f>HYPERLINK(".\sm_car_260221_0030\sm_car_260221_0030_133_Ca143TrN_MaMPC_DrSt_ode23t_1.png","figure")</f>
        <v>figure</v>
      </c>
      <c r="Q134" t="s">
        <v>15</v>
      </c>
    </row>
    <row r="135" spans="1:17" x14ac:dyDescent="0.25">
      <c r="A135">
        <v>134</v>
      </c>
      <c r="B135">
        <v>143</v>
      </c>
      <c r="C135" t="s">
        <v>46</v>
      </c>
      <c r="D135" t="s">
        <v>17</v>
      </c>
      <c r="E135" t="s">
        <v>47</v>
      </c>
      <c r="F135" t="s">
        <v>19</v>
      </c>
      <c r="G135" t="s">
        <v>26</v>
      </c>
      <c r="H135" t="s">
        <v>21</v>
      </c>
      <c r="I135" t="s">
        <v>56</v>
      </c>
      <c r="J135" t="s">
        <v>149</v>
      </c>
      <c r="K135" t="s">
        <v>23</v>
      </c>
      <c r="L135">
        <v>2123</v>
      </c>
      <c r="M135">
        <v>50.556569799999998</v>
      </c>
      <c r="N135">
        <v>0.78685958202550665</v>
      </c>
      <c r="O135">
        <v>-0.15518440758868812</v>
      </c>
      <c r="P135" s="1" t="str">
        <f>HYPERLINK(".\sm_car_260221_0030\sm_car_260221_0030_134_Ca143TrN_MaMPC_DrSt_ode23t_1.png","figure")</f>
        <v>figure</v>
      </c>
      <c r="Q135" t="s">
        <v>15</v>
      </c>
    </row>
    <row r="136" spans="1:17" x14ac:dyDescent="0.25">
      <c r="A136">
        <v>135</v>
      </c>
      <c r="B136">
        <v>166</v>
      </c>
      <c r="C136" t="s">
        <v>45</v>
      </c>
      <c r="D136" t="s">
        <v>57</v>
      </c>
      <c r="E136" t="s">
        <v>18</v>
      </c>
      <c r="F136" t="s">
        <v>19</v>
      </c>
      <c r="G136" t="s">
        <v>26</v>
      </c>
      <c r="H136" t="s">
        <v>21</v>
      </c>
      <c r="I136" t="s">
        <v>55</v>
      </c>
      <c r="J136" t="s">
        <v>148</v>
      </c>
      <c r="K136" t="s">
        <v>23</v>
      </c>
      <c r="L136">
        <v>3168</v>
      </c>
      <c r="M136">
        <v>50.977131999999997</v>
      </c>
      <c r="N136">
        <v>-1.9577271073547037E-2</v>
      </c>
      <c r="O136">
        <v>-0.57008823397657438</v>
      </c>
      <c r="P136" s="1" t="str">
        <f>HYPERLINK(".\sm_car_260221_0030\sm_car_260221_0030_135_Ca166TrN_MaMPK_DrSt_ode23t_1.png","figure")</f>
        <v>figure</v>
      </c>
      <c r="Q136" t="s">
        <v>15</v>
      </c>
    </row>
    <row r="137" spans="1:17" x14ac:dyDescent="0.25">
      <c r="A137">
        <v>136</v>
      </c>
      <c r="B137">
        <v>166</v>
      </c>
      <c r="C137" t="s">
        <v>45</v>
      </c>
      <c r="D137" t="s">
        <v>57</v>
      </c>
      <c r="E137" t="s">
        <v>18</v>
      </c>
      <c r="F137" t="s">
        <v>19</v>
      </c>
      <c r="G137" t="s">
        <v>26</v>
      </c>
      <c r="H137" t="s">
        <v>21</v>
      </c>
      <c r="I137" t="s">
        <v>55</v>
      </c>
      <c r="J137" t="s">
        <v>149</v>
      </c>
      <c r="K137" t="s">
        <v>23</v>
      </c>
      <c r="L137">
        <v>3732</v>
      </c>
      <c r="M137">
        <v>52.9899396</v>
      </c>
      <c r="N137">
        <v>-1.0587552871170317E-2</v>
      </c>
      <c r="O137">
        <v>-8.5276152457140472E-2</v>
      </c>
      <c r="P137" s="1" t="str">
        <f>HYPERLINK(".\sm_car_260221_0030\sm_car_260221_0030_136_Ca166TrN_MaMPK_DrSt_ode23t_1.png","figure")</f>
        <v>figure</v>
      </c>
      <c r="Q137" t="s">
        <v>15</v>
      </c>
    </row>
    <row r="138" spans="1:17" x14ac:dyDescent="0.25">
      <c r="A138">
        <v>137</v>
      </c>
      <c r="B138">
        <v>166</v>
      </c>
      <c r="C138" t="s">
        <v>45</v>
      </c>
      <c r="D138" t="s">
        <v>57</v>
      </c>
      <c r="E138" t="s">
        <v>18</v>
      </c>
      <c r="F138" t="s">
        <v>19</v>
      </c>
      <c r="G138" t="s">
        <v>26</v>
      </c>
      <c r="H138" t="s">
        <v>21</v>
      </c>
      <c r="I138" t="s">
        <v>56</v>
      </c>
      <c r="J138" t="s">
        <v>148</v>
      </c>
      <c r="K138" t="s">
        <v>23</v>
      </c>
      <c r="L138">
        <v>2990</v>
      </c>
      <c r="M138">
        <v>54.030344399999997</v>
      </c>
      <c r="N138">
        <v>0.78721314524198327</v>
      </c>
      <c r="O138">
        <v>-0.36287881272374184</v>
      </c>
      <c r="P138" s="1" t="str">
        <f>HYPERLINK(".\sm_car_260221_0030\sm_car_260221_0030_137_Ca166TrN_MaMPC_DrSt_ode23t_1.png","figure")</f>
        <v>figure</v>
      </c>
      <c r="Q138" t="s">
        <v>15</v>
      </c>
    </row>
    <row r="139" spans="1:17" x14ac:dyDescent="0.25">
      <c r="A139">
        <v>138</v>
      </c>
      <c r="B139">
        <v>166</v>
      </c>
      <c r="C139" t="s">
        <v>45</v>
      </c>
      <c r="D139" t="s">
        <v>57</v>
      </c>
      <c r="E139" t="s">
        <v>18</v>
      </c>
      <c r="F139" t="s">
        <v>19</v>
      </c>
      <c r="G139" t="s">
        <v>26</v>
      </c>
      <c r="H139" t="s">
        <v>21</v>
      </c>
      <c r="I139" t="s">
        <v>56</v>
      </c>
      <c r="J139" t="s">
        <v>149</v>
      </c>
      <c r="K139" t="s">
        <v>23</v>
      </c>
      <c r="L139">
        <v>3439</v>
      </c>
      <c r="M139">
        <v>51.141131899999998</v>
      </c>
      <c r="N139">
        <v>0.78790791397974758</v>
      </c>
      <c r="O139">
        <v>2.4067835742043801E-2</v>
      </c>
      <c r="P139" s="1" t="str">
        <f>HYPERLINK(".\sm_car_260221_0030\sm_car_260221_0030_138_Ca166TrN_MaMPC_DrSt_ode23t_1.png","figure")</f>
        <v>figure</v>
      </c>
      <c r="Q139" t="s">
        <v>15</v>
      </c>
    </row>
    <row r="140" spans="1:17" x14ac:dyDescent="0.25">
      <c r="A140">
        <v>139</v>
      </c>
      <c r="B140">
        <v>169</v>
      </c>
      <c r="C140" t="s">
        <v>45</v>
      </c>
      <c r="D140" t="s">
        <v>58</v>
      </c>
      <c r="E140" t="s">
        <v>49</v>
      </c>
      <c r="F140" t="s">
        <v>19</v>
      </c>
      <c r="G140" t="s">
        <v>26</v>
      </c>
      <c r="H140" t="s">
        <v>21</v>
      </c>
      <c r="I140" t="s">
        <v>55</v>
      </c>
      <c r="J140" t="s">
        <v>148</v>
      </c>
      <c r="K140" t="s">
        <v>23</v>
      </c>
      <c r="L140">
        <v>3179</v>
      </c>
      <c r="M140">
        <v>49.415030600000001</v>
      </c>
      <c r="N140">
        <v>-1.9109556856405197E-2</v>
      </c>
      <c r="O140">
        <v>-0.57088527551769253</v>
      </c>
      <c r="P140" s="1" t="str">
        <f>HYPERLINK(".\sm_car_260221_0030\sm_car_260221_0030_139_Ca169TrN_MaMPK_DrSt_ode23t_1.png","figure")</f>
        <v>figure</v>
      </c>
      <c r="Q140" t="s">
        <v>15</v>
      </c>
    </row>
    <row r="141" spans="1:17" x14ac:dyDescent="0.25">
      <c r="A141">
        <v>140</v>
      </c>
      <c r="B141">
        <v>169</v>
      </c>
      <c r="C141" t="s">
        <v>45</v>
      </c>
      <c r="D141" t="s">
        <v>58</v>
      </c>
      <c r="E141" t="s">
        <v>49</v>
      </c>
      <c r="F141" t="s">
        <v>19</v>
      </c>
      <c r="G141" t="s">
        <v>26</v>
      </c>
      <c r="H141" t="s">
        <v>21</v>
      </c>
      <c r="I141" t="s">
        <v>55</v>
      </c>
      <c r="J141" t="s">
        <v>149</v>
      </c>
      <c r="K141" t="s">
        <v>23</v>
      </c>
      <c r="L141">
        <v>3753</v>
      </c>
      <c r="M141">
        <v>52.649995799999999</v>
      </c>
      <c r="N141">
        <v>-9.8454873720921626E-3</v>
      </c>
      <c r="O141">
        <v>-8.5036317903853451E-2</v>
      </c>
      <c r="P141" s="1" t="str">
        <f>HYPERLINK(".\sm_car_260221_0030\sm_car_260221_0030_140_Ca169TrN_MaMPK_DrSt_ode23t_1.png","figure")</f>
        <v>figure</v>
      </c>
      <c r="Q141" t="s">
        <v>15</v>
      </c>
    </row>
    <row r="142" spans="1:17" x14ac:dyDescent="0.25">
      <c r="A142">
        <v>141</v>
      </c>
      <c r="B142">
        <v>169</v>
      </c>
      <c r="C142" t="s">
        <v>45</v>
      </c>
      <c r="D142" t="s">
        <v>58</v>
      </c>
      <c r="E142" t="s">
        <v>49</v>
      </c>
      <c r="F142" t="s">
        <v>19</v>
      </c>
      <c r="G142" t="s">
        <v>26</v>
      </c>
      <c r="H142" t="s">
        <v>21</v>
      </c>
      <c r="I142" t="s">
        <v>56</v>
      </c>
      <c r="J142" t="s">
        <v>148</v>
      </c>
      <c r="K142" t="s">
        <v>23</v>
      </c>
      <c r="L142">
        <v>2923</v>
      </c>
      <c r="M142">
        <v>45.601085099999999</v>
      </c>
      <c r="N142">
        <v>0.7779027328539847</v>
      </c>
      <c r="O142">
        <v>-0.3622715722499395</v>
      </c>
      <c r="P142" s="1" t="str">
        <f>HYPERLINK(".\sm_car_260221_0030\sm_car_260221_0030_141_Ca169TrN_MaMPC_DrSt_ode23t_1.png","figure")</f>
        <v>figure</v>
      </c>
      <c r="Q142" t="s">
        <v>15</v>
      </c>
    </row>
    <row r="143" spans="1:17" x14ac:dyDescent="0.25">
      <c r="A143">
        <v>142</v>
      </c>
      <c r="B143">
        <v>169</v>
      </c>
      <c r="C143" t="s">
        <v>45</v>
      </c>
      <c r="D143" t="s">
        <v>58</v>
      </c>
      <c r="E143" t="s">
        <v>49</v>
      </c>
      <c r="F143" t="s">
        <v>19</v>
      </c>
      <c r="G143" t="s">
        <v>26</v>
      </c>
      <c r="H143" t="s">
        <v>21</v>
      </c>
      <c r="I143" t="s">
        <v>56</v>
      </c>
      <c r="J143" t="s">
        <v>149</v>
      </c>
      <c r="K143" t="s">
        <v>23</v>
      </c>
      <c r="L143">
        <v>3396</v>
      </c>
      <c r="M143">
        <v>47.7719922</v>
      </c>
      <c r="N143">
        <v>0.78826830741315845</v>
      </c>
      <c r="O143">
        <v>2.5161670182697052E-2</v>
      </c>
      <c r="P143" s="1" t="str">
        <f>HYPERLINK(".\sm_car_260221_0030\sm_car_260221_0030_142_Ca169TrN_MaMPC_DrSt_ode23t_1.png","figure")</f>
        <v>figure</v>
      </c>
      <c r="Q143" t="s">
        <v>15</v>
      </c>
    </row>
    <row r="144" spans="1:17" x14ac:dyDescent="0.25">
      <c r="A144">
        <v>143</v>
      </c>
      <c r="B144">
        <v>184</v>
      </c>
      <c r="C144" t="s">
        <v>105</v>
      </c>
      <c r="D144" t="s">
        <v>120</v>
      </c>
      <c r="E144" t="s">
        <v>49</v>
      </c>
      <c r="F144" t="s">
        <v>19</v>
      </c>
      <c r="G144" t="s">
        <v>20</v>
      </c>
      <c r="H144" t="s">
        <v>21</v>
      </c>
      <c r="I144" t="s">
        <v>55</v>
      </c>
      <c r="J144" t="s">
        <v>148</v>
      </c>
      <c r="K144" t="s">
        <v>23</v>
      </c>
      <c r="L144">
        <v>2228</v>
      </c>
      <c r="M144">
        <v>54.011746299999999</v>
      </c>
      <c r="N144">
        <v>-2.2765308270851423E-2</v>
      </c>
      <c r="O144">
        <v>-0.74273008623833259</v>
      </c>
      <c r="P144" s="1" t="str">
        <f>HYPERLINK(".\sm_car_260221_0030\sm_car_260221_0030_143_Ca184TrN_MaMPK_DrSt_ode23t_1.png","figure")</f>
        <v>figure</v>
      </c>
      <c r="Q144" t="s">
        <v>15</v>
      </c>
    </row>
    <row r="145" spans="1:17" x14ac:dyDescent="0.25">
      <c r="A145">
        <v>144</v>
      </c>
      <c r="B145">
        <v>184</v>
      </c>
      <c r="C145" t="s">
        <v>105</v>
      </c>
      <c r="D145" t="s">
        <v>120</v>
      </c>
      <c r="E145" t="s">
        <v>49</v>
      </c>
      <c r="F145" t="s">
        <v>19</v>
      </c>
      <c r="G145" t="s">
        <v>20</v>
      </c>
      <c r="H145" t="s">
        <v>21</v>
      </c>
      <c r="I145" t="s">
        <v>55</v>
      </c>
      <c r="J145" t="s">
        <v>149</v>
      </c>
      <c r="K145" t="s">
        <v>23</v>
      </c>
      <c r="L145">
        <v>2313</v>
      </c>
      <c r="M145">
        <v>55.387175200000001</v>
      </c>
      <c r="N145">
        <v>-3.9944310284014267E-3</v>
      </c>
      <c r="O145">
        <v>-3.0387530253784427E-2</v>
      </c>
      <c r="P145" s="1" t="str">
        <f>HYPERLINK(".\sm_car_260221_0030\sm_car_260221_0030_144_Ca184TrN_MaMPK_DrSt_ode23t_1.png","figure")</f>
        <v>figure</v>
      </c>
      <c r="Q145" t="s">
        <v>15</v>
      </c>
    </row>
    <row r="146" spans="1:17" x14ac:dyDescent="0.25">
      <c r="A146">
        <v>145</v>
      </c>
      <c r="B146">
        <v>184</v>
      </c>
      <c r="C146" t="s">
        <v>105</v>
      </c>
      <c r="D146" t="s">
        <v>120</v>
      </c>
      <c r="E146" t="s">
        <v>49</v>
      </c>
      <c r="F146" t="s">
        <v>19</v>
      </c>
      <c r="G146" t="s">
        <v>20</v>
      </c>
      <c r="H146" t="s">
        <v>21</v>
      </c>
      <c r="I146" t="s">
        <v>56</v>
      </c>
      <c r="J146" t="s">
        <v>148</v>
      </c>
      <c r="K146" t="s">
        <v>23</v>
      </c>
      <c r="L146">
        <v>2065</v>
      </c>
      <c r="M146">
        <v>53.276364800000003</v>
      </c>
      <c r="N146">
        <v>0.78898167661553664</v>
      </c>
      <c r="O146">
        <v>-0.33803637561056732</v>
      </c>
      <c r="P146" s="1" t="str">
        <f>HYPERLINK(".\sm_car_260221_0030\sm_car_260221_0030_145_Ca184TrN_MaMPC_DrSt_ode23t_1.png","figure")</f>
        <v>figure</v>
      </c>
      <c r="Q146" t="s">
        <v>15</v>
      </c>
    </row>
    <row r="147" spans="1:17" x14ac:dyDescent="0.25">
      <c r="A147">
        <v>146</v>
      </c>
      <c r="B147">
        <v>184</v>
      </c>
      <c r="C147" t="s">
        <v>105</v>
      </c>
      <c r="D147" t="s">
        <v>120</v>
      </c>
      <c r="E147" t="s">
        <v>49</v>
      </c>
      <c r="F147" t="s">
        <v>19</v>
      </c>
      <c r="G147" t="s">
        <v>20</v>
      </c>
      <c r="H147" t="s">
        <v>21</v>
      </c>
      <c r="I147" t="s">
        <v>56</v>
      </c>
      <c r="J147" t="s">
        <v>149</v>
      </c>
      <c r="K147" t="s">
        <v>23</v>
      </c>
      <c r="L147">
        <v>2045</v>
      </c>
      <c r="M147">
        <v>53.240426599999999</v>
      </c>
      <c r="N147">
        <v>0.78922749587765217</v>
      </c>
      <c r="O147">
        <v>-8.2597850025079717E-2</v>
      </c>
      <c r="P147" s="1" t="str">
        <f>HYPERLINK(".\sm_car_260221_0030\sm_car_260221_0030_146_Ca184TrN_MaMPC_DrSt_ode23t_1.png","figure")</f>
        <v>figure</v>
      </c>
      <c r="Q147" t="s">
        <v>15</v>
      </c>
    </row>
    <row r="148" spans="1:17" x14ac:dyDescent="0.25">
      <c r="A148">
        <v>147</v>
      </c>
      <c r="B148">
        <v>195</v>
      </c>
      <c r="C148" t="s">
        <v>45</v>
      </c>
      <c r="D148" t="s">
        <v>58</v>
      </c>
      <c r="E148" t="s">
        <v>107</v>
      </c>
      <c r="F148" t="s">
        <v>19</v>
      </c>
      <c r="G148" t="s">
        <v>26</v>
      </c>
      <c r="H148" t="s">
        <v>21</v>
      </c>
      <c r="I148" t="s">
        <v>55</v>
      </c>
      <c r="J148" t="s">
        <v>148</v>
      </c>
      <c r="K148" t="s">
        <v>23</v>
      </c>
      <c r="L148">
        <v>3165</v>
      </c>
      <c r="M148">
        <v>46.027733099999999</v>
      </c>
      <c r="N148">
        <v>-1.6755827991095998E-2</v>
      </c>
      <c r="O148">
        <v>-0.57095076637799236</v>
      </c>
      <c r="P148" s="1" t="str">
        <f>HYPERLINK(".\sm_car_260221_0030\sm_car_260221_0030_147_Ca195TrN_MaMPK_DrSt_ode23t_1.png","figure")</f>
        <v>figure</v>
      </c>
      <c r="Q148" t="s">
        <v>15</v>
      </c>
    </row>
    <row r="149" spans="1:17" x14ac:dyDescent="0.25">
      <c r="A149">
        <v>148</v>
      </c>
      <c r="B149">
        <v>195</v>
      </c>
      <c r="C149" t="s">
        <v>45</v>
      </c>
      <c r="D149" t="s">
        <v>58</v>
      </c>
      <c r="E149" t="s">
        <v>107</v>
      </c>
      <c r="F149" t="s">
        <v>19</v>
      </c>
      <c r="G149" t="s">
        <v>26</v>
      </c>
      <c r="H149" t="s">
        <v>21</v>
      </c>
      <c r="I149" t="s">
        <v>55</v>
      </c>
      <c r="J149" t="s">
        <v>149</v>
      </c>
      <c r="K149" t="s">
        <v>23</v>
      </c>
      <c r="L149">
        <v>3762</v>
      </c>
      <c r="M149">
        <v>48.920553099999999</v>
      </c>
      <c r="N149">
        <v>-1.034366267239907E-2</v>
      </c>
      <c r="O149">
        <v>-8.4976640570051831E-2</v>
      </c>
      <c r="P149" s="1" t="str">
        <f>HYPERLINK(".\sm_car_260221_0030\sm_car_260221_0030_148_Ca195TrN_MaMPK_DrSt_ode23t_1.png","figure")</f>
        <v>figure</v>
      </c>
      <c r="Q149" t="s">
        <v>15</v>
      </c>
    </row>
    <row r="150" spans="1:17" x14ac:dyDescent="0.25">
      <c r="A150">
        <v>149</v>
      </c>
      <c r="B150">
        <v>195</v>
      </c>
      <c r="C150" t="s">
        <v>45</v>
      </c>
      <c r="D150" t="s">
        <v>58</v>
      </c>
      <c r="E150" t="s">
        <v>107</v>
      </c>
      <c r="F150" t="s">
        <v>19</v>
      </c>
      <c r="G150" t="s">
        <v>26</v>
      </c>
      <c r="H150" t="s">
        <v>21</v>
      </c>
      <c r="I150" t="s">
        <v>56</v>
      </c>
      <c r="J150" t="s">
        <v>148</v>
      </c>
      <c r="K150" t="s">
        <v>23</v>
      </c>
      <c r="L150">
        <v>2925</v>
      </c>
      <c r="M150">
        <v>42.336713899999999</v>
      </c>
      <c r="N150">
        <v>0.78844121301401238</v>
      </c>
      <c r="O150">
        <v>-0.36240338961962304</v>
      </c>
      <c r="P150" s="1" t="str">
        <f>HYPERLINK(".\sm_car_260221_0030\sm_car_260221_0030_149_Ca195TrN_MaMPC_DrSt_ode23t_1.png","figure")</f>
        <v>figure</v>
      </c>
      <c r="Q150" t="s">
        <v>15</v>
      </c>
    </row>
    <row r="151" spans="1:17" x14ac:dyDescent="0.25">
      <c r="A151">
        <v>150</v>
      </c>
      <c r="B151">
        <v>195</v>
      </c>
      <c r="C151" t="s">
        <v>45</v>
      </c>
      <c r="D151" t="s">
        <v>58</v>
      </c>
      <c r="E151" t="s">
        <v>107</v>
      </c>
      <c r="F151" t="s">
        <v>19</v>
      </c>
      <c r="G151" t="s">
        <v>26</v>
      </c>
      <c r="H151" t="s">
        <v>21</v>
      </c>
      <c r="I151" t="s">
        <v>56</v>
      </c>
      <c r="J151" t="s">
        <v>149</v>
      </c>
      <c r="K151" t="s">
        <v>23</v>
      </c>
      <c r="L151">
        <v>3367</v>
      </c>
      <c r="M151">
        <v>45.934059599999998</v>
      </c>
      <c r="N151">
        <v>0.78396649937352159</v>
      </c>
      <c r="O151">
        <v>2.5203998168059214E-2</v>
      </c>
      <c r="P151" s="1" t="str">
        <f>HYPERLINK(".\sm_car_260221_0030\sm_car_260221_0030_150_Ca195TrN_MaMPC_DrSt_ode23t_1.png","figure")</f>
        <v>figure</v>
      </c>
      <c r="Q151" t="s">
        <v>15</v>
      </c>
    </row>
    <row r="152" spans="1:17" x14ac:dyDescent="0.25">
      <c r="A152">
        <v>151</v>
      </c>
      <c r="B152">
        <v>198</v>
      </c>
      <c r="C152" t="s">
        <v>105</v>
      </c>
      <c r="D152" t="s">
        <v>120</v>
      </c>
      <c r="E152" t="s">
        <v>107</v>
      </c>
      <c r="F152" t="s">
        <v>19</v>
      </c>
      <c r="G152" t="s">
        <v>20</v>
      </c>
      <c r="H152" t="s">
        <v>21</v>
      </c>
      <c r="I152" t="s">
        <v>55</v>
      </c>
      <c r="J152" t="s">
        <v>148</v>
      </c>
      <c r="K152" t="s">
        <v>23</v>
      </c>
      <c r="L152">
        <v>2306</v>
      </c>
      <c r="M152">
        <v>32.821904500000002</v>
      </c>
      <c r="N152">
        <v>-1.6599392250652642E-2</v>
      </c>
      <c r="O152">
        <v>-0.74296658255971149</v>
      </c>
      <c r="P152" s="1" t="str">
        <f>HYPERLINK(".\sm_car_260221_0030\sm_car_260221_0030_151_Ca198TrN_MaMPK_DrSt_ode23t_1.png","figure")</f>
        <v>figure</v>
      </c>
      <c r="Q152" t="s">
        <v>15</v>
      </c>
    </row>
    <row r="153" spans="1:17" x14ac:dyDescent="0.25">
      <c r="A153">
        <v>152</v>
      </c>
      <c r="B153">
        <v>198</v>
      </c>
      <c r="C153" t="s">
        <v>105</v>
      </c>
      <c r="D153" t="s">
        <v>120</v>
      </c>
      <c r="E153" t="s">
        <v>107</v>
      </c>
      <c r="F153" t="s">
        <v>19</v>
      </c>
      <c r="G153" t="s">
        <v>20</v>
      </c>
      <c r="H153" t="s">
        <v>21</v>
      </c>
      <c r="I153" t="s">
        <v>55</v>
      </c>
      <c r="J153" t="s">
        <v>149</v>
      </c>
      <c r="K153" t="s">
        <v>23</v>
      </c>
      <c r="L153">
        <v>2581</v>
      </c>
      <c r="M153">
        <v>37.539702400000003</v>
      </c>
      <c r="N153">
        <v>-1.0368847326860747E-2</v>
      </c>
      <c r="O153">
        <v>-3.0423373671222484E-2</v>
      </c>
      <c r="P153" s="1" t="str">
        <f>HYPERLINK(".\sm_car_260221_0030\sm_car_260221_0030_152_Ca198TrN_MaMPK_DrSt_ode23t_1.png","figure")</f>
        <v>figure</v>
      </c>
      <c r="Q153" t="s">
        <v>15</v>
      </c>
    </row>
    <row r="154" spans="1:17" x14ac:dyDescent="0.25">
      <c r="A154">
        <v>153</v>
      </c>
      <c r="B154">
        <v>198</v>
      </c>
      <c r="C154" t="s">
        <v>105</v>
      </c>
      <c r="D154" t="s">
        <v>120</v>
      </c>
      <c r="E154" t="s">
        <v>107</v>
      </c>
      <c r="F154" t="s">
        <v>19</v>
      </c>
      <c r="G154" t="s">
        <v>20</v>
      </c>
      <c r="H154" t="s">
        <v>21</v>
      </c>
      <c r="I154" t="s">
        <v>56</v>
      </c>
      <c r="J154" t="s">
        <v>148</v>
      </c>
      <c r="K154" t="s">
        <v>23</v>
      </c>
      <c r="L154">
        <v>2076</v>
      </c>
      <c r="M154">
        <v>32.613691299999999</v>
      </c>
      <c r="N154">
        <v>0.78794968492197803</v>
      </c>
      <c r="O154">
        <v>-0.33802440855554472</v>
      </c>
      <c r="P154" s="1" t="str">
        <f>HYPERLINK(".\sm_car_260221_0030\sm_car_260221_0030_153_Ca198TrN_MaMPC_DrSt_ode23t_1.png","figure")</f>
        <v>figure</v>
      </c>
      <c r="Q154" t="s">
        <v>15</v>
      </c>
    </row>
    <row r="155" spans="1:17" x14ac:dyDescent="0.25">
      <c r="A155">
        <v>154</v>
      </c>
      <c r="B155">
        <v>198</v>
      </c>
      <c r="C155" t="s">
        <v>105</v>
      </c>
      <c r="D155" t="s">
        <v>120</v>
      </c>
      <c r="E155" t="s">
        <v>107</v>
      </c>
      <c r="F155" t="s">
        <v>19</v>
      </c>
      <c r="G155" t="s">
        <v>20</v>
      </c>
      <c r="H155" t="s">
        <v>21</v>
      </c>
      <c r="I155" t="s">
        <v>56</v>
      </c>
      <c r="J155" t="s">
        <v>149</v>
      </c>
      <c r="K155" t="s">
        <v>23</v>
      </c>
      <c r="L155">
        <v>2169</v>
      </c>
      <c r="M155">
        <v>33.596602400000002</v>
      </c>
      <c r="N155">
        <v>0.78822906209972565</v>
      </c>
      <c r="O155">
        <v>-8.2214489629627352E-2</v>
      </c>
      <c r="P155" s="1" t="str">
        <f>HYPERLINK(".\sm_car_260221_0030\sm_car_260221_0030_154_Ca198TrN_MaMPC_DrSt_ode23t_1.png","figure")</f>
        <v>figure</v>
      </c>
      <c r="Q155" t="s">
        <v>15</v>
      </c>
    </row>
    <row r="156" spans="1:17" x14ac:dyDescent="0.25">
      <c r="A156">
        <v>155</v>
      </c>
      <c r="B156">
        <v>151</v>
      </c>
      <c r="C156" t="s">
        <v>16</v>
      </c>
      <c r="D156" t="s">
        <v>17</v>
      </c>
      <c r="E156" t="s">
        <v>18</v>
      </c>
      <c r="F156" t="s">
        <v>19</v>
      </c>
      <c r="G156" t="s">
        <v>59</v>
      </c>
      <c r="H156" t="s">
        <v>21</v>
      </c>
      <c r="I156" t="s">
        <v>24</v>
      </c>
      <c r="J156" t="s">
        <v>148</v>
      </c>
      <c r="K156" t="s">
        <v>23</v>
      </c>
      <c r="L156">
        <v>503</v>
      </c>
      <c r="M156">
        <v>12.019792300000001</v>
      </c>
      <c r="N156">
        <v>72.158573474040494</v>
      </c>
      <c r="O156">
        <v>-0.79112498998053571</v>
      </c>
      <c r="P156" s="1" t="str">
        <f>HYPERLINK(".\sm_car_260221_0030\sm_car_260221_0030_155_Ca151TrN_MaLSS_DrSt_ode23t_1.png","figure")</f>
        <v>figure</v>
      </c>
      <c r="Q156" t="s">
        <v>15</v>
      </c>
    </row>
    <row r="157" spans="1:17" x14ac:dyDescent="0.25">
      <c r="A157">
        <v>156</v>
      </c>
      <c r="B157">
        <v>152</v>
      </c>
      <c r="C157" t="s">
        <v>16</v>
      </c>
      <c r="D157" t="s">
        <v>17</v>
      </c>
      <c r="E157" t="s">
        <v>18</v>
      </c>
      <c r="F157" t="s">
        <v>19</v>
      </c>
      <c r="G157" t="s">
        <v>60</v>
      </c>
      <c r="H157" t="s">
        <v>21</v>
      </c>
      <c r="I157" t="s">
        <v>24</v>
      </c>
      <c r="J157" t="s">
        <v>148</v>
      </c>
      <c r="K157" t="s">
        <v>23</v>
      </c>
      <c r="L157">
        <v>529</v>
      </c>
      <c r="M157">
        <v>13.967420300000001</v>
      </c>
      <c r="N157">
        <v>70.582489448570342</v>
      </c>
      <c r="O157">
        <v>-0.52552702890225911</v>
      </c>
      <c r="P157" s="1" t="str">
        <f>HYPERLINK(".\sm_car_260221_0030\sm_car_260221_0030_156_Ca152TrN_MaLSS_DrSt_ode23t_1.png","figure")</f>
        <v>figure</v>
      </c>
      <c r="Q157" t="s">
        <v>15</v>
      </c>
    </row>
    <row r="158" spans="1:17" x14ac:dyDescent="0.25">
      <c r="A158">
        <v>157</v>
      </c>
      <c r="B158">
        <v>153</v>
      </c>
      <c r="C158" t="s">
        <v>16</v>
      </c>
      <c r="D158" t="s">
        <v>17</v>
      </c>
      <c r="E158" t="s">
        <v>18</v>
      </c>
      <c r="F158" t="s">
        <v>19</v>
      </c>
      <c r="G158" t="s">
        <v>61</v>
      </c>
      <c r="H158" t="s">
        <v>21</v>
      </c>
      <c r="I158" t="s">
        <v>24</v>
      </c>
      <c r="J158" t="s">
        <v>148</v>
      </c>
      <c r="K158" t="s">
        <v>23</v>
      </c>
      <c r="L158">
        <v>545</v>
      </c>
      <c r="M158">
        <v>14.711604700000001</v>
      </c>
      <c r="N158">
        <v>70.430649948222495</v>
      </c>
      <c r="O158">
        <v>-0.86290032781101922</v>
      </c>
      <c r="P158" s="1" t="str">
        <f>HYPERLINK(".\sm_car_260221_0030\sm_car_260221_0030_157_Ca153TrN_MaLSS_DrSt_ode23t_1.png","figure")</f>
        <v>figure</v>
      </c>
      <c r="Q158" t="s">
        <v>15</v>
      </c>
    </row>
    <row r="159" spans="1:17" x14ac:dyDescent="0.25">
      <c r="A159">
        <v>158</v>
      </c>
      <c r="B159">
        <v>154</v>
      </c>
      <c r="C159" t="s">
        <v>16</v>
      </c>
      <c r="D159" t="s">
        <v>17</v>
      </c>
      <c r="E159" t="s">
        <v>18</v>
      </c>
      <c r="F159" t="s">
        <v>19</v>
      </c>
      <c r="G159" t="s">
        <v>108</v>
      </c>
      <c r="H159" t="s">
        <v>21</v>
      </c>
      <c r="I159" t="s">
        <v>24</v>
      </c>
      <c r="J159" t="s">
        <v>148</v>
      </c>
      <c r="K159" t="s">
        <v>23</v>
      </c>
      <c r="L159">
        <v>500</v>
      </c>
      <c r="M159">
        <v>16.791167099999999</v>
      </c>
      <c r="N159">
        <v>70.607147016675427</v>
      </c>
      <c r="O159">
        <v>-0.3557601453719117</v>
      </c>
      <c r="P159" s="1" t="str">
        <f>HYPERLINK(".\sm_car_260221_0030\sm_car_260221_0030_158_Ca154TrN_MaLSS_DrSt_ode23t_1.png","figure")</f>
        <v>figure</v>
      </c>
      <c r="Q159" t="s">
        <v>15</v>
      </c>
    </row>
    <row r="160" spans="1:17" x14ac:dyDescent="0.25">
      <c r="A160">
        <v>159</v>
      </c>
      <c r="B160">
        <v>155</v>
      </c>
      <c r="C160" t="s">
        <v>16</v>
      </c>
      <c r="D160" t="s">
        <v>17</v>
      </c>
      <c r="E160" t="s">
        <v>18</v>
      </c>
      <c r="F160" t="s">
        <v>19</v>
      </c>
      <c r="G160" t="s">
        <v>62</v>
      </c>
      <c r="H160" t="s">
        <v>21</v>
      </c>
      <c r="I160" t="s">
        <v>24</v>
      </c>
      <c r="J160" t="s">
        <v>148</v>
      </c>
      <c r="K160" t="s">
        <v>23</v>
      </c>
      <c r="L160">
        <v>557</v>
      </c>
      <c r="M160">
        <v>19.714773999999998</v>
      </c>
      <c r="N160">
        <v>70.470549685895136</v>
      </c>
      <c r="O160">
        <v>-0.83739830297832096</v>
      </c>
      <c r="P160" s="1" t="str">
        <f>HYPERLINK(".\sm_car_260221_0030\sm_car_260221_0030_159_Ca155TrN_MaLSS_DrSt_ode23t_1.png","figure")</f>
        <v>figure</v>
      </c>
      <c r="Q160" t="s">
        <v>15</v>
      </c>
    </row>
    <row r="161" spans="1:17" x14ac:dyDescent="0.25">
      <c r="A161">
        <v>160</v>
      </c>
      <c r="B161">
        <v>4</v>
      </c>
      <c r="C161" t="s">
        <v>16</v>
      </c>
      <c r="D161" t="s">
        <v>17</v>
      </c>
      <c r="E161" t="s">
        <v>18</v>
      </c>
      <c r="F161" t="s">
        <v>28</v>
      </c>
      <c r="G161" t="s">
        <v>188</v>
      </c>
      <c r="H161" t="s">
        <v>21</v>
      </c>
      <c r="I161" t="s">
        <v>22</v>
      </c>
      <c r="J161" t="s">
        <v>148</v>
      </c>
      <c r="K161" t="s">
        <v>63</v>
      </c>
      <c r="L161">
        <v>3247</v>
      </c>
      <c r="M161">
        <v>9.4331622999999993</v>
      </c>
      <c r="N161">
        <v>230.12391721786827</v>
      </c>
      <c r="O161">
        <v>-2.7190338637773392E-3</v>
      </c>
      <c r="P161" s="1" t="str">
        <f>HYPERLINK(".\sm_car_260221_0030\sm_car_260221_0030_160_Ca004TrN_MaWOT_DrSt_ode3_1.png","figure")</f>
        <v>figure</v>
      </c>
      <c r="Q161" t="s">
        <v>15</v>
      </c>
    </row>
    <row r="162" spans="1:17" x14ac:dyDescent="0.25">
      <c r="A162">
        <v>161</v>
      </c>
      <c r="B162">
        <v>4</v>
      </c>
      <c r="C162" t="s">
        <v>16</v>
      </c>
      <c r="D162" t="s">
        <v>17</v>
      </c>
      <c r="E162" t="s">
        <v>18</v>
      </c>
      <c r="F162" t="s">
        <v>28</v>
      </c>
      <c r="G162" t="s">
        <v>188</v>
      </c>
      <c r="H162" t="s">
        <v>21</v>
      </c>
      <c r="I162" t="s">
        <v>24</v>
      </c>
      <c r="J162" t="s">
        <v>148</v>
      </c>
      <c r="K162" t="s">
        <v>63</v>
      </c>
      <c r="L162">
        <v>2564</v>
      </c>
      <c r="M162">
        <v>7.6528573</v>
      </c>
      <c r="N162">
        <v>70.877460183569553</v>
      </c>
      <c r="O162">
        <v>-0.53377972266774365</v>
      </c>
      <c r="P162" s="1" t="str">
        <f>HYPERLINK(".\sm_car_260221_0030\sm_car_260221_0030_161_Ca004TrN_MaLSS_DrSt_ode3_1.png","figure")</f>
        <v>figure</v>
      </c>
      <c r="Q162" t="s">
        <v>15</v>
      </c>
    </row>
    <row r="163" spans="1:17" x14ac:dyDescent="0.25">
      <c r="A163">
        <v>162</v>
      </c>
      <c r="B163">
        <v>4</v>
      </c>
      <c r="C163" t="s">
        <v>16</v>
      </c>
      <c r="D163" t="s">
        <v>17</v>
      </c>
      <c r="E163" t="s">
        <v>18</v>
      </c>
      <c r="F163" t="s">
        <v>28</v>
      </c>
      <c r="G163" t="s">
        <v>188</v>
      </c>
      <c r="H163" t="s">
        <v>21</v>
      </c>
      <c r="I163" t="s">
        <v>64</v>
      </c>
      <c r="J163" t="s">
        <v>148</v>
      </c>
      <c r="K163" t="s">
        <v>63</v>
      </c>
      <c r="L163">
        <v>2562</v>
      </c>
      <c r="M163">
        <v>8.2204350000000002</v>
      </c>
      <c r="N163">
        <v>63.517181708669909</v>
      </c>
      <c r="O163">
        <v>-24.808510950198681</v>
      </c>
      <c r="P163" s="1" t="str">
        <f>HYPERLINK(".\sm_car_260221_0030\sm_car_260221_0030_162_Ca004TrN_MaTUR_DrSt_ode3_1.png","figure")</f>
        <v>figure</v>
      </c>
      <c r="Q163" t="s">
        <v>15</v>
      </c>
    </row>
    <row r="164" spans="1:17" x14ac:dyDescent="0.25">
      <c r="A164">
        <v>163</v>
      </c>
      <c r="B164">
        <v>116</v>
      </c>
      <c r="C164" t="s">
        <v>16</v>
      </c>
      <c r="D164" t="s">
        <v>35</v>
      </c>
      <c r="E164" t="s">
        <v>18</v>
      </c>
      <c r="F164" t="s">
        <v>28</v>
      </c>
      <c r="G164" t="s">
        <v>188</v>
      </c>
      <c r="H164" t="s">
        <v>21</v>
      </c>
      <c r="I164" t="s">
        <v>22</v>
      </c>
      <c r="J164" t="s">
        <v>148</v>
      </c>
      <c r="K164" t="s">
        <v>63</v>
      </c>
      <c r="L164">
        <v>3244</v>
      </c>
      <c r="M164">
        <v>4.0337050999999997</v>
      </c>
      <c r="N164">
        <v>242.69607452495515</v>
      </c>
      <c r="O164">
        <v>0.2363544606825817</v>
      </c>
      <c r="P164" s="1" t="str">
        <f>HYPERLINK(".\sm_car_260221_0030\sm_car_260221_0030_163_Ca116TrN_MaWOT_DrSt_ode3_1.png","figure")</f>
        <v>figure</v>
      </c>
      <c r="Q164" t="s">
        <v>15</v>
      </c>
    </row>
    <row r="165" spans="1:17" x14ac:dyDescent="0.25">
      <c r="A165">
        <v>164</v>
      </c>
      <c r="B165">
        <v>116</v>
      </c>
      <c r="C165" t="s">
        <v>16</v>
      </c>
      <c r="D165" t="s">
        <v>35</v>
      </c>
      <c r="E165" t="s">
        <v>18</v>
      </c>
      <c r="F165" t="s">
        <v>28</v>
      </c>
      <c r="G165" t="s">
        <v>188</v>
      </c>
      <c r="H165" t="s">
        <v>21</v>
      </c>
      <c r="I165" t="s">
        <v>24</v>
      </c>
      <c r="J165" t="s">
        <v>148</v>
      </c>
      <c r="K165" t="s">
        <v>63</v>
      </c>
      <c r="L165">
        <v>2564</v>
      </c>
      <c r="M165">
        <v>3.5005052000000001</v>
      </c>
      <c r="N165">
        <v>74.657190781020958</v>
      </c>
      <c r="O165">
        <v>-0.3407582447130062</v>
      </c>
      <c r="P165" s="1" t="str">
        <f>HYPERLINK(".\sm_car_260221_0030\sm_car_260221_0030_164_Ca116TrN_MaLSS_DrSt_ode3_1.png","figure")</f>
        <v>figure</v>
      </c>
      <c r="Q165" t="s">
        <v>15</v>
      </c>
    </row>
    <row r="166" spans="1:17" x14ac:dyDescent="0.25">
      <c r="A166">
        <v>165</v>
      </c>
      <c r="B166">
        <v>116</v>
      </c>
      <c r="C166" t="s">
        <v>16</v>
      </c>
      <c r="D166" t="s">
        <v>35</v>
      </c>
      <c r="E166" t="s">
        <v>18</v>
      </c>
      <c r="F166" t="s">
        <v>28</v>
      </c>
      <c r="G166" t="s">
        <v>188</v>
      </c>
      <c r="H166" t="s">
        <v>21</v>
      </c>
      <c r="I166" t="s">
        <v>64</v>
      </c>
      <c r="J166" t="s">
        <v>148</v>
      </c>
      <c r="K166" t="s">
        <v>63</v>
      </c>
      <c r="L166">
        <v>2563</v>
      </c>
      <c r="M166">
        <v>3.2747856</v>
      </c>
      <c r="N166">
        <v>71.322015482827737</v>
      </c>
      <c r="O166">
        <v>-17.590329133627819</v>
      </c>
      <c r="P166" s="1" t="str">
        <f>HYPERLINK(".\sm_car_260221_0030\sm_car_260221_0030_165_Ca116TrN_MaTUR_DrSt_ode3_1.png","figure")</f>
        <v>figure</v>
      </c>
      <c r="Q166" t="s">
        <v>15</v>
      </c>
    </row>
    <row r="167" spans="1:17" x14ac:dyDescent="0.25">
      <c r="A167">
        <v>166</v>
      </c>
      <c r="B167">
        <v>124</v>
      </c>
      <c r="C167" t="s">
        <v>16</v>
      </c>
      <c r="D167" t="s">
        <v>35</v>
      </c>
      <c r="E167" t="s">
        <v>49</v>
      </c>
      <c r="F167" t="s">
        <v>28</v>
      </c>
      <c r="G167" t="s">
        <v>188</v>
      </c>
      <c r="H167" t="s">
        <v>21</v>
      </c>
      <c r="I167" t="s">
        <v>22</v>
      </c>
      <c r="J167" t="s">
        <v>148</v>
      </c>
      <c r="K167" t="s">
        <v>63</v>
      </c>
      <c r="L167">
        <v>3244</v>
      </c>
      <c r="M167">
        <v>2.6723165</v>
      </c>
      <c r="N167">
        <v>242.87242715532983</v>
      </c>
      <c r="O167">
        <v>0.23615865807342021</v>
      </c>
      <c r="P167" s="1" t="str">
        <f>HYPERLINK(".\sm_car_260221_0030\sm_car_260221_0030_166_Ca124TrN_MaWOT_DrSt_ode3_1.png","figure")</f>
        <v>figure</v>
      </c>
      <c r="Q167" t="s">
        <v>15</v>
      </c>
    </row>
    <row r="168" spans="1:17" x14ac:dyDescent="0.25">
      <c r="A168">
        <v>167</v>
      </c>
      <c r="B168">
        <v>124</v>
      </c>
      <c r="C168" t="s">
        <v>16</v>
      </c>
      <c r="D168" t="s">
        <v>35</v>
      </c>
      <c r="E168" t="s">
        <v>49</v>
      </c>
      <c r="F168" t="s">
        <v>28</v>
      </c>
      <c r="G168" t="s">
        <v>188</v>
      </c>
      <c r="H168" t="s">
        <v>21</v>
      </c>
      <c r="I168" t="s">
        <v>24</v>
      </c>
      <c r="J168" t="s">
        <v>148</v>
      </c>
      <c r="K168" t="s">
        <v>63</v>
      </c>
      <c r="L168">
        <v>2565</v>
      </c>
      <c r="M168">
        <v>1.8078609000000001</v>
      </c>
      <c r="N168">
        <v>74.796106047635263</v>
      </c>
      <c r="O168">
        <v>-0.34233746036970669</v>
      </c>
      <c r="P168" s="1" t="str">
        <f>HYPERLINK(".\sm_car_260221_0030\sm_car_260221_0030_167_Ca124TrN_MaLSS_DrSt_ode3_1.png","figure")</f>
        <v>figure</v>
      </c>
      <c r="Q168" t="s">
        <v>15</v>
      </c>
    </row>
    <row r="169" spans="1:17" x14ac:dyDescent="0.25">
      <c r="A169">
        <v>168</v>
      </c>
      <c r="B169">
        <v>124</v>
      </c>
      <c r="C169" t="s">
        <v>16</v>
      </c>
      <c r="D169" t="s">
        <v>35</v>
      </c>
      <c r="E169" t="s">
        <v>49</v>
      </c>
      <c r="F169" t="s">
        <v>28</v>
      </c>
      <c r="G169" t="s">
        <v>188</v>
      </c>
      <c r="H169" t="s">
        <v>21</v>
      </c>
      <c r="I169" t="s">
        <v>64</v>
      </c>
      <c r="J169" t="s">
        <v>148</v>
      </c>
      <c r="K169" t="s">
        <v>63</v>
      </c>
      <c r="L169">
        <v>2564</v>
      </c>
      <c r="M169">
        <v>2.0490308000000002</v>
      </c>
      <c r="N169">
        <v>71.447408148581204</v>
      </c>
      <c r="O169">
        <v>-17.636376331807366</v>
      </c>
      <c r="P169" s="1" t="str">
        <f>HYPERLINK(".\sm_car_260221_0030\sm_car_260221_0030_168_Ca124TrN_MaTUR_DrSt_ode3_1.png","figure")</f>
        <v>figure</v>
      </c>
      <c r="Q169" t="s">
        <v>15</v>
      </c>
    </row>
    <row r="170" spans="1:17" x14ac:dyDescent="0.25">
      <c r="A170">
        <v>169</v>
      </c>
      <c r="B170">
        <v>141</v>
      </c>
      <c r="C170" t="s">
        <v>45</v>
      </c>
      <c r="D170" t="s">
        <v>17</v>
      </c>
      <c r="E170" t="s">
        <v>18</v>
      </c>
      <c r="F170" t="s">
        <v>28</v>
      </c>
      <c r="G170" t="s">
        <v>26</v>
      </c>
      <c r="H170" t="s">
        <v>21</v>
      </c>
      <c r="I170" t="s">
        <v>22</v>
      </c>
      <c r="J170" t="s">
        <v>148</v>
      </c>
      <c r="K170" t="s">
        <v>63</v>
      </c>
      <c r="L170">
        <v>3840</v>
      </c>
      <c r="M170">
        <v>13.386146</v>
      </c>
      <c r="N170">
        <v>401.9418472687808</v>
      </c>
      <c r="O170">
        <v>1.6346972476419932</v>
      </c>
      <c r="P170" s="1" t="str">
        <f>HYPERLINK(".\sm_car_260221_0030\sm_car_260221_0030_169_Ca141TrN_MaWOT_DrSt_ode3_1.png","figure")</f>
        <v>figure</v>
      </c>
      <c r="Q170" t="s">
        <v>15</v>
      </c>
    </row>
    <row r="171" spans="1:17" x14ac:dyDescent="0.25">
      <c r="A171">
        <v>170</v>
      </c>
      <c r="B171">
        <v>141</v>
      </c>
      <c r="C171" t="s">
        <v>45</v>
      </c>
      <c r="D171" t="s">
        <v>17</v>
      </c>
      <c r="E171" t="s">
        <v>18</v>
      </c>
      <c r="F171" t="s">
        <v>28</v>
      </c>
      <c r="G171" t="s">
        <v>26</v>
      </c>
      <c r="H171" t="s">
        <v>21</v>
      </c>
      <c r="I171" t="s">
        <v>24</v>
      </c>
      <c r="J171" t="s">
        <v>148</v>
      </c>
      <c r="K171" t="s">
        <v>63</v>
      </c>
      <c r="L171">
        <v>3192</v>
      </c>
      <c r="M171">
        <v>10.8387999</v>
      </c>
      <c r="N171">
        <v>153.00805772309872</v>
      </c>
      <c r="O171">
        <v>-0.57314302064214673</v>
      </c>
      <c r="P171" s="1" t="str">
        <f>HYPERLINK(".\sm_car_260221_0030\sm_car_260221_0030_170_Ca141TrN_MaLSS_DrSt_ode3_1.png","figure")</f>
        <v>figure</v>
      </c>
      <c r="Q171" t="s">
        <v>15</v>
      </c>
    </row>
    <row r="172" spans="1:17" x14ac:dyDescent="0.25">
      <c r="A172">
        <v>171</v>
      </c>
      <c r="B172">
        <v>141</v>
      </c>
      <c r="C172" t="s">
        <v>45</v>
      </c>
      <c r="D172" t="s">
        <v>17</v>
      </c>
      <c r="E172" t="s">
        <v>18</v>
      </c>
      <c r="F172" t="s">
        <v>28</v>
      </c>
      <c r="G172" t="s">
        <v>26</v>
      </c>
      <c r="H172" t="s">
        <v>21</v>
      </c>
      <c r="I172" t="s">
        <v>64</v>
      </c>
      <c r="J172" t="s">
        <v>148</v>
      </c>
      <c r="K172" t="s">
        <v>63</v>
      </c>
      <c r="L172">
        <v>3161</v>
      </c>
      <c r="M172">
        <v>10.9061051</v>
      </c>
      <c r="N172">
        <v>98.072284270879962</v>
      </c>
      <c r="O172">
        <v>-86.392215792244059</v>
      </c>
      <c r="P172" s="1" t="str">
        <f>HYPERLINK(".\sm_car_260221_0030\sm_car_260221_0030_171_Ca141TrN_MaTUR_DrSt_ode3_1.png","figure")</f>
        <v>figure</v>
      </c>
      <c r="Q172" t="s">
        <v>15</v>
      </c>
    </row>
    <row r="173" spans="1:17" x14ac:dyDescent="0.25">
      <c r="A173">
        <v>172</v>
      </c>
      <c r="B173">
        <v>145</v>
      </c>
      <c r="C173" t="s">
        <v>46</v>
      </c>
      <c r="D173" t="s">
        <v>17</v>
      </c>
      <c r="E173" t="s">
        <v>50</v>
      </c>
      <c r="F173" t="s">
        <v>19</v>
      </c>
      <c r="G173" t="s">
        <v>26</v>
      </c>
      <c r="H173" t="s">
        <v>21</v>
      </c>
      <c r="I173" t="s">
        <v>22</v>
      </c>
      <c r="J173" t="s">
        <v>148</v>
      </c>
      <c r="K173" t="s">
        <v>63</v>
      </c>
      <c r="L173">
        <v>2642</v>
      </c>
      <c r="M173">
        <v>7.9071277000000002</v>
      </c>
      <c r="N173">
        <v>62.801313298608221</v>
      </c>
      <c r="O173">
        <v>1.2893842335469084E-2</v>
      </c>
      <c r="P173" s="1" t="str">
        <f>HYPERLINK(".\sm_car_260221_0030\sm_car_260221_0030_172_Ca145TrN_MaWOT_DrSt_ode3_1.png","figure")</f>
        <v>figure</v>
      </c>
      <c r="Q173" t="s">
        <v>15</v>
      </c>
    </row>
    <row r="174" spans="1:17" x14ac:dyDescent="0.25">
      <c r="A174">
        <v>173</v>
      </c>
      <c r="B174">
        <v>145</v>
      </c>
      <c r="C174" t="s">
        <v>46</v>
      </c>
      <c r="D174" t="s">
        <v>17</v>
      </c>
      <c r="E174" t="s">
        <v>50</v>
      </c>
      <c r="F174" t="s">
        <v>19</v>
      </c>
      <c r="G174" t="s">
        <v>26</v>
      </c>
      <c r="H174" t="s">
        <v>21</v>
      </c>
      <c r="I174" t="s">
        <v>24</v>
      </c>
      <c r="J174" t="s">
        <v>148</v>
      </c>
      <c r="K174" t="s">
        <v>63</v>
      </c>
      <c r="L174">
        <v>2382</v>
      </c>
      <c r="M174">
        <v>6.7308928999999997</v>
      </c>
      <c r="N174">
        <v>25.299765577118411</v>
      </c>
      <c r="O174">
        <v>-5.1070003004616386E-2</v>
      </c>
      <c r="P174" s="1" t="str">
        <f>HYPERLINK(".\sm_car_260221_0030\sm_car_260221_0030_173_Ca145TrN_MaLSS_DrSt_ode3_1.png","figure")</f>
        <v>figure</v>
      </c>
      <c r="Q174" t="s">
        <v>15</v>
      </c>
    </row>
    <row r="175" spans="1:17" x14ac:dyDescent="0.25">
      <c r="A175">
        <v>174</v>
      </c>
      <c r="B175">
        <v>145</v>
      </c>
      <c r="C175" t="s">
        <v>46</v>
      </c>
      <c r="D175" t="s">
        <v>17</v>
      </c>
      <c r="E175" t="s">
        <v>50</v>
      </c>
      <c r="F175" t="s">
        <v>19</v>
      </c>
      <c r="G175" t="s">
        <v>26</v>
      </c>
      <c r="H175" t="s">
        <v>21</v>
      </c>
      <c r="I175" t="s">
        <v>64</v>
      </c>
      <c r="J175" t="s">
        <v>148</v>
      </c>
      <c r="K175" t="s">
        <v>63</v>
      </c>
      <c r="L175">
        <v>2379</v>
      </c>
      <c r="M175">
        <v>7.0071038000000003</v>
      </c>
      <c r="N175">
        <v>25.119346970662672</v>
      </c>
      <c r="O175">
        <v>-2.6098494503383183</v>
      </c>
      <c r="P175" s="1" t="str">
        <f>HYPERLINK(".\sm_car_260221_0030\sm_car_260221_0030_174_Ca145TrN_MaTUR_DrSt_ode3_1.png","figure")</f>
        <v>figure</v>
      </c>
      <c r="Q175" t="s">
        <v>15</v>
      </c>
    </row>
    <row r="176" spans="1:17" x14ac:dyDescent="0.25">
      <c r="A176">
        <v>175</v>
      </c>
      <c r="B176">
        <v>199</v>
      </c>
      <c r="C176" t="s">
        <v>46</v>
      </c>
      <c r="D176" t="s">
        <v>17</v>
      </c>
      <c r="E176" t="s">
        <v>109</v>
      </c>
      <c r="F176" t="s">
        <v>19</v>
      </c>
      <c r="G176" t="s">
        <v>26</v>
      </c>
      <c r="H176" t="s">
        <v>21</v>
      </c>
      <c r="I176" t="s">
        <v>22</v>
      </c>
      <c r="J176" t="s">
        <v>148</v>
      </c>
      <c r="K176" t="s">
        <v>63</v>
      </c>
      <c r="L176">
        <v>2647</v>
      </c>
      <c r="M176">
        <v>8.2405868000000009</v>
      </c>
      <c r="N176">
        <v>63.479991086186772</v>
      </c>
      <c r="O176">
        <v>-1.3351542397531919E-4</v>
      </c>
      <c r="P176" s="1" t="str">
        <f>HYPERLINK(".\sm_car_260221_0030\sm_car_260221_0030_175_Ca199TrN_MaWOT_DrSt_ode3_1.png","figure")</f>
        <v>figure</v>
      </c>
      <c r="Q176" t="s">
        <v>15</v>
      </c>
    </row>
    <row r="177" spans="1:17" x14ac:dyDescent="0.25">
      <c r="A177">
        <v>176</v>
      </c>
      <c r="B177">
        <v>199</v>
      </c>
      <c r="C177" t="s">
        <v>46</v>
      </c>
      <c r="D177" t="s">
        <v>17</v>
      </c>
      <c r="E177" t="s">
        <v>109</v>
      </c>
      <c r="F177" t="s">
        <v>19</v>
      </c>
      <c r="G177" t="s">
        <v>26</v>
      </c>
      <c r="H177" t="s">
        <v>21</v>
      </c>
      <c r="I177" t="s">
        <v>24</v>
      </c>
      <c r="J177" t="s">
        <v>148</v>
      </c>
      <c r="K177" t="s">
        <v>63</v>
      </c>
      <c r="L177">
        <v>2385</v>
      </c>
      <c r="M177">
        <v>7.8283405000000004</v>
      </c>
      <c r="N177">
        <v>25.919543247611728</v>
      </c>
      <c r="O177">
        <v>-5.3777383538012799E-2</v>
      </c>
      <c r="P177" s="1" t="str">
        <f>HYPERLINK(".\sm_car_260221_0030\sm_car_260221_0030_176_Ca199TrN_MaLSS_DrSt_ode3_1.png","figure")</f>
        <v>figure</v>
      </c>
      <c r="Q177" t="s">
        <v>15</v>
      </c>
    </row>
    <row r="178" spans="1:17" x14ac:dyDescent="0.25">
      <c r="A178">
        <v>177</v>
      </c>
      <c r="B178">
        <v>199</v>
      </c>
      <c r="C178" t="s">
        <v>46</v>
      </c>
      <c r="D178" t="s">
        <v>17</v>
      </c>
      <c r="E178" t="s">
        <v>109</v>
      </c>
      <c r="F178" t="s">
        <v>19</v>
      </c>
      <c r="G178" t="s">
        <v>26</v>
      </c>
      <c r="H178" t="s">
        <v>21</v>
      </c>
      <c r="I178" t="s">
        <v>64</v>
      </c>
      <c r="J178" t="s">
        <v>148</v>
      </c>
      <c r="K178" t="s">
        <v>63</v>
      </c>
      <c r="L178">
        <v>2383</v>
      </c>
      <c r="M178">
        <v>7.5853717999999999</v>
      </c>
      <c r="N178">
        <v>25.733626918673806</v>
      </c>
      <c r="O178">
        <v>-2.6936807199068045</v>
      </c>
      <c r="P178" s="1" t="str">
        <f>HYPERLINK(".\sm_car_260221_0030\sm_car_260221_0030_177_Ca199TrN_MaTUR_DrSt_ode3_1.png","figure")</f>
        <v>figure</v>
      </c>
      <c r="Q178" t="s">
        <v>15</v>
      </c>
    </row>
    <row r="179" spans="1:17" x14ac:dyDescent="0.25">
      <c r="A179">
        <v>178</v>
      </c>
      <c r="B179">
        <v>139</v>
      </c>
      <c r="C179" t="s">
        <v>45</v>
      </c>
      <c r="D179" t="s">
        <v>17</v>
      </c>
      <c r="E179" t="s">
        <v>18</v>
      </c>
      <c r="F179" t="s">
        <v>19</v>
      </c>
      <c r="G179" t="s">
        <v>26</v>
      </c>
      <c r="H179" t="s">
        <v>21</v>
      </c>
      <c r="I179" t="s">
        <v>53</v>
      </c>
      <c r="J179" t="s">
        <v>148</v>
      </c>
      <c r="K179" t="s">
        <v>23</v>
      </c>
      <c r="L179">
        <v>518</v>
      </c>
      <c r="M179">
        <v>12.468081099999999</v>
      </c>
      <c r="N179">
        <v>253.82295253647641</v>
      </c>
      <c r="O179">
        <v>-9.0200533189621623E-3</v>
      </c>
      <c r="P179" s="1" t="str">
        <f>HYPERLINK(".\sm_car_260221_0030\sm_car_260221_0030_178_Ca139TrN_MaDLC_DrSt_ode23t_1.png","figure")</f>
        <v>figure</v>
      </c>
      <c r="Q179" t="s">
        <v>15</v>
      </c>
    </row>
    <row r="180" spans="1:17" x14ac:dyDescent="0.25">
      <c r="A180">
        <v>179</v>
      </c>
      <c r="B180">
        <v>139</v>
      </c>
      <c r="C180" t="s">
        <v>45</v>
      </c>
      <c r="D180" t="s">
        <v>17</v>
      </c>
      <c r="E180" t="s">
        <v>18</v>
      </c>
      <c r="F180" t="s">
        <v>19</v>
      </c>
      <c r="G180" t="s">
        <v>26</v>
      </c>
      <c r="H180" t="s">
        <v>65</v>
      </c>
      <c r="I180" t="s">
        <v>53</v>
      </c>
      <c r="J180" t="s">
        <v>148</v>
      </c>
      <c r="K180" t="s">
        <v>23</v>
      </c>
      <c r="L180">
        <v>782</v>
      </c>
      <c r="M180">
        <v>31.8998946</v>
      </c>
      <c r="N180">
        <v>253.88262973751148</v>
      </c>
      <c r="O180">
        <v>8.2715737074368079E-3</v>
      </c>
      <c r="P180" s="1" t="str">
        <f>HYPERLINK(".\sm_car_260221_0030\sm_car_260221_0030_179_Ca139TrE_MaDLC_DrSt_ode23t_1.png","figure")</f>
        <v>figure</v>
      </c>
      <c r="Q180" t="s">
        <v>15</v>
      </c>
    </row>
    <row r="181" spans="1:17" x14ac:dyDescent="0.25">
      <c r="A181">
        <v>180</v>
      </c>
      <c r="B181">
        <v>139</v>
      </c>
      <c r="C181" t="s">
        <v>45</v>
      </c>
      <c r="D181" t="s">
        <v>17</v>
      </c>
      <c r="E181" t="s">
        <v>18</v>
      </c>
      <c r="F181" t="s">
        <v>19</v>
      </c>
      <c r="G181" t="s">
        <v>26</v>
      </c>
      <c r="H181" t="s">
        <v>66</v>
      </c>
      <c r="I181" t="s">
        <v>53</v>
      </c>
      <c r="J181" t="s">
        <v>148</v>
      </c>
      <c r="K181" t="s">
        <v>23</v>
      </c>
      <c r="L181">
        <v>976</v>
      </c>
      <c r="M181">
        <v>40.787861200000002</v>
      </c>
      <c r="N181">
        <v>255.1124082377753</v>
      </c>
      <c r="O181">
        <v>-7.7226232438878384E-3</v>
      </c>
      <c r="P181" s="1" t="str">
        <f>HYPERLINK(".\sm_car_260221_0030\sm_car_260221_0030_180_Ca139TrT_MaDLC_DrSt_ode23t_1.png","figure")</f>
        <v>figure</v>
      </c>
      <c r="Q181" t="s">
        <v>15</v>
      </c>
    </row>
    <row r="182" spans="1:17" x14ac:dyDescent="0.25">
      <c r="A182">
        <v>181</v>
      </c>
      <c r="B182">
        <v>139</v>
      </c>
      <c r="C182" t="s">
        <v>45</v>
      </c>
      <c r="D182" t="s">
        <v>17</v>
      </c>
      <c r="E182" t="s">
        <v>18</v>
      </c>
      <c r="F182" t="s">
        <v>19</v>
      </c>
      <c r="G182" t="s">
        <v>26</v>
      </c>
      <c r="H182" t="s">
        <v>65</v>
      </c>
      <c r="I182" t="s">
        <v>53</v>
      </c>
      <c r="J182" t="s">
        <v>148</v>
      </c>
      <c r="K182" t="s">
        <v>23</v>
      </c>
      <c r="L182">
        <v>933</v>
      </c>
      <c r="M182">
        <v>27.458079399999999</v>
      </c>
      <c r="N182">
        <v>253.22593192643768</v>
      </c>
      <c r="O182">
        <v>0.17085553268989884</v>
      </c>
      <c r="P182" s="1" t="str">
        <f>HYPERLINK(".\sm_car_260221_0030\sm_car_260221_0030_181_Ca139TrE_MaDLC_DrSt_ode23t_1.png","figure")</f>
        <v>figure</v>
      </c>
      <c r="Q182" t="s">
        <v>15</v>
      </c>
    </row>
    <row r="183" spans="1:17" x14ac:dyDescent="0.25">
      <c r="A183">
        <v>182</v>
      </c>
      <c r="B183">
        <v>2</v>
      </c>
      <c r="C183" t="s">
        <v>16</v>
      </c>
      <c r="D183" t="s">
        <v>17</v>
      </c>
      <c r="E183" t="s">
        <v>18</v>
      </c>
      <c r="F183" t="s">
        <v>19</v>
      </c>
      <c r="G183" t="s">
        <v>188</v>
      </c>
      <c r="H183" t="s">
        <v>21</v>
      </c>
      <c r="I183" t="s">
        <v>53</v>
      </c>
      <c r="J183" t="s">
        <v>148</v>
      </c>
      <c r="K183" t="s">
        <v>23</v>
      </c>
      <c r="L183">
        <v>527</v>
      </c>
      <c r="M183">
        <v>10.3009833</v>
      </c>
      <c r="N183">
        <v>254.3980921395289</v>
      </c>
      <c r="O183">
        <v>4.309435175936116E-2</v>
      </c>
      <c r="P183" s="1" t="str">
        <f>HYPERLINK(".\sm_car_260221_0030\sm_car_260221_0030_182_Ca002TrN_MaDLC_DrSt_ode23t_1.png","figure")</f>
        <v>figure</v>
      </c>
      <c r="Q183" t="s">
        <v>15</v>
      </c>
    </row>
    <row r="184" spans="1:17" x14ac:dyDescent="0.25">
      <c r="A184">
        <v>183</v>
      </c>
      <c r="B184">
        <v>2</v>
      </c>
      <c r="C184" t="s">
        <v>16</v>
      </c>
      <c r="D184" t="s">
        <v>17</v>
      </c>
      <c r="E184" t="s">
        <v>18</v>
      </c>
      <c r="F184" t="s">
        <v>19</v>
      </c>
      <c r="G184" t="s">
        <v>188</v>
      </c>
      <c r="H184" t="s">
        <v>65</v>
      </c>
      <c r="I184" t="s">
        <v>53</v>
      </c>
      <c r="J184" t="s">
        <v>148</v>
      </c>
      <c r="K184" t="s">
        <v>23</v>
      </c>
      <c r="L184">
        <v>555</v>
      </c>
      <c r="M184">
        <v>18.409257799999999</v>
      </c>
      <c r="N184">
        <v>255.03264664219012</v>
      </c>
      <c r="O184">
        <v>4.1463938932376543E-2</v>
      </c>
      <c r="P184" s="1" t="str">
        <f>HYPERLINK(".\sm_car_260221_0030\sm_car_260221_0030_183_Ca002TrE_MaDLC_DrSt_ode23t_1.png","figure")</f>
        <v>figure</v>
      </c>
      <c r="Q184" t="s">
        <v>15</v>
      </c>
    </row>
    <row r="185" spans="1:17" x14ac:dyDescent="0.25">
      <c r="A185">
        <v>184</v>
      </c>
      <c r="B185">
        <v>2</v>
      </c>
      <c r="C185" t="s">
        <v>16</v>
      </c>
      <c r="D185" t="s">
        <v>17</v>
      </c>
      <c r="E185" t="s">
        <v>18</v>
      </c>
      <c r="F185" t="s">
        <v>19</v>
      </c>
      <c r="G185" t="s">
        <v>188</v>
      </c>
      <c r="H185" t="s">
        <v>66</v>
      </c>
      <c r="I185" t="s">
        <v>53</v>
      </c>
      <c r="J185" t="s">
        <v>148</v>
      </c>
      <c r="K185" t="s">
        <v>23</v>
      </c>
      <c r="L185">
        <v>857</v>
      </c>
      <c r="M185">
        <v>27.430156100000001</v>
      </c>
      <c r="N185">
        <v>253.4148112528311</v>
      </c>
      <c r="O185">
        <v>4.6705041521387436E-2</v>
      </c>
      <c r="P185" s="1" t="str">
        <f>HYPERLINK(".\sm_car_260221_0030\sm_car_260221_0030_184_Ca002TrT_MaDLC_DrSt_ode23t_1.png","figure")</f>
        <v>figure</v>
      </c>
      <c r="Q185" t="s">
        <v>15</v>
      </c>
    </row>
    <row r="186" spans="1:17" x14ac:dyDescent="0.25">
      <c r="A186">
        <v>185</v>
      </c>
      <c r="B186">
        <v>2</v>
      </c>
      <c r="C186" t="s">
        <v>16</v>
      </c>
      <c r="D186" t="s">
        <v>17</v>
      </c>
      <c r="E186" t="s">
        <v>18</v>
      </c>
      <c r="F186" t="s">
        <v>19</v>
      </c>
      <c r="G186" t="s">
        <v>188</v>
      </c>
      <c r="H186" t="s">
        <v>65</v>
      </c>
      <c r="I186" t="s">
        <v>53</v>
      </c>
      <c r="J186" t="s">
        <v>148</v>
      </c>
      <c r="K186" t="s">
        <v>23</v>
      </c>
      <c r="L186">
        <v>563</v>
      </c>
      <c r="M186">
        <v>14.3450118</v>
      </c>
      <c r="N186">
        <v>253.21717308073283</v>
      </c>
      <c r="O186">
        <v>4.8158266585414111E-2</v>
      </c>
      <c r="P186" s="1" t="str">
        <f>HYPERLINK(".\sm_car_260221_0030\sm_car_260221_0030_185_Ca002TrE_MaDLC_DrSt_ode23t_1.png","figure")</f>
        <v>figure</v>
      </c>
      <c r="Q186" t="s">
        <v>15</v>
      </c>
    </row>
    <row r="187" spans="1:17" x14ac:dyDescent="0.25">
      <c r="A187">
        <v>186</v>
      </c>
      <c r="B187">
        <v>145</v>
      </c>
      <c r="C187" t="s">
        <v>46</v>
      </c>
      <c r="D187" t="s">
        <v>17</v>
      </c>
      <c r="E187" t="s">
        <v>50</v>
      </c>
      <c r="F187" t="s">
        <v>19</v>
      </c>
      <c r="G187" t="s">
        <v>26</v>
      </c>
      <c r="H187" t="s">
        <v>21</v>
      </c>
      <c r="I187" t="s">
        <v>53</v>
      </c>
      <c r="J187" t="s">
        <v>148</v>
      </c>
      <c r="K187" t="s">
        <v>23</v>
      </c>
      <c r="L187">
        <v>464</v>
      </c>
      <c r="M187">
        <v>18.557089099999999</v>
      </c>
      <c r="N187">
        <v>253.89788928119884</v>
      </c>
      <c r="O187">
        <v>7.4999592997252229E-2</v>
      </c>
      <c r="P187" s="1" t="str">
        <f>HYPERLINK(".\sm_car_260221_0030\sm_car_260221_0030_186_Ca145TrN_MaDLC_DrSt_ode23t_1.png","figure")</f>
        <v>figure</v>
      </c>
      <c r="Q187" t="s">
        <v>15</v>
      </c>
    </row>
    <row r="188" spans="1:17" x14ac:dyDescent="0.25">
      <c r="A188">
        <v>187</v>
      </c>
      <c r="B188">
        <v>145</v>
      </c>
      <c r="C188" t="s">
        <v>46</v>
      </c>
      <c r="D188" t="s">
        <v>17</v>
      </c>
      <c r="E188" t="s">
        <v>50</v>
      </c>
      <c r="F188" t="s">
        <v>19</v>
      </c>
      <c r="G188" t="s">
        <v>26</v>
      </c>
      <c r="H188" t="s">
        <v>65</v>
      </c>
      <c r="I188" t="s">
        <v>53</v>
      </c>
      <c r="J188" t="s">
        <v>148</v>
      </c>
      <c r="K188" t="s">
        <v>23</v>
      </c>
      <c r="L188">
        <v>571</v>
      </c>
      <c r="M188">
        <v>34.989183699999998</v>
      </c>
      <c r="N188">
        <v>253.78551424782256</v>
      </c>
      <c r="O188">
        <v>7.6159541067355896E-2</v>
      </c>
      <c r="P188" s="1" t="str">
        <f>HYPERLINK(".\sm_car_260221_0030\sm_car_260221_0030_187_Ca145TrE_MaDLC_DrSt_ode23t_1.png","figure")</f>
        <v>figure</v>
      </c>
      <c r="Q188" t="s">
        <v>15</v>
      </c>
    </row>
    <row r="189" spans="1:17" x14ac:dyDescent="0.25">
      <c r="A189">
        <v>188</v>
      </c>
      <c r="B189">
        <v>145</v>
      </c>
      <c r="C189" t="s">
        <v>46</v>
      </c>
      <c r="D189" t="s">
        <v>17</v>
      </c>
      <c r="E189" t="s">
        <v>50</v>
      </c>
      <c r="F189" t="s">
        <v>19</v>
      </c>
      <c r="G189" t="s">
        <v>26</v>
      </c>
      <c r="H189" t="s">
        <v>66</v>
      </c>
      <c r="I189" t="s">
        <v>53</v>
      </c>
      <c r="J189" t="s">
        <v>148</v>
      </c>
      <c r="K189" t="s">
        <v>23</v>
      </c>
      <c r="L189">
        <v>1825</v>
      </c>
      <c r="M189">
        <v>263.4517788</v>
      </c>
      <c r="N189">
        <v>255.19981931947939</v>
      </c>
      <c r="O189">
        <v>6.9073493590370738E-2</v>
      </c>
      <c r="P189" s="1" t="str">
        <f>HYPERLINK(".\sm_car_260221_0030\sm_car_260221_0030_188_Ca145TrT_MaDLC_DrSt_ode23t_1.png","figure")</f>
        <v>figure</v>
      </c>
      <c r="Q189" t="s">
        <v>15</v>
      </c>
    </row>
    <row r="190" spans="1:17" x14ac:dyDescent="0.25">
      <c r="A190">
        <v>189</v>
      </c>
      <c r="B190">
        <v>145</v>
      </c>
      <c r="C190" t="s">
        <v>46</v>
      </c>
      <c r="D190" t="s">
        <v>17</v>
      </c>
      <c r="E190" t="s">
        <v>50</v>
      </c>
      <c r="F190" t="s">
        <v>19</v>
      </c>
      <c r="G190" t="s">
        <v>26</v>
      </c>
      <c r="H190" t="s">
        <v>65</v>
      </c>
      <c r="I190" t="s">
        <v>53</v>
      </c>
      <c r="J190" t="s">
        <v>148</v>
      </c>
      <c r="K190" t="s">
        <v>23</v>
      </c>
      <c r="L190">
        <v>556</v>
      </c>
      <c r="M190">
        <v>29.5169523</v>
      </c>
      <c r="N190">
        <v>254.75003909541107</v>
      </c>
      <c r="O190">
        <v>7.1601229785727583E-2</v>
      </c>
      <c r="P190" s="1" t="str">
        <f>HYPERLINK(".\sm_car_260221_0030\sm_car_260221_0030_189_Ca145TrE_MaDLC_DrSt_ode23t_1.png","figure")</f>
        <v>figure</v>
      </c>
      <c r="Q190" t="s">
        <v>15</v>
      </c>
    </row>
    <row r="191" spans="1:17" x14ac:dyDescent="0.25">
      <c r="A191">
        <v>190</v>
      </c>
      <c r="B191">
        <v>199</v>
      </c>
      <c r="C191" t="s">
        <v>46</v>
      </c>
      <c r="D191" t="s">
        <v>17</v>
      </c>
      <c r="E191" t="s">
        <v>109</v>
      </c>
      <c r="F191" t="s">
        <v>19</v>
      </c>
      <c r="G191" t="s">
        <v>26</v>
      </c>
      <c r="H191" t="s">
        <v>21</v>
      </c>
      <c r="I191" t="s">
        <v>53</v>
      </c>
      <c r="J191" t="s">
        <v>148</v>
      </c>
      <c r="K191" t="s">
        <v>23</v>
      </c>
      <c r="L191">
        <v>460</v>
      </c>
      <c r="M191">
        <v>6.4994655000000003</v>
      </c>
      <c r="N191">
        <v>256.7605366985519</v>
      </c>
      <c r="O191">
        <v>6.2377648214865467E-2</v>
      </c>
      <c r="P191" s="1" t="str">
        <f>HYPERLINK(".\sm_car_260221_0030\sm_car_260221_0030_190_Ca199TrN_MaDLC_DrSt_ode23t_1.png","figure")</f>
        <v>figure</v>
      </c>
      <c r="Q191" t="s">
        <v>15</v>
      </c>
    </row>
    <row r="192" spans="1:17" x14ac:dyDescent="0.25">
      <c r="A192">
        <v>191</v>
      </c>
      <c r="B192">
        <v>199</v>
      </c>
      <c r="C192" t="s">
        <v>46</v>
      </c>
      <c r="D192" t="s">
        <v>17</v>
      </c>
      <c r="E192" t="s">
        <v>109</v>
      </c>
      <c r="F192" t="s">
        <v>19</v>
      </c>
      <c r="G192" t="s">
        <v>26</v>
      </c>
      <c r="H192" t="s">
        <v>65</v>
      </c>
      <c r="I192" t="s">
        <v>53</v>
      </c>
      <c r="J192" t="s">
        <v>148</v>
      </c>
      <c r="K192" t="s">
        <v>23</v>
      </c>
      <c r="L192">
        <v>562</v>
      </c>
      <c r="M192">
        <v>18.995655800000002</v>
      </c>
      <c r="N192">
        <v>254.80349452363248</v>
      </c>
      <c r="O192">
        <v>7.1328970899537936E-2</v>
      </c>
      <c r="P192" s="1" t="str">
        <f>HYPERLINK(".\sm_car_260221_0030\sm_car_260221_0030_191_Ca199TrE_MaDLC_DrSt_ode23t_1.png","figure")</f>
        <v>figure</v>
      </c>
      <c r="Q192" t="s">
        <v>15</v>
      </c>
    </row>
    <row r="193" spans="1:17" x14ac:dyDescent="0.25">
      <c r="A193">
        <v>192</v>
      </c>
      <c r="B193">
        <v>199</v>
      </c>
      <c r="C193" t="s">
        <v>46</v>
      </c>
      <c r="D193" t="s">
        <v>17</v>
      </c>
      <c r="E193" t="s">
        <v>109</v>
      </c>
      <c r="F193" t="s">
        <v>19</v>
      </c>
      <c r="G193" t="s">
        <v>26</v>
      </c>
      <c r="H193" t="s">
        <v>66</v>
      </c>
      <c r="I193" t="s">
        <v>53</v>
      </c>
      <c r="J193" t="s">
        <v>148</v>
      </c>
      <c r="K193" t="s">
        <v>23</v>
      </c>
      <c r="L193">
        <v>801</v>
      </c>
      <c r="M193">
        <v>24.112512899999999</v>
      </c>
      <c r="N193">
        <v>256.6014022585743</v>
      </c>
      <c r="O193">
        <v>6.3306276587258736E-2</v>
      </c>
      <c r="P193" s="1" t="str">
        <f>HYPERLINK(".\sm_car_260221_0030\sm_car_260221_0030_192_Ca199TrT_MaDLC_DrSt_ode23t_1.png","figure")</f>
        <v>figure</v>
      </c>
      <c r="Q193" t="s">
        <v>15</v>
      </c>
    </row>
    <row r="194" spans="1:17" x14ac:dyDescent="0.25">
      <c r="A194">
        <v>193</v>
      </c>
      <c r="B194">
        <v>199</v>
      </c>
      <c r="C194" t="s">
        <v>46</v>
      </c>
      <c r="D194" t="s">
        <v>17</v>
      </c>
      <c r="E194" t="s">
        <v>109</v>
      </c>
      <c r="F194" t="s">
        <v>19</v>
      </c>
      <c r="G194" t="s">
        <v>26</v>
      </c>
      <c r="H194" t="s">
        <v>65</v>
      </c>
      <c r="I194" t="s">
        <v>53</v>
      </c>
      <c r="J194" t="s">
        <v>148</v>
      </c>
      <c r="K194" t="s">
        <v>23</v>
      </c>
      <c r="L194">
        <v>558</v>
      </c>
      <c r="M194">
        <v>13.2167864</v>
      </c>
      <c r="N194">
        <v>254.80462446855591</v>
      </c>
      <c r="O194">
        <v>7.1333219490246513E-2</v>
      </c>
      <c r="P194" s="1" t="str">
        <f>HYPERLINK(".\sm_car_260221_0030\sm_car_260221_0030_193_Ca199TrE_MaDLC_DrSt_ode23t_1.png","figure")</f>
        <v>figure</v>
      </c>
      <c r="Q194" t="s">
        <v>15</v>
      </c>
    </row>
    <row r="195" spans="1:17" x14ac:dyDescent="0.25">
      <c r="A195">
        <v>194</v>
      </c>
      <c r="B195">
        <v>189</v>
      </c>
      <c r="C195" t="s">
        <v>45</v>
      </c>
      <c r="D195" t="s">
        <v>17</v>
      </c>
      <c r="E195" t="s">
        <v>107</v>
      </c>
      <c r="F195" t="s">
        <v>19</v>
      </c>
      <c r="G195" t="s">
        <v>26</v>
      </c>
      <c r="H195" t="s">
        <v>65</v>
      </c>
      <c r="I195" t="s">
        <v>67</v>
      </c>
      <c r="J195" t="s">
        <v>148</v>
      </c>
      <c r="K195" t="s">
        <v>23</v>
      </c>
      <c r="L195">
        <v>540</v>
      </c>
      <c r="M195">
        <v>17.977161800000001</v>
      </c>
      <c r="N195">
        <v>261.94261905762067</v>
      </c>
      <c r="O195">
        <v>5.0013662910224523</v>
      </c>
      <c r="P195" s="1" t="str">
        <f>HYPERLINK(".\sm_car_260221_0030\sm_car_260221_0030_194_Ca189TrE_MaTRD_DrSt_ode23t_1.png","figure")</f>
        <v>figure</v>
      </c>
      <c r="Q195" t="s">
        <v>15</v>
      </c>
    </row>
    <row r="196" spans="1:17" x14ac:dyDescent="0.25">
      <c r="A196">
        <v>195</v>
      </c>
      <c r="B196">
        <v>189</v>
      </c>
      <c r="C196" t="s">
        <v>45</v>
      </c>
      <c r="D196" t="s">
        <v>17</v>
      </c>
      <c r="E196" t="s">
        <v>107</v>
      </c>
      <c r="F196" t="s">
        <v>19</v>
      </c>
      <c r="G196" t="s">
        <v>26</v>
      </c>
      <c r="H196" t="s">
        <v>65</v>
      </c>
      <c r="I196" t="s">
        <v>67</v>
      </c>
      <c r="J196" t="s">
        <v>148</v>
      </c>
      <c r="K196" t="s">
        <v>23</v>
      </c>
      <c r="L196">
        <v>646</v>
      </c>
      <c r="M196">
        <v>16.756532199999999</v>
      </c>
      <c r="N196">
        <v>261.93954800106866</v>
      </c>
      <c r="O196">
        <v>4.9565663935467343</v>
      </c>
      <c r="P196" s="1" t="str">
        <f>HYPERLINK(".\sm_car_260221_0030\sm_car_260221_0030_195_Ca189TrU_MaTRD_DrSt_ode23t_1.png","figure")</f>
        <v>figure</v>
      </c>
      <c r="Q196" t="s">
        <v>15</v>
      </c>
    </row>
    <row r="197" spans="1:17" x14ac:dyDescent="0.25">
      <c r="A197">
        <v>196</v>
      </c>
      <c r="B197">
        <v>149</v>
      </c>
      <c r="C197" t="s">
        <v>46</v>
      </c>
      <c r="D197" t="s">
        <v>17</v>
      </c>
      <c r="E197" t="s">
        <v>68</v>
      </c>
      <c r="F197" t="s">
        <v>19</v>
      </c>
      <c r="G197" t="s">
        <v>26</v>
      </c>
      <c r="H197" t="s">
        <v>21</v>
      </c>
      <c r="I197" t="s">
        <v>177</v>
      </c>
      <c r="J197" t="s">
        <v>148</v>
      </c>
      <c r="K197" t="s">
        <v>23</v>
      </c>
      <c r="L197">
        <v>1014</v>
      </c>
      <c r="M197">
        <v>12.394133099999999</v>
      </c>
      <c r="N197">
        <v>-6.0436642804124752E-3</v>
      </c>
      <c r="O197">
        <v>-8.9101406334938203E-4</v>
      </c>
      <c r="P197" s="1" t="str">
        <f>HYPERLINK(".\sm_car_260221_0030\sm_car_260221_0030_196_Ca149TrN_MaPS1_DrSt_ode23t_1.png","figure")</f>
        <v>figure</v>
      </c>
      <c r="Q197" t="s">
        <v>15</v>
      </c>
    </row>
    <row r="198" spans="1:17" x14ac:dyDescent="0.25">
      <c r="A198">
        <v>197</v>
      </c>
      <c r="B198">
        <v>149</v>
      </c>
      <c r="C198" t="s">
        <v>46</v>
      </c>
      <c r="D198" t="s">
        <v>17</v>
      </c>
      <c r="E198" t="s">
        <v>68</v>
      </c>
      <c r="F198" t="s">
        <v>19</v>
      </c>
      <c r="G198" t="s">
        <v>26</v>
      </c>
      <c r="H198" t="s">
        <v>21</v>
      </c>
      <c r="I198" t="s">
        <v>178</v>
      </c>
      <c r="J198" t="s">
        <v>148</v>
      </c>
      <c r="K198" t="s">
        <v>23</v>
      </c>
      <c r="L198">
        <v>2927</v>
      </c>
      <c r="M198">
        <v>15.497843700000001</v>
      </c>
      <c r="N198">
        <v>-8.9402472268274025E-3</v>
      </c>
      <c r="O198">
        <v>1.9287239698475133E-3</v>
      </c>
      <c r="P198" s="1" t="str">
        <f>HYPERLINK(".\sm_car_260221_0030\sm_car_260221_0030_197_Ca149TrN_MaPSD_DrSt_ode23t_1.png","figure")</f>
        <v>figure</v>
      </c>
      <c r="Q198" t="s">
        <v>15</v>
      </c>
    </row>
    <row r="199" spans="1:17" x14ac:dyDescent="0.25">
      <c r="A199">
        <v>198</v>
      </c>
      <c r="B199">
        <v>139</v>
      </c>
      <c r="C199" t="s">
        <v>45</v>
      </c>
      <c r="D199" t="s">
        <v>17</v>
      </c>
      <c r="E199" t="s">
        <v>18</v>
      </c>
      <c r="F199" t="s">
        <v>19</v>
      </c>
      <c r="G199" t="s">
        <v>26</v>
      </c>
      <c r="H199" t="s">
        <v>21</v>
      </c>
      <c r="I199" t="s">
        <v>70</v>
      </c>
      <c r="J199" t="s">
        <v>148</v>
      </c>
      <c r="K199" t="s">
        <v>23</v>
      </c>
      <c r="L199">
        <v>1538</v>
      </c>
      <c r="M199">
        <v>36.334215299999997</v>
      </c>
      <c r="N199">
        <v>36.48278679570349</v>
      </c>
      <c r="O199">
        <v>0.22943857638879661</v>
      </c>
      <c r="P199" s="1" t="str">
        <f>HYPERLINK(".\sm_car_260221_0030\sm_car_260221_0030_198_Ca139TrN_MaSKD_DrSt_ode23t_1.png","figure")</f>
        <v>figure</v>
      </c>
      <c r="Q199" t="s">
        <v>15</v>
      </c>
    </row>
    <row r="200" spans="1:17" x14ac:dyDescent="0.25">
      <c r="A200">
        <v>199</v>
      </c>
      <c r="B200">
        <v>139</v>
      </c>
      <c r="C200" t="s">
        <v>45</v>
      </c>
      <c r="D200" t="s">
        <v>17</v>
      </c>
      <c r="E200" t="s">
        <v>18</v>
      </c>
      <c r="F200" t="s">
        <v>19</v>
      </c>
      <c r="G200" t="s">
        <v>26</v>
      </c>
      <c r="H200" t="s">
        <v>21</v>
      </c>
      <c r="I200" t="s">
        <v>71</v>
      </c>
      <c r="J200" t="s">
        <v>148</v>
      </c>
      <c r="K200" t="s">
        <v>23</v>
      </c>
      <c r="L200">
        <v>816</v>
      </c>
      <c r="M200">
        <v>20.316911300000001</v>
      </c>
      <c r="N200">
        <v>-1.3530531180805383E-3</v>
      </c>
      <c r="O200">
        <v>20.609520087098822</v>
      </c>
      <c r="P200" s="1" t="str">
        <f>HYPERLINK(".\sm_car_260221_0030\sm_car_260221_0030_199_Ca139TrN_MaRAD_DrSt_ode23t_1.png","figure")</f>
        <v>figure</v>
      </c>
      <c r="Q200" t="s">
        <v>15</v>
      </c>
    </row>
    <row r="201" spans="1:17" x14ac:dyDescent="0.25">
      <c r="A201">
        <v>200</v>
      </c>
      <c r="B201">
        <v>184</v>
      </c>
      <c r="C201" t="s">
        <v>105</v>
      </c>
      <c r="D201" t="s">
        <v>120</v>
      </c>
      <c r="E201" t="s">
        <v>49</v>
      </c>
      <c r="F201" t="s">
        <v>19</v>
      </c>
      <c r="G201" t="s">
        <v>20</v>
      </c>
      <c r="H201" t="s">
        <v>21</v>
      </c>
      <c r="I201" t="s">
        <v>70</v>
      </c>
      <c r="J201" t="s">
        <v>148</v>
      </c>
      <c r="K201" t="s">
        <v>23</v>
      </c>
      <c r="L201">
        <v>1309</v>
      </c>
      <c r="M201">
        <v>49.808726399999998</v>
      </c>
      <c r="N201">
        <v>36.422070065759577</v>
      </c>
      <c r="O201">
        <v>0.16085776783101888</v>
      </c>
      <c r="P201" s="1" t="str">
        <f>HYPERLINK(".\sm_car_260221_0030\sm_car_260221_0030_200_Ca184TrN_MaSKD_DrSt_ode23t_1.png","figure")</f>
        <v>figure</v>
      </c>
      <c r="Q201" t="s">
        <v>15</v>
      </c>
    </row>
    <row r="202" spans="1:17" x14ac:dyDescent="0.25">
      <c r="A202">
        <v>201</v>
      </c>
      <c r="B202">
        <v>184</v>
      </c>
      <c r="C202" t="s">
        <v>105</v>
      </c>
      <c r="D202" t="s">
        <v>120</v>
      </c>
      <c r="E202" t="s">
        <v>49</v>
      </c>
      <c r="F202" t="s">
        <v>19</v>
      </c>
      <c r="G202" t="s">
        <v>20</v>
      </c>
      <c r="H202" t="s">
        <v>21</v>
      </c>
      <c r="I202" t="s">
        <v>71</v>
      </c>
      <c r="J202" t="s">
        <v>148</v>
      </c>
      <c r="K202" t="s">
        <v>23</v>
      </c>
      <c r="L202">
        <v>648</v>
      </c>
      <c r="M202">
        <v>23.243400000000001</v>
      </c>
      <c r="N202">
        <v>7.4814920966470773</v>
      </c>
      <c r="O202">
        <v>10.383961837344643</v>
      </c>
      <c r="P202" s="1" t="str">
        <f>HYPERLINK(".\sm_car_260221_0030\sm_car_260221_0030_201_Ca184TrN_MaRAD_DrSt_ode23t_1.png","figure")</f>
        <v>figure</v>
      </c>
      <c r="Q202" t="s">
        <v>15</v>
      </c>
    </row>
    <row r="203" spans="1:17" x14ac:dyDescent="0.25">
      <c r="A203">
        <v>202</v>
      </c>
      <c r="B203">
        <v>228</v>
      </c>
      <c r="C203" t="s">
        <v>160</v>
      </c>
      <c r="D203" t="s">
        <v>35</v>
      </c>
      <c r="E203" t="s">
        <v>107</v>
      </c>
      <c r="F203" t="s">
        <v>19</v>
      </c>
      <c r="G203" t="s">
        <v>26</v>
      </c>
      <c r="H203" t="s">
        <v>21</v>
      </c>
      <c r="I203" t="s">
        <v>70</v>
      </c>
      <c r="J203" t="s">
        <v>148</v>
      </c>
      <c r="K203" t="s">
        <v>23</v>
      </c>
      <c r="L203">
        <v>1624</v>
      </c>
      <c r="M203">
        <v>7.1643853000000002</v>
      </c>
      <c r="N203">
        <v>36.370791305125323</v>
      </c>
      <c r="O203">
        <v>0.58540629472771133</v>
      </c>
      <c r="P203" s="1" t="str">
        <f>HYPERLINK(".\sm_car_260221_0030\sm_car_260221_0030_202_Ca228TrN_MaSKD_DrSt_ode23t_1.png","figure")</f>
        <v>figure</v>
      </c>
      <c r="Q203" t="s">
        <v>15</v>
      </c>
    </row>
    <row r="204" spans="1:17" x14ac:dyDescent="0.25">
      <c r="A204">
        <v>203</v>
      </c>
      <c r="B204">
        <v>228</v>
      </c>
      <c r="C204" t="s">
        <v>160</v>
      </c>
      <c r="D204" t="s">
        <v>35</v>
      </c>
      <c r="E204" t="s">
        <v>107</v>
      </c>
      <c r="F204" t="s">
        <v>19</v>
      </c>
      <c r="G204" t="s">
        <v>26</v>
      </c>
      <c r="H204" t="s">
        <v>21</v>
      </c>
      <c r="I204" t="s">
        <v>71</v>
      </c>
      <c r="J204" t="s">
        <v>148</v>
      </c>
      <c r="K204" t="s">
        <v>23</v>
      </c>
      <c r="L204">
        <v>1781</v>
      </c>
      <c r="M204">
        <v>7.9437395000000004</v>
      </c>
      <c r="N204">
        <v>-1.6453199166030998</v>
      </c>
      <c r="O204">
        <v>-45.18108130424973</v>
      </c>
      <c r="P204" s="1" t="str">
        <f>HYPERLINK(".\sm_car_260221_0030\sm_car_260221_0030_203_Ca228TrN_MaRAD_DrSt_ode23t_1.png","figure")</f>
        <v>figure</v>
      </c>
      <c r="Q204" t="s">
        <v>15</v>
      </c>
    </row>
    <row r="205" spans="1:17" x14ac:dyDescent="0.25">
      <c r="A205">
        <v>204</v>
      </c>
      <c r="B205">
        <v>230</v>
      </c>
      <c r="C205" t="s">
        <v>160</v>
      </c>
      <c r="D205" t="s">
        <v>161</v>
      </c>
      <c r="E205" t="s">
        <v>162</v>
      </c>
      <c r="F205" t="s">
        <v>19</v>
      </c>
      <c r="G205" t="s">
        <v>26</v>
      </c>
      <c r="H205" t="s">
        <v>21</v>
      </c>
      <c r="I205" t="s">
        <v>70</v>
      </c>
      <c r="J205" t="s">
        <v>148</v>
      </c>
      <c r="K205" t="s">
        <v>23</v>
      </c>
      <c r="L205">
        <v>1440</v>
      </c>
      <c r="M205">
        <v>27.997773800000001</v>
      </c>
      <c r="N205">
        <v>36.610040826201718</v>
      </c>
      <c r="O205">
        <v>-0.67079306020982365</v>
      </c>
      <c r="P205" s="1" t="str">
        <f>HYPERLINK(".\sm_car_260221_0030\sm_car_260221_0030_204_Ca230TrN_MaSKD_DrSt_ode23t_1.png","figure")</f>
        <v>figure</v>
      </c>
      <c r="Q205" t="s">
        <v>15</v>
      </c>
    </row>
    <row r="206" spans="1:17" x14ac:dyDescent="0.25">
      <c r="A206">
        <v>205</v>
      </c>
      <c r="B206">
        <v>230</v>
      </c>
      <c r="C206" t="s">
        <v>160</v>
      </c>
      <c r="D206" t="s">
        <v>161</v>
      </c>
      <c r="E206" t="s">
        <v>162</v>
      </c>
      <c r="F206" t="s">
        <v>19</v>
      </c>
      <c r="G206" t="s">
        <v>26</v>
      </c>
      <c r="H206" t="s">
        <v>21</v>
      </c>
      <c r="I206" t="s">
        <v>71</v>
      </c>
      <c r="J206" t="s">
        <v>148</v>
      </c>
      <c r="K206" t="s">
        <v>23</v>
      </c>
      <c r="L206">
        <v>2325</v>
      </c>
      <c r="M206">
        <v>37.084379900000002</v>
      </c>
      <c r="N206">
        <v>29.028992415697914</v>
      </c>
      <c r="O206">
        <v>-14.907078959068924</v>
      </c>
      <c r="P206" s="1" t="str">
        <f>HYPERLINK(".\sm_car_260221_0030\sm_car_260221_0030_205_Ca230TrN_MaRAD_DrSt_ode23t_1.png","figure")</f>
        <v>figure</v>
      </c>
      <c r="Q206" t="s">
        <v>15</v>
      </c>
    </row>
    <row r="207" spans="1:17" x14ac:dyDescent="0.25">
      <c r="A207">
        <v>206</v>
      </c>
      <c r="B207">
        <v>231</v>
      </c>
      <c r="C207" t="s">
        <v>160</v>
      </c>
      <c r="D207" t="s">
        <v>172</v>
      </c>
      <c r="E207" t="s">
        <v>162</v>
      </c>
      <c r="F207" t="s">
        <v>19</v>
      </c>
      <c r="G207" t="s">
        <v>26</v>
      </c>
      <c r="H207" t="s">
        <v>21</v>
      </c>
      <c r="I207" t="s">
        <v>70</v>
      </c>
      <c r="J207" t="s">
        <v>148</v>
      </c>
      <c r="K207" t="s">
        <v>23</v>
      </c>
      <c r="L207">
        <v>1493</v>
      </c>
      <c r="M207">
        <v>28.4271815</v>
      </c>
      <c r="N207">
        <v>36.320081906643949</v>
      </c>
      <c r="O207">
        <v>-0.27652950674965826</v>
      </c>
      <c r="P207" s="1" t="str">
        <f>HYPERLINK(".\sm_car_260221_0030\sm_car_260221_0030_206_Ca231TrN_MaSKD_DrSt_ode23t_1.png","figure")</f>
        <v>figure</v>
      </c>
      <c r="Q207" t="s">
        <v>15</v>
      </c>
    </row>
    <row r="208" spans="1:17" x14ac:dyDescent="0.25">
      <c r="A208">
        <v>207</v>
      </c>
      <c r="B208">
        <v>231</v>
      </c>
      <c r="C208" t="s">
        <v>160</v>
      </c>
      <c r="D208" t="s">
        <v>172</v>
      </c>
      <c r="E208" t="s">
        <v>162</v>
      </c>
      <c r="F208" t="s">
        <v>19</v>
      </c>
      <c r="G208" t="s">
        <v>26</v>
      </c>
      <c r="H208" t="s">
        <v>21</v>
      </c>
      <c r="I208" t="s">
        <v>71</v>
      </c>
      <c r="J208" t="s">
        <v>148</v>
      </c>
      <c r="K208" t="s">
        <v>23</v>
      </c>
      <c r="L208">
        <v>3103</v>
      </c>
      <c r="M208">
        <v>49.179703699999997</v>
      </c>
      <c r="N208">
        <v>33.091517701822767</v>
      </c>
      <c r="O208">
        <v>4.5481193784094467</v>
      </c>
      <c r="P208" s="1" t="str">
        <f>HYPERLINK(".\sm_car_260221_0030\sm_car_260221_0030_207_Ca231TrN_MaRAD_DrSt_ode23t_1.png","figure")</f>
        <v>figure</v>
      </c>
      <c r="Q208" t="s">
        <v>15</v>
      </c>
    </row>
    <row r="209" spans="1:17" x14ac:dyDescent="0.25">
      <c r="A209">
        <v>208</v>
      </c>
      <c r="B209">
        <v>233</v>
      </c>
      <c r="C209" t="s">
        <v>45</v>
      </c>
      <c r="D209" t="s">
        <v>17</v>
      </c>
      <c r="E209" t="s">
        <v>107</v>
      </c>
      <c r="F209" t="s">
        <v>19</v>
      </c>
      <c r="G209" t="s">
        <v>182</v>
      </c>
      <c r="H209" t="s">
        <v>21</v>
      </c>
      <c r="I209" t="s">
        <v>70</v>
      </c>
      <c r="J209" t="s">
        <v>148</v>
      </c>
      <c r="K209" t="s">
        <v>23</v>
      </c>
      <c r="L209">
        <v>1604</v>
      </c>
      <c r="M209">
        <v>30.152763199999999</v>
      </c>
      <c r="N209">
        <v>36.914314723457636</v>
      </c>
      <c r="O209">
        <v>-0.31556547118655065</v>
      </c>
      <c r="P209" s="1" t="str">
        <f>HYPERLINK(".\sm_car_260221_0030\sm_car_260221_0030_208_Ca233TrN_MaSKD_DrSt_ode23t_1.png","figure")</f>
        <v>figure</v>
      </c>
      <c r="Q209" t="s">
        <v>15</v>
      </c>
    </row>
    <row r="210" spans="1:17" x14ac:dyDescent="0.25">
      <c r="A210">
        <v>209</v>
      </c>
      <c r="B210">
        <v>233</v>
      </c>
      <c r="C210" t="s">
        <v>45</v>
      </c>
      <c r="D210" t="s">
        <v>17</v>
      </c>
      <c r="E210" t="s">
        <v>107</v>
      </c>
      <c r="F210" t="s">
        <v>19</v>
      </c>
      <c r="G210" t="s">
        <v>182</v>
      </c>
      <c r="H210" t="s">
        <v>21</v>
      </c>
      <c r="I210" t="s">
        <v>71</v>
      </c>
      <c r="J210" t="s">
        <v>148</v>
      </c>
      <c r="K210" t="s">
        <v>23</v>
      </c>
      <c r="L210">
        <v>909</v>
      </c>
      <c r="M210">
        <v>16.011921000000001</v>
      </c>
      <c r="N210">
        <v>-6.6786583739182745</v>
      </c>
      <c r="O210">
        <v>25.212879712605787</v>
      </c>
      <c r="P210" s="1" t="str">
        <f>HYPERLINK(".\sm_car_260221_0030\sm_car_260221_0030_209_Ca233TrN_MaRAD_DrSt_ode23t_1.png","figure")</f>
        <v>figure</v>
      </c>
      <c r="Q210" t="s">
        <v>15</v>
      </c>
    </row>
    <row r="211" spans="1:17" x14ac:dyDescent="0.25">
      <c r="A211">
        <v>210</v>
      </c>
      <c r="B211">
        <v>234</v>
      </c>
      <c r="C211" t="s">
        <v>45</v>
      </c>
      <c r="D211" t="s">
        <v>17</v>
      </c>
      <c r="E211" t="s">
        <v>107</v>
      </c>
      <c r="F211" t="s">
        <v>19</v>
      </c>
      <c r="G211" t="s">
        <v>183</v>
      </c>
      <c r="H211" t="s">
        <v>21</v>
      </c>
      <c r="I211" t="s">
        <v>70</v>
      </c>
      <c r="J211" t="s">
        <v>148</v>
      </c>
      <c r="K211" t="s">
        <v>23</v>
      </c>
      <c r="L211">
        <v>3121</v>
      </c>
      <c r="M211">
        <v>51.723364699999998</v>
      </c>
      <c r="N211">
        <v>36.378412667800042</v>
      </c>
      <c r="O211">
        <v>-0.30495161677289162</v>
      </c>
      <c r="P211" s="1" t="str">
        <f>HYPERLINK(".\sm_car_260221_0030\sm_car_260221_0030_210_Ca234TrN_MaSKD_DrSt_ode23t_1.png","figure")</f>
        <v>figure</v>
      </c>
      <c r="Q211" t="s">
        <v>15</v>
      </c>
    </row>
    <row r="212" spans="1:17" x14ac:dyDescent="0.25">
      <c r="A212">
        <v>211</v>
      </c>
      <c r="B212">
        <v>234</v>
      </c>
      <c r="C212" t="s">
        <v>45</v>
      </c>
      <c r="D212" t="s">
        <v>17</v>
      </c>
      <c r="E212" t="s">
        <v>107</v>
      </c>
      <c r="F212" t="s">
        <v>19</v>
      </c>
      <c r="G212" t="s">
        <v>183</v>
      </c>
      <c r="H212" t="s">
        <v>21</v>
      </c>
      <c r="I212" t="s">
        <v>71</v>
      </c>
      <c r="J212" t="s">
        <v>148</v>
      </c>
      <c r="K212" t="s">
        <v>23</v>
      </c>
      <c r="L212">
        <v>1741</v>
      </c>
      <c r="M212">
        <v>31.274425099999998</v>
      </c>
      <c r="N212">
        <v>-6.4042626307762198</v>
      </c>
      <c r="O212">
        <v>25.361276083275079</v>
      </c>
      <c r="P212" s="1" t="str">
        <f>HYPERLINK(".\sm_car_260221_0030\sm_car_260221_0030_211_Ca234TrN_MaRAD_DrSt_ode23t_1.png","figure")</f>
        <v>figure</v>
      </c>
      <c r="Q212" t="s">
        <v>15</v>
      </c>
    </row>
    <row r="213" spans="1:17" x14ac:dyDescent="0.25">
      <c r="A213">
        <v>212</v>
      </c>
      <c r="B213">
        <v>198</v>
      </c>
      <c r="C213" t="s">
        <v>105</v>
      </c>
      <c r="D213" t="s">
        <v>120</v>
      </c>
      <c r="E213" t="s">
        <v>107</v>
      </c>
      <c r="F213" t="s">
        <v>19</v>
      </c>
      <c r="G213" t="s">
        <v>20</v>
      </c>
      <c r="H213" t="s">
        <v>21</v>
      </c>
      <c r="I213" t="s">
        <v>70</v>
      </c>
      <c r="J213" t="s">
        <v>148</v>
      </c>
      <c r="K213" t="s">
        <v>23</v>
      </c>
      <c r="L213">
        <v>1399</v>
      </c>
      <c r="M213">
        <v>30.642184799999999</v>
      </c>
      <c r="N213">
        <v>36.335168641274429</v>
      </c>
      <c r="O213">
        <v>0.16360473213823185</v>
      </c>
      <c r="P213" s="1" t="str">
        <f>HYPERLINK(".\sm_car_260221_0030\sm_car_260221_0030_212_Ca198TrN_MaSKD_DrSt_ode23t_1.png","figure")</f>
        <v>figure</v>
      </c>
      <c r="Q213" t="s">
        <v>15</v>
      </c>
    </row>
    <row r="214" spans="1:17" x14ac:dyDescent="0.25">
      <c r="A214">
        <v>213</v>
      </c>
      <c r="B214">
        <v>198</v>
      </c>
      <c r="C214" t="s">
        <v>105</v>
      </c>
      <c r="D214" t="s">
        <v>120</v>
      </c>
      <c r="E214" t="s">
        <v>107</v>
      </c>
      <c r="F214" t="s">
        <v>19</v>
      </c>
      <c r="G214" t="s">
        <v>20</v>
      </c>
      <c r="H214" t="s">
        <v>21</v>
      </c>
      <c r="I214" t="s">
        <v>71</v>
      </c>
      <c r="J214" t="s">
        <v>148</v>
      </c>
      <c r="K214" t="s">
        <v>23</v>
      </c>
      <c r="L214">
        <v>687</v>
      </c>
      <c r="M214">
        <v>15.075655599999999</v>
      </c>
      <c r="N214">
        <v>7.5256851531816622</v>
      </c>
      <c r="O214">
        <v>10.290299186474739</v>
      </c>
      <c r="P214" s="1" t="str">
        <f>HYPERLINK(".\sm_car_260221_0030\sm_car_260221_0030_213_Ca198TrN_MaRAD_DrSt_ode23t_1.png","figure")</f>
        <v>figure</v>
      </c>
      <c r="Q214" t="s">
        <v>15</v>
      </c>
    </row>
    <row r="215" spans="1:17" x14ac:dyDescent="0.25">
      <c r="A215">
        <v>214</v>
      </c>
      <c r="B215">
        <v>189</v>
      </c>
      <c r="C215" t="s">
        <v>45</v>
      </c>
      <c r="D215" t="s">
        <v>17</v>
      </c>
      <c r="E215" t="s">
        <v>107</v>
      </c>
      <c r="F215" t="s">
        <v>19</v>
      </c>
      <c r="G215" t="s">
        <v>26</v>
      </c>
      <c r="H215" t="s">
        <v>21</v>
      </c>
      <c r="I215" t="s">
        <v>132</v>
      </c>
      <c r="J215" t="s">
        <v>148</v>
      </c>
      <c r="K215" t="s">
        <v>23</v>
      </c>
      <c r="L215">
        <v>546</v>
      </c>
      <c r="M215">
        <v>13.442408</v>
      </c>
      <c r="N215">
        <v>134.96140125379222</v>
      </c>
      <c r="O215">
        <v>-13.937469721405703</v>
      </c>
      <c r="P215" s="1" t="str">
        <f>HYPERLINK(".\sm_car_260221_0030\sm_car_260221_0030_214_Ca189TrN_MaFSH_DrSt_ode23t_1.png","figure")</f>
        <v>figure</v>
      </c>
      <c r="Q215" t="s">
        <v>15</v>
      </c>
    </row>
    <row r="216" spans="1:17" x14ac:dyDescent="0.25">
      <c r="A216">
        <v>215</v>
      </c>
      <c r="B216">
        <v>189</v>
      </c>
      <c r="C216" t="s">
        <v>45</v>
      </c>
      <c r="D216" t="s">
        <v>17</v>
      </c>
      <c r="E216" t="s">
        <v>107</v>
      </c>
      <c r="F216" t="s">
        <v>19</v>
      </c>
      <c r="G216" t="s">
        <v>26</v>
      </c>
      <c r="H216" t="s">
        <v>21</v>
      </c>
      <c r="I216" t="s">
        <v>133</v>
      </c>
      <c r="J216" t="s">
        <v>148</v>
      </c>
      <c r="K216" t="s">
        <v>23</v>
      </c>
      <c r="L216">
        <v>413</v>
      </c>
      <c r="M216">
        <v>9.2683958999999998</v>
      </c>
      <c r="N216">
        <v>128.72593385180062</v>
      </c>
      <c r="O216">
        <v>-9.2445729132102361</v>
      </c>
      <c r="P216" s="1" t="str">
        <f>HYPERLINK(".\sm_car_260221_0030\sm_car_260221_0030_215_Ca189TrN_MaSWD_DrSt_ode23t_1.png","figure")</f>
        <v>figure</v>
      </c>
      <c r="Q216" t="s">
        <v>15</v>
      </c>
    </row>
    <row r="217" spans="1:17" x14ac:dyDescent="0.25">
      <c r="A217">
        <v>216</v>
      </c>
      <c r="B217">
        <v>189</v>
      </c>
      <c r="C217" t="s">
        <v>45</v>
      </c>
      <c r="D217" t="s">
        <v>17</v>
      </c>
      <c r="E217" t="s">
        <v>107</v>
      </c>
      <c r="F217" t="s">
        <v>19</v>
      </c>
      <c r="G217" t="s">
        <v>26</v>
      </c>
      <c r="H217" t="s">
        <v>21</v>
      </c>
      <c r="I217" t="s">
        <v>134</v>
      </c>
      <c r="J217" t="s">
        <v>148</v>
      </c>
      <c r="K217" t="s">
        <v>23</v>
      </c>
      <c r="L217">
        <v>419</v>
      </c>
      <c r="M217">
        <v>11.2617601</v>
      </c>
      <c r="N217">
        <v>112.51915498531049</v>
      </c>
      <c r="O217">
        <v>18.046265813203696</v>
      </c>
      <c r="P217" s="1" t="str">
        <f>HYPERLINK(".\sm_car_260221_0030\sm_car_260221_0030_216_Ca189TrN_MaRST_DrSt_ode23t_1.png","figure")</f>
        <v>figure</v>
      </c>
      <c r="Q217" t="s">
        <v>15</v>
      </c>
    </row>
    <row r="218" spans="1:17" x14ac:dyDescent="0.25">
      <c r="A218">
        <v>217</v>
      </c>
      <c r="B218">
        <v>189</v>
      </c>
      <c r="C218" t="s">
        <v>45</v>
      </c>
      <c r="D218" t="s">
        <v>17</v>
      </c>
      <c r="E218" t="s">
        <v>107</v>
      </c>
      <c r="F218" t="s">
        <v>19</v>
      </c>
      <c r="G218" t="s">
        <v>26</v>
      </c>
      <c r="H218" t="s">
        <v>21</v>
      </c>
      <c r="I218" t="s">
        <v>135</v>
      </c>
      <c r="J218" t="s">
        <v>148</v>
      </c>
      <c r="K218" t="s">
        <v>23</v>
      </c>
      <c r="L218">
        <v>580</v>
      </c>
      <c r="M218">
        <v>18.986245400000001</v>
      </c>
      <c r="N218">
        <v>224.05057298349203</v>
      </c>
      <c r="O218">
        <v>0.10726784880949151</v>
      </c>
      <c r="P218" s="1" t="str">
        <f>HYPERLINK(".\sm_car_260221_0030\sm_car_260221_0030_217_Ca189TrN_MaSLA_DrSt_ode23t_1.png","figure")</f>
        <v>figure</v>
      </c>
      <c r="Q218" t="s">
        <v>15</v>
      </c>
    </row>
    <row r="219" spans="1:17" x14ac:dyDescent="0.25">
      <c r="A219">
        <v>218</v>
      </c>
      <c r="B219">
        <v>189</v>
      </c>
      <c r="C219" t="s">
        <v>45</v>
      </c>
      <c r="D219" t="s">
        <v>17</v>
      </c>
      <c r="E219" t="s">
        <v>107</v>
      </c>
      <c r="F219" t="s">
        <v>19</v>
      </c>
      <c r="G219" t="s">
        <v>26</v>
      </c>
      <c r="H219" t="s">
        <v>21</v>
      </c>
      <c r="I219" t="s">
        <v>195</v>
      </c>
      <c r="J219" t="s">
        <v>148</v>
      </c>
      <c r="K219" t="s">
        <v>23</v>
      </c>
      <c r="L219">
        <v>831</v>
      </c>
      <c r="M219">
        <v>15.8620223</v>
      </c>
      <c r="N219">
        <v>2436.8151062596394</v>
      </c>
      <c r="O219">
        <v>5.2373446257907485E-4</v>
      </c>
      <c r="P219" s="1" t="str">
        <f>HYPERLINK(".\sm_car_260221_0030\sm_car_260221_0030_218_Ca189TrN_MaCOA_DrSt_ode23t_1.png","figure")</f>
        <v>figure</v>
      </c>
      <c r="Q219" t="s">
        <v>15</v>
      </c>
    </row>
    <row r="220" spans="1:17" x14ac:dyDescent="0.25">
      <c r="A220">
        <v>219</v>
      </c>
      <c r="B220">
        <v>218</v>
      </c>
      <c r="C220" t="s">
        <v>16</v>
      </c>
      <c r="D220" t="s">
        <v>128</v>
      </c>
      <c r="E220" t="s">
        <v>107</v>
      </c>
      <c r="F220" t="s">
        <v>19</v>
      </c>
      <c r="G220" t="s">
        <v>188</v>
      </c>
      <c r="H220" t="s">
        <v>21</v>
      </c>
      <c r="I220" t="s">
        <v>132</v>
      </c>
      <c r="J220" t="s">
        <v>148</v>
      </c>
      <c r="K220" t="s">
        <v>23</v>
      </c>
      <c r="L220">
        <v>558</v>
      </c>
      <c r="M220">
        <v>10.325503700000001</v>
      </c>
      <c r="N220">
        <v>101.32755864673589</v>
      </c>
      <c r="O220">
        <v>-21.93296861702887</v>
      </c>
      <c r="P220" s="1" t="str">
        <f>HYPERLINK(".\sm_car_260221_0030\sm_car_260221_0030_219_Ca218TrN_MaFSH_DrSt_ode23t_1.png","figure")</f>
        <v>figure</v>
      </c>
      <c r="Q220" t="s">
        <v>15</v>
      </c>
    </row>
    <row r="221" spans="1:17" x14ac:dyDescent="0.25">
      <c r="A221">
        <v>220</v>
      </c>
      <c r="B221">
        <v>218</v>
      </c>
      <c r="C221" t="s">
        <v>16</v>
      </c>
      <c r="D221" t="s">
        <v>128</v>
      </c>
      <c r="E221" t="s">
        <v>107</v>
      </c>
      <c r="F221" t="s">
        <v>19</v>
      </c>
      <c r="G221" t="s">
        <v>188</v>
      </c>
      <c r="H221" t="s">
        <v>21</v>
      </c>
      <c r="I221" t="s">
        <v>133</v>
      </c>
      <c r="J221" t="s">
        <v>148</v>
      </c>
      <c r="K221" t="s">
        <v>23</v>
      </c>
      <c r="L221">
        <v>437</v>
      </c>
      <c r="M221">
        <v>7.2330212999999999</v>
      </c>
      <c r="N221">
        <v>136.14874716073516</v>
      </c>
      <c r="O221">
        <v>-8.8924586307145628</v>
      </c>
      <c r="P221" s="1" t="str">
        <f>HYPERLINK(".\sm_car_260221_0030\sm_car_260221_0030_220_Ca218TrN_MaSWD_DrSt_ode23t_1.png","figure")</f>
        <v>figure</v>
      </c>
      <c r="Q221" t="s">
        <v>15</v>
      </c>
    </row>
    <row r="222" spans="1:17" x14ac:dyDescent="0.25">
      <c r="A222">
        <v>221</v>
      </c>
      <c r="B222">
        <v>218</v>
      </c>
      <c r="C222" t="s">
        <v>16</v>
      </c>
      <c r="D222" t="s">
        <v>128</v>
      </c>
      <c r="E222" t="s">
        <v>107</v>
      </c>
      <c r="F222" t="s">
        <v>19</v>
      </c>
      <c r="G222" t="s">
        <v>188</v>
      </c>
      <c r="H222" t="s">
        <v>21</v>
      </c>
      <c r="I222" t="s">
        <v>134</v>
      </c>
      <c r="J222" t="s">
        <v>148</v>
      </c>
      <c r="K222" t="s">
        <v>23</v>
      </c>
      <c r="L222">
        <v>367</v>
      </c>
      <c r="M222">
        <v>6.1693388999999996</v>
      </c>
      <c r="N222">
        <v>101.82315250872905</v>
      </c>
      <c r="O222">
        <v>29.386817251811802</v>
      </c>
      <c r="P222" s="1" t="str">
        <f>HYPERLINK(".\sm_car_260221_0030\sm_car_260221_0030_221_Ca218TrN_MaRST_DrSt_ode23t_1.png","figure")</f>
        <v>figure</v>
      </c>
      <c r="Q222" t="s">
        <v>15</v>
      </c>
    </row>
    <row r="223" spans="1:17" x14ac:dyDescent="0.25">
      <c r="A223">
        <v>222</v>
      </c>
      <c r="B223">
        <v>218</v>
      </c>
      <c r="C223" t="s">
        <v>16</v>
      </c>
      <c r="D223" t="s">
        <v>128</v>
      </c>
      <c r="E223" t="s">
        <v>107</v>
      </c>
      <c r="F223" t="s">
        <v>19</v>
      </c>
      <c r="G223" t="s">
        <v>188</v>
      </c>
      <c r="H223" t="s">
        <v>21</v>
      </c>
      <c r="I223" t="s">
        <v>135</v>
      </c>
      <c r="J223" t="s">
        <v>148</v>
      </c>
      <c r="K223" t="s">
        <v>23</v>
      </c>
      <c r="L223">
        <v>671</v>
      </c>
      <c r="M223">
        <v>17.9851426</v>
      </c>
      <c r="N223">
        <v>222.43907852932972</v>
      </c>
      <c r="O223">
        <v>0.10604489782483803</v>
      </c>
      <c r="P223" s="1" t="str">
        <f>HYPERLINK(".\sm_car_260221_0030\sm_car_260221_0030_222_Ca218TrN_MaSLA_DrSt_ode23t_1.png","figure")</f>
        <v>figure</v>
      </c>
      <c r="Q223" t="s">
        <v>15</v>
      </c>
    </row>
    <row r="224" spans="1:17" x14ac:dyDescent="0.25">
      <c r="A224">
        <v>223</v>
      </c>
      <c r="B224">
        <v>218</v>
      </c>
      <c r="C224" t="s">
        <v>16</v>
      </c>
      <c r="D224" t="s">
        <v>128</v>
      </c>
      <c r="E224" t="s">
        <v>107</v>
      </c>
      <c r="F224" t="s">
        <v>19</v>
      </c>
      <c r="G224" t="s">
        <v>188</v>
      </c>
      <c r="H224" t="s">
        <v>21</v>
      </c>
      <c r="I224" t="s">
        <v>195</v>
      </c>
      <c r="J224" t="s">
        <v>148</v>
      </c>
      <c r="K224" t="s">
        <v>23</v>
      </c>
      <c r="L224">
        <v>853</v>
      </c>
      <c r="M224">
        <v>6.4485549000000004</v>
      </c>
      <c r="N224">
        <v>2944.9314459184311</v>
      </c>
      <c r="O224">
        <v>1.0983434420224786E-4</v>
      </c>
      <c r="P224" s="1" t="str">
        <f>HYPERLINK(".\sm_car_260221_0030\sm_car_260221_0030_223_Ca218TrN_MaCOA_DrSt_ode23t_1.png","figure")</f>
        <v>figure</v>
      </c>
      <c r="Q224" t="s">
        <v>15</v>
      </c>
    </row>
    <row r="225" spans="1:17" x14ac:dyDescent="0.25">
      <c r="A225">
        <v>224</v>
      </c>
      <c r="B225">
        <v>239</v>
      </c>
      <c r="C225" t="s">
        <v>45</v>
      </c>
      <c r="D225" t="s">
        <v>196</v>
      </c>
      <c r="E225" t="s">
        <v>107</v>
      </c>
      <c r="F225" t="s">
        <v>19</v>
      </c>
      <c r="G225" t="s">
        <v>26</v>
      </c>
      <c r="H225" t="s">
        <v>21</v>
      </c>
      <c r="I225" t="s">
        <v>132</v>
      </c>
      <c r="J225" t="s">
        <v>148</v>
      </c>
      <c r="K225" t="s">
        <v>23</v>
      </c>
      <c r="L225">
        <v>734</v>
      </c>
      <c r="M225">
        <v>3.7150449000000001</v>
      </c>
      <c r="N225">
        <v>114.38859310022936</v>
      </c>
      <c r="O225">
        <v>-19.106554320342209</v>
      </c>
      <c r="P225" s="1" t="str">
        <f>HYPERLINK(".\sm_car_260221_0030\sm_car_260221_0030_224_Ca239TrN_MaFSH_DrSt_ode23t_1.png","figure")</f>
        <v>figure</v>
      </c>
      <c r="Q225" t="s">
        <v>15</v>
      </c>
    </row>
    <row r="226" spans="1:17" x14ac:dyDescent="0.25">
      <c r="A226">
        <v>225</v>
      </c>
      <c r="B226">
        <v>239</v>
      </c>
      <c r="C226" t="s">
        <v>45</v>
      </c>
      <c r="D226" t="s">
        <v>196</v>
      </c>
      <c r="E226" t="s">
        <v>107</v>
      </c>
      <c r="F226" t="s">
        <v>19</v>
      </c>
      <c r="G226" t="s">
        <v>26</v>
      </c>
      <c r="H226" t="s">
        <v>21</v>
      </c>
      <c r="I226" t="s">
        <v>133</v>
      </c>
      <c r="J226" t="s">
        <v>148</v>
      </c>
      <c r="K226" t="s">
        <v>23</v>
      </c>
      <c r="L226">
        <v>650</v>
      </c>
      <c r="M226">
        <v>2.9207185999999998</v>
      </c>
      <c r="N226">
        <v>140.15754605445662</v>
      </c>
      <c r="O226">
        <v>-10.946098243041565</v>
      </c>
      <c r="P226" s="1" t="str">
        <f>HYPERLINK(".\sm_car_260221_0030\sm_car_260221_0030_225_Ca239TrN_MaSWD_DrSt_ode23t_1.png","figure")</f>
        <v>figure</v>
      </c>
      <c r="Q226" t="s">
        <v>15</v>
      </c>
    </row>
    <row r="227" spans="1:17" x14ac:dyDescent="0.25">
      <c r="A227">
        <v>226</v>
      </c>
      <c r="B227">
        <v>239</v>
      </c>
      <c r="C227" t="s">
        <v>45</v>
      </c>
      <c r="D227" t="s">
        <v>196</v>
      </c>
      <c r="E227" t="s">
        <v>107</v>
      </c>
      <c r="F227" t="s">
        <v>19</v>
      </c>
      <c r="G227" t="s">
        <v>26</v>
      </c>
      <c r="H227" t="s">
        <v>21</v>
      </c>
      <c r="I227" t="s">
        <v>134</v>
      </c>
      <c r="J227" t="s">
        <v>148</v>
      </c>
      <c r="K227" t="s">
        <v>23</v>
      </c>
      <c r="L227">
        <v>458</v>
      </c>
      <c r="M227">
        <v>2.6781340999999999</v>
      </c>
      <c r="N227">
        <v>110.53356642011643</v>
      </c>
      <c r="O227">
        <v>30.870218872055439</v>
      </c>
      <c r="P227" s="1" t="str">
        <f>HYPERLINK(".\sm_car_260221_0030\sm_car_260221_0030_226_Ca239TrN_MaRST_DrSt_ode23t_1.png","figure")</f>
        <v>figure</v>
      </c>
      <c r="Q227" t="s">
        <v>15</v>
      </c>
    </row>
    <row r="228" spans="1:17" x14ac:dyDescent="0.25">
      <c r="A228">
        <v>227</v>
      </c>
      <c r="B228">
        <v>239</v>
      </c>
      <c r="C228" t="s">
        <v>45</v>
      </c>
      <c r="D228" t="s">
        <v>196</v>
      </c>
      <c r="E228" t="s">
        <v>107</v>
      </c>
      <c r="F228" t="s">
        <v>19</v>
      </c>
      <c r="G228" t="s">
        <v>26</v>
      </c>
      <c r="H228" t="s">
        <v>21</v>
      </c>
      <c r="I228" t="s">
        <v>135</v>
      </c>
      <c r="J228" t="s">
        <v>148</v>
      </c>
      <c r="K228" t="s">
        <v>23</v>
      </c>
      <c r="L228">
        <v>1266</v>
      </c>
      <c r="M228">
        <v>3.7713622</v>
      </c>
      <c r="N228">
        <v>225.49895821785194</v>
      </c>
      <c r="O228">
        <v>0.11504287022802871</v>
      </c>
      <c r="P228" s="1" t="str">
        <f>HYPERLINK(".\sm_car_260221_0030\sm_car_260221_0030_227_Ca239TrN_MaSLA_DrSt_ode23t_1.png","figure")</f>
        <v>figure</v>
      </c>
      <c r="Q228" t="s">
        <v>15</v>
      </c>
    </row>
    <row r="229" spans="1:17" x14ac:dyDescent="0.25">
      <c r="A229">
        <v>228</v>
      </c>
      <c r="B229">
        <v>239</v>
      </c>
      <c r="C229" t="s">
        <v>45</v>
      </c>
      <c r="D229" t="s">
        <v>196</v>
      </c>
      <c r="E229" t="s">
        <v>107</v>
      </c>
      <c r="F229" t="s">
        <v>19</v>
      </c>
      <c r="G229" t="s">
        <v>26</v>
      </c>
      <c r="H229" t="s">
        <v>21</v>
      </c>
      <c r="I229" t="s">
        <v>195</v>
      </c>
      <c r="J229" t="s">
        <v>148</v>
      </c>
      <c r="K229" t="s">
        <v>23</v>
      </c>
      <c r="L229">
        <v>798</v>
      </c>
      <c r="M229">
        <v>2.8772783999999998</v>
      </c>
      <c r="N229">
        <v>2463.0552565632206</v>
      </c>
      <c r="O229">
        <v>7.2522770521032411E-4</v>
      </c>
      <c r="P229" s="1" t="str">
        <f>HYPERLINK(".\sm_car_260221_0030\sm_car_260221_0030_228_Ca239TrN_MaCOA_DrSt_ode23t_1.png","figure")</f>
        <v>figure</v>
      </c>
      <c r="Q229" t="s">
        <v>15</v>
      </c>
    </row>
    <row r="230" spans="1:17" x14ac:dyDescent="0.25">
      <c r="A230">
        <v>229</v>
      </c>
      <c r="B230">
        <v>232</v>
      </c>
      <c r="C230" t="s">
        <v>160</v>
      </c>
      <c r="D230" t="s">
        <v>172</v>
      </c>
      <c r="E230" t="s">
        <v>162</v>
      </c>
      <c r="F230" t="s">
        <v>179</v>
      </c>
      <c r="G230" t="s">
        <v>26</v>
      </c>
      <c r="H230" t="s">
        <v>21</v>
      </c>
      <c r="I230" t="s">
        <v>132</v>
      </c>
      <c r="J230" t="s">
        <v>148</v>
      </c>
      <c r="K230" t="s">
        <v>23</v>
      </c>
      <c r="L230">
        <v>617</v>
      </c>
      <c r="M230">
        <v>14.588421</v>
      </c>
      <c r="N230">
        <v>70.898272764093704</v>
      </c>
      <c r="O230">
        <v>-11.369419596011213</v>
      </c>
      <c r="P230" s="1" t="str">
        <f>HYPERLINK(".\sm_car_260221_0030\sm_car_260221_0030_229_Ca232TrN_MaFSH_DrSt_ode23t_1.png","figure")</f>
        <v>figure</v>
      </c>
      <c r="Q230" t="s">
        <v>15</v>
      </c>
    </row>
    <row r="231" spans="1:17" x14ac:dyDescent="0.25">
      <c r="A231">
        <v>230</v>
      </c>
      <c r="B231">
        <v>241</v>
      </c>
      <c r="C231" t="s">
        <v>160</v>
      </c>
      <c r="D231" t="s">
        <v>197</v>
      </c>
      <c r="E231" t="s">
        <v>162</v>
      </c>
      <c r="F231" t="s">
        <v>19</v>
      </c>
      <c r="G231" t="s">
        <v>26</v>
      </c>
      <c r="H231" t="s">
        <v>21</v>
      </c>
      <c r="I231" t="s">
        <v>198</v>
      </c>
      <c r="J231" t="s">
        <v>148</v>
      </c>
      <c r="K231" t="s">
        <v>23</v>
      </c>
      <c r="L231">
        <v>1684</v>
      </c>
      <c r="M231">
        <v>55.324937499999997</v>
      </c>
      <c r="N231">
        <v>103.01274579516759</v>
      </c>
      <c r="O231">
        <v>3.9796246342231494E-2</v>
      </c>
      <c r="P231" s="1" t="str">
        <f>HYPERLINK(".\sm_car_260221_0030\sm_car_260221_0030_230_Ca241TrN_Ma_DrSt_ode23t_1.png","figure")</f>
        <v>figure</v>
      </c>
      <c r="Q231" t="s">
        <v>15</v>
      </c>
    </row>
    <row r="232" spans="1:17" x14ac:dyDescent="0.25">
      <c r="A232">
        <v>231</v>
      </c>
      <c r="B232">
        <v>156</v>
      </c>
      <c r="C232" t="s">
        <v>45</v>
      </c>
      <c r="D232" t="s">
        <v>17</v>
      </c>
      <c r="E232" t="s">
        <v>18</v>
      </c>
      <c r="F232" t="s">
        <v>19</v>
      </c>
      <c r="G232" t="s">
        <v>38</v>
      </c>
      <c r="H232" t="s">
        <v>21</v>
      </c>
      <c r="I232" t="s">
        <v>54</v>
      </c>
      <c r="J232" t="s">
        <v>148</v>
      </c>
      <c r="K232" t="s">
        <v>23</v>
      </c>
      <c r="L232">
        <v>26028</v>
      </c>
      <c r="M232">
        <v>371.92403510000003</v>
      </c>
      <c r="N232">
        <v>19.054760808944451</v>
      </c>
      <c r="O232">
        <v>2.5928152888533234</v>
      </c>
      <c r="P232" s="1" t="str">
        <f>HYPERLINK(".\sm_car_260221_0030\sm_car_260221_0030_231_Ca156TrN_MaIPA_DrSt_ode23t.png","figure")</f>
        <v>figure</v>
      </c>
      <c r="Q232" t="s">
        <v>15</v>
      </c>
    </row>
    <row r="233" spans="1:17" x14ac:dyDescent="0.25">
      <c r="A233">
        <v>232</v>
      </c>
      <c r="B233">
        <v>130</v>
      </c>
      <c r="C233" t="s">
        <v>16</v>
      </c>
      <c r="D233" t="s">
        <v>17</v>
      </c>
      <c r="E233" t="s">
        <v>18</v>
      </c>
      <c r="F233" t="s">
        <v>19</v>
      </c>
      <c r="G233" t="s">
        <v>38</v>
      </c>
      <c r="H233" t="s">
        <v>21</v>
      </c>
      <c r="I233" t="s">
        <v>54</v>
      </c>
      <c r="J233" t="s">
        <v>148</v>
      </c>
      <c r="K233" t="s">
        <v>23</v>
      </c>
      <c r="L233">
        <v>18598</v>
      </c>
      <c r="M233">
        <v>274.40083709999999</v>
      </c>
      <c r="N233">
        <v>16.225751301465273</v>
      </c>
      <c r="O233">
        <v>0.56061641112814442</v>
      </c>
      <c r="P233" s="1" t="str">
        <f>HYPERLINK(".\sm_car_260221_0030\sm_car_260221_0030_232_Ca130TrN_MaIPA_DrSt_ode23t.png","figure")</f>
        <v>figure</v>
      </c>
      <c r="Q233" t="s">
        <v>15</v>
      </c>
    </row>
    <row r="234" spans="1:17" x14ac:dyDescent="0.25">
      <c r="A234">
        <v>233</v>
      </c>
      <c r="B234">
        <v>171</v>
      </c>
      <c r="C234" t="s">
        <v>45</v>
      </c>
      <c r="D234" t="s">
        <v>17</v>
      </c>
      <c r="E234" t="s">
        <v>72</v>
      </c>
      <c r="F234" t="s">
        <v>19</v>
      </c>
      <c r="G234" t="s">
        <v>26</v>
      </c>
      <c r="H234" t="s">
        <v>21</v>
      </c>
      <c r="I234" t="s">
        <v>73</v>
      </c>
      <c r="J234" t="s">
        <v>148</v>
      </c>
      <c r="K234" t="s">
        <v>23</v>
      </c>
      <c r="L234">
        <v>1449</v>
      </c>
      <c r="M234">
        <v>23.117479599999999</v>
      </c>
      <c r="N234">
        <v>334.14326548838466</v>
      </c>
      <c r="O234">
        <v>0.66509186310769208</v>
      </c>
      <c r="P234" s="1" t="str">
        <f>HYPERLINK(".\sm_car_260221_0030\sm_car_260221_0030_233_Ca171TrN_MaRDP_DrSt_ode23t_1.png","figure")</f>
        <v>figure</v>
      </c>
      <c r="Q234" t="s">
        <v>15</v>
      </c>
    </row>
    <row r="235" spans="1:17" x14ac:dyDescent="0.25">
      <c r="A235">
        <v>234</v>
      </c>
      <c r="B235">
        <v>172</v>
      </c>
      <c r="C235" t="s">
        <v>46</v>
      </c>
      <c r="D235" t="s">
        <v>17</v>
      </c>
      <c r="E235" t="s">
        <v>72</v>
      </c>
      <c r="F235" t="s">
        <v>19</v>
      </c>
      <c r="G235" t="s">
        <v>26</v>
      </c>
      <c r="H235" t="s">
        <v>21</v>
      </c>
      <c r="I235" t="s">
        <v>73</v>
      </c>
      <c r="J235" t="s">
        <v>148</v>
      </c>
      <c r="K235" t="s">
        <v>23</v>
      </c>
      <c r="L235">
        <v>1219</v>
      </c>
      <c r="M235">
        <v>11.2913757</v>
      </c>
      <c r="N235">
        <v>136.08565270770777</v>
      </c>
      <c r="O235">
        <v>3.6756324890723578E-2</v>
      </c>
      <c r="P235" s="1" t="str">
        <f>HYPERLINK(".\sm_car_260221_0030\sm_car_260221_0030_234_Ca172TrN_MaRDP_DrSt_ode23t_1.png","figure")</f>
        <v>figure</v>
      </c>
      <c r="Q235" t="s">
        <v>15</v>
      </c>
    </row>
    <row r="236" spans="1:17" x14ac:dyDescent="0.25">
      <c r="A236">
        <v>235</v>
      </c>
      <c r="B236">
        <v>139</v>
      </c>
      <c r="C236" t="s">
        <v>45</v>
      </c>
      <c r="D236" t="s">
        <v>17</v>
      </c>
      <c r="E236" t="s">
        <v>18</v>
      </c>
      <c r="F236" t="s">
        <v>19</v>
      </c>
      <c r="G236" t="s">
        <v>26</v>
      </c>
      <c r="H236" t="s">
        <v>21</v>
      </c>
      <c r="I236" t="s">
        <v>74</v>
      </c>
      <c r="J236" t="s">
        <v>148</v>
      </c>
      <c r="K236" t="s">
        <v>23</v>
      </c>
      <c r="L236">
        <v>1560</v>
      </c>
      <c r="M236">
        <v>19.9424648</v>
      </c>
      <c r="N236">
        <v>360.91198314260572</v>
      </c>
      <c r="O236">
        <v>0.72392251323130541</v>
      </c>
      <c r="P236" s="1" t="str">
        <f>HYPERLINK(".\sm_car_260221_0030\sm_car_260221_0030_235_Ca139TrN_MaZPL_DrSt_ode23t_1.png","figure")</f>
        <v>figure</v>
      </c>
      <c r="Q236" t="s">
        <v>15</v>
      </c>
    </row>
    <row r="237" spans="1:17" x14ac:dyDescent="0.25">
      <c r="A237">
        <v>236</v>
      </c>
      <c r="B237">
        <v>165</v>
      </c>
      <c r="C237" t="s">
        <v>45</v>
      </c>
      <c r="D237" t="s">
        <v>35</v>
      </c>
      <c r="E237" t="s">
        <v>49</v>
      </c>
      <c r="F237" t="s">
        <v>19</v>
      </c>
      <c r="G237" t="s">
        <v>26</v>
      </c>
      <c r="H237" t="s">
        <v>21</v>
      </c>
      <c r="I237" t="s">
        <v>74</v>
      </c>
      <c r="J237" t="s">
        <v>148</v>
      </c>
      <c r="K237" t="s">
        <v>23</v>
      </c>
      <c r="L237">
        <v>1930</v>
      </c>
      <c r="M237">
        <v>9.9638594000000005</v>
      </c>
      <c r="N237">
        <v>397.39172508186726</v>
      </c>
      <c r="O237">
        <v>0.34135399487246848</v>
      </c>
      <c r="P237" s="1" t="str">
        <f>HYPERLINK(".\sm_car_260221_0030\sm_car_260221_0030_236_Ca165TrN_MaZPL_DrSt_ode23t_1.png","figure")</f>
        <v>figure</v>
      </c>
      <c r="Q237" t="s">
        <v>15</v>
      </c>
    </row>
    <row r="238" spans="1:17" x14ac:dyDescent="0.25">
      <c r="A238">
        <v>237</v>
      </c>
      <c r="B238">
        <v>171</v>
      </c>
      <c r="C238" t="s">
        <v>45</v>
      </c>
      <c r="D238" t="s">
        <v>17</v>
      </c>
      <c r="E238" t="s">
        <v>72</v>
      </c>
      <c r="F238" t="s">
        <v>19</v>
      </c>
      <c r="G238" t="s">
        <v>26</v>
      </c>
      <c r="H238" t="s">
        <v>21</v>
      </c>
      <c r="I238" t="s">
        <v>74</v>
      </c>
      <c r="J238" t="s">
        <v>148</v>
      </c>
      <c r="K238" t="s">
        <v>23</v>
      </c>
      <c r="L238">
        <v>1585</v>
      </c>
      <c r="M238">
        <v>27.172629199999999</v>
      </c>
      <c r="N238">
        <v>360.63364889865971</v>
      </c>
      <c r="O238">
        <v>0.73554098756000275</v>
      </c>
      <c r="P238" s="1" t="str">
        <f>HYPERLINK(".\sm_car_260221_0030\sm_car_260221_0030_237_Ca171TrN_MaZPL_DrSt_ode23t_1.png","figure")</f>
        <v>figure</v>
      </c>
      <c r="Q238" t="s">
        <v>15</v>
      </c>
    </row>
    <row r="239" spans="1:17" x14ac:dyDescent="0.25">
      <c r="A239">
        <v>238</v>
      </c>
      <c r="B239">
        <v>165</v>
      </c>
      <c r="C239" t="s">
        <v>45</v>
      </c>
      <c r="D239" t="s">
        <v>35</v>
      </c>
      <c r="E239" t="s">
        <v>49</v>
      </c>
      <c r="F239" t="s">
        <v>19</v>
      </c>
      <c r="G239" t="s">
        <v>26</v>
      </c>
      <c r="H239" t="s">
        <v>21</v>
      </c>
      <c r="I239" t="s">
        <v>75</v>
      </c>
      <c r="J239" t="s">
        <v>148</v>
      </c>
      <c r="K239" t="s">
        <v>23</v>
      </c>
      <c r="L239">
        <v>434</v>
      </c>
      <c r="M239">
        <v>4.2422899999999997</v>
      </c>
      <c r="N239">
        <v>377.97275812957781</v>
      </c>
      <c r="O239">
        <v>0.32835212290766458</v>
      </c>
      <c r="P239" s="1" t="str">
        <f>HYPERLINK(".\sm_car_260221_0030\sm_car_260221_0030_238_Ca165TrN_MaCPL_DrSt_ode23t_1.png","figure")</f>
        <v>figure</v>
      </c>
      <c r="Q239" t="s">
        <v>15</v>
      </c>
    </row>
    <row r="240" spans="1:17" x14ac:dyDescent="0.25">
      <c r="A240">
        <v>239</v>
      </c>
      <c r="B240">
        <v>170</v>
      </c>
      <c r="C240" t="s">
        <v>45</v>
      </c>
      <c r="D240" t="s">
        <v>35</v>
      </c>
      <c r="E240" t="s">
        <v>49</v>
      </c>
      <c r="F240" t="s">
        <v>19</v>
      </c>
      <c r="G240" t="s">
        <v>188</v>
      </c>
      <c r="H240" t="s">
        <v>21</v>
      </c>
      <c r="I240" t="s">
        <v>75</v>
      </c>
      <c r="J240" t="s">
        <v>148</v>
      </c>
      <c r="K240" t="s">
        <v>23</v>
      </c>
      <c r="L240">
        <v>425</v>
      </c>
      <c r="M240">
        <v>2.7425538</v>
      </c>
      <c r="N240">
        <v>380.72844063042811</v>
      </c>
      <c r="O240">
        <v>0.33453431774929132</v>
      </c>
      <c r="P240" s="1" t="str">
        <f>HYPERLINK(".\sm_car_260221_0030\sm_car_260221_0030_239_Ca170TrN_MaCPL_DrSt_ode23t_1.png","figure")</f>
        <v>figure</v>
      </c>
      <c r="Q240" t="s">
        <v>15</v>
      </c>
    </row>
    <row r="241" spans="1:17" x14ac:dyDescent="0.25">
      <c r="A241">
        <v>240</v>
      </c>
      <c r="B241">
        <v>171</v>
      </c>
      <c r="C241" t="s">
        <v>45</v>
      </c>
      <c r="D241" t="s">
        <v>17</v>
      </c>
      <c r="E241" t="s">
        <v>72</v>
      </c>
      <c r="F241" t="s">
        <v>19</v>
      </c>
      <c r="G241" t="s">
        <v>26</v>
      </c>
      <c r="H241" t="s">
        <v>21</v>
      </c>
      <c r="I241" t="s">
        <v>76</v>
      </c>
      <c r="J241" t="s">
        <v>148</v>
      </c>
      <c r="K241" t="s">
        <v>23</v>
      </c>
      <c r="L241">
        <v>2793</v>
      </c>
      <c r="M241">
        <v>45.235188600000001</v>
      </c>
      <c r="N241">
        <v>165.07431977871914</v>
      </c>
      <c r="O241">
        <v>1.1390368914749342E-3</v>
      </c>
      <c r="P241" s="1" t="str">
        <f>HYPERLINK(".\sm_car_260221_0030\sm_car_260221_0030_240_Ca171TrN_MaRDR_DrSt_ode23t_1.png","figure")</f>
        <v>figure</v>
      </c>
      <c r="Q241" t="s">
        <v>15</v>
      </c>
    </row>
    <row r="242" spans="1:17" x14ac:dyDescent="0.25">
      <c r="A242">
        <v>241</v>
      </c>
      <c r="B242">
        <v>172</v>
      </c>
      <c r="C242" t="s">
        <v>46</v>
      </c>
      <c r="D242" t="s">
        <v>17</v>
      </c>
      <c r="E242" t="s">
        <v>72</v>
      </c>
      <c r="F242" t="s">
        <v>19</v>
      </c>
      <c r="G242" t="s">
        <v>26</v>
      </c>
      <c r="H242" t="s">
        <v>21</v>
      </c>
      <c r="I242" t="s">
        <v>76</v>
      </c>
      <c r="J242" t="s">
        <v>148</v>
      </c>
      <c r="K242" t="s">
        <v>23</v>
      </c>
      <c r="L242">
        <v>3238</v>
      </c>
      <c r="M242">
        <v>27.262908700000001</v>
      </c>
      <c r="N242">
        <v>162.25441989984716</v>
      </c>
      <c r="O242">
        <v>3.6944948310895594E-4</v>
      </c>
      <c r="P242" s="1" t="str">
        <f>HYPERLINK(".\sm_car_260221_0030\sm_car_260221_0030_241_Ca172TrN_MaRDR_DrSt_ode23t_1.png","figure")</f>
        <v>figure</v>
      </c>
      <c r="Q242" t="s">
        <v>15</v>
      </c>
    </row>
    <row r="243" spans="1:17" x14ac:dyDescent="0.25">
      <c r="A243">
        <v>242</v>
      </c>
      <c r="B243">
        <v>139</v>
      </c>
      <c r="C243" t="s">
        <v>45</v>
      </c>
      <c r="D243" t="s">
        <v>17</v>
      </c>
      <c r="E243" t="s">
        <v>18</v>
      </c>
      <c r="F243" t="s">
        <v>19</v>
      </c>
      <c r="G243" t="s">
        <v>26</v>
      </c>
      <c r="H243" t="s">
        <v>21</v>
      </c>
      <c r="I243" t="s">
        <v>77</v>
      </c>
      <c r="J243" t="s">
        <v>148</v>
      </c>
      <c r="K243" t="s">
        <v>23</v>
      </c>
      <c r="L243">
        <v>2952</v>
      </c>
      <c r="M243">
        <v>31.606772299999999</v>
      </c>
      <c r="N243">
        <v>189.26409559445136</v>
      </c>
      <c r="O243">
        <v>7.1530948536485759E-4</v>
      </c>
      <c r="P243" s="1" t="str">
        <f>HYPERLINK(".\sm_car_260221_0030\sm_car_260221_0030_242_Ca139TrN_MaZRR_DrSt_ode23t_1.png","figure")</f>
        <v>figure</v>
      </c>
      <c r="Q243" t="s">
        <v>15</v>
      </c>
    </row>
    <row r="244" spans="1:17" x14ac:dyDescent="0.25">
      <c r="A244">
        <v>243</v>
      </c>
      <c r="B244">
        <v>165</v>
      </c>
      <c r="C244" t="s">
        <v>45</v>
      </c>
      <c r="D244" t="s">
        <v>35</v>
      </c>
      <c r="E244" t="s">
        <v>49</v>
      </c>
      <c r="F244" t="s">
        <v>19</v>
      </c>
      <c r="G244" t="s">
        <v>26</v>
      </c>
      <c r="H244" t="s">
        <v>21</v>
      </c>
      <c r="I244" t="s">
        <v>77</v>
      </c>
      <c r="J244" t="s">
        <v>148</v>
      </c>
      <c r="K244" t="s">
        <v>23</v>
      </c>
      <c r="L244">
        <v>3234</v>
      </c>
      <c r="M244">
        <v>20.3977079</v>
      </c>
      <c r="N244">
        <v>189.42269412451438</v>
      </c>
      <c r="O244">
        <v>6.0168680285588079E-5</v>
      </c>
      <c r="P244" s="1" t="str">
        <f>HYPERLINK(".\sm_car_260221_0030\sm_car_260221_0030_243_Ca165TrN_MaZRR_DrSt_ode23t_1.png","figure")</f>
        <v>figure</v>
      </c>
      <c r="Q244" t="s">
        <v>15</v>
      </c>
    </row>
    <row r="245" spans="1:17" x14ac:dyDescent="0.25">
      <c r="A245">
        <v>244</v>
      </c>
      <c r="B245">
        <v>171</v>
      </c>
      <c r="C245" t="s">
        <v>45</v>
      </c>
      <c r="D245" t="s">
        <v>17</v>
      </c>
      <c r="E245" t="s">
        <v>72</v>
      </c>
      <c r="F245" t="s">
        <v>19</v>
      </c>
      <c r="G245" t="s">
        <v>26</v>
      </c>
      <c r="H245" t="s">
        <v>21</v>
      </c>
      <c r="I245" t="s">
        <v>77</v>
      </c>
      <c r="J245" t="s">
        <v>148</v>
      </c>
      <c r="K245" t="s">
        <v>23</v>
      </c>
      <c r="L245">
        <v>3006</v>
      </c>
      <c r="M245">
        <v>50.918750199999998</v>
      </c>
      <c r="N245">
        <v>189.2652756566788</v>
      </c>
      <c r="O245">
        <v>7.3443375705095442E-4</v>
      </c>
      <c r="P245" s="1" t="str">
        <f>HYPERLINK(".\sm_car_260221_0030\sm_car_260221_0030_244_Ca171TrN_MaZRR_DrSt_ode23t_1.png","figure")</f>
        <v>figure</v>
      </c>
      <c r="Q245" t="s">
        <v>15</v>
      </c>
    </row>
    <row r="246" spans="1:17" x14ac:dyDescent="0.25">
      <c r="A246">
        <v>245</v>
      </c>
      <c r="B246">
        <v>170</v>
      </c>
      <c r="C246" t="s">
        <v>45</v>
      </c>
      <c r="D246" t="s">
        <v>35</v>
      </c>
      <c r="E246" t="s">
        <v>49</v>
      </c>
      <c r="F246" t="s">
        <v>19</v>
      </c>
      <c r="G246" t="s">
        <v>188</v>
      </c>
      <c r="H246" t="s">
        <v>21</v>
      </c>
      <c r="I246" t="s">
        <v>78</v>
      </c>
      <c r="J246" t="s">
        <v>148</v>
      </c>
      <c r="K246" t="s">
        <v>23</v>
      </c>
      <c r="L246">
        <v>5631</v>
      </c>
      <c r="M246">
        <v>18.6965705</v>
      </c>
      <c r="N246">
        <v>-5.9979544712873629</v>
      </c>
      <c r="O246">
        <v>-7.748787899003756E-3</v>
      </c>
      <c r="P246" s="1" t="str">
        <f>HYPERLINK(".\sm_car_260221_0030\sm_car_260221_0030_245_Ca170TrN_MaCMP_DrSt_ode23t_1.png","figure")</f>
        <v>figure</v>
      </c>
      <c r="Q246" t="s">
        <v>15</v>
      </c>
    </row>
    <row r="247" spans="1:17" x14ac:dyDescent="0.25">
      <c r="A247">
        <v>246</v>
      </c>
      <c r="B247">
        <v>170</v>
      </c>
      <c r="C247" t="s">
        <v>45</v>
      </c>
      <c r="D247" t="s">
        <v>35</v>
      </c>
      <c r="E247" t="s">
        <v>49</v>
      </c>
      <c r="F247" t="s">
        <v>19</v>
      </c>
      <c r="G247" t="s">
        <v>188</v>
      </c>
      <c r="H247" t="s">
        <v>21</v>
      </c>
      <c r="I247" t="s">
        <v>79</v>
      </c>
      <c r="J247" t="s">
        <v>148</v>
      </c>
      <c r="K247" t="s">
        <v>23</v>
      </c>
      <c r="L247">
        <v>1580</v>
      </c>
      <c r="M247">
        <v>10.9216028</v>
      </c>
      <c r="N247">
        <v>-5.9979562952002521</v>
      </c>
      <c r="O247">
        <v>-7.7744401064364149E-3</v>
      </c>
      <c r="P247" s="1" t="str">
        <f>HYPERLINK(".\sm_car_260221_0030\sm_car_260221_0030_246_Ca170TrN_MaCMF_DrSt_ode23t_1.png","figure")</f>
        <v>figure</v>
      </c>
      <c r="Q247" t="s">
        <v>15</v>
      </c>
    </row>
    <row r="248" spans="1:17" x14ac:dyDescent="0.25">
      <c r="A248">
        <v>247</v>
      </c>
      <c r="B248">
        <v>170</v>
      </c>
      <c r="C248" t="s">
        <v>45</v>
      </c>
      <c r="D248" t="s">
        <v>35</v>
      </c>
      <c r="E248" t="s">
        <v>49</v>
      </c>
      <c r="F248" t="s">
        <v>19</v>
      </c>
      <c r="G248" t="s">
        <v>188</v>
      </c>
      <c r="H248" t="s">
        <v>21</v>
      </c>
      <c r="I248" t="s">
        <v>80</v>
      </c>
      <c r="J248" t="s">
        <v>148</v>
      </c>
      <c r="K248" t="s">
        <v>23</v>
      </c>
      <c r="L248">
        <v>5352</v>
      </c>
      <c r="M248">
        <v>35.1646565</v>
      </c>
      <c r="N248">
        <v>-217.57982253801711</v>
      </c>
      <c r="O248">
        <v>5.8626187677265129</v>
      </c>
      <c r="P248" s="1" t="str">
        <f>HYPERLINK(".\sm_car_260221_0030\sm_car_260221_0030_247_Ca170TrN_MaMPO_DrSt_ode23t_1.png","figure")</f>
        <v>figure</v>
      </c>
      <c r="Q248" t="s">
        <v>15</v>
      </c>
    </row>
    <row r="249" spans="1:17" x14ac:dyDescent="0.25">
      <c r="A249">
        <v>248</v>
      </c>
      <c r="B249">
        <v>170</v>
      </c>
      <c r="C249" t="s">
        <v>45</v>
      </c>
      <c r="D249" t="s">
        <v>35</v>
      </c>
      <c r="E249" t="s">
        <v>49</v>
      </c>
      <c r="F249" t="s">
        <v>19</v>
      </c>
      <c r="G249" t="s">
        <v>188</v>
      </c>
      <c r="H249" t="s">
        <v>21</v>
      </c>
      <c r="I249" t="s">
        <v>81</v>
      </c>
      <c r="J249" t="s">
        <v>148</v>
      </c>
      <c r="K249" t="s">
        <v>23</v>
      </c>
      <c r="L249">
        <v>1159</v>
      </c>
      <c r="M249">
        <v>15.4006148</v>
      </c>
      <c r="N249">
        <v>-14.249805149059753</v>
      </c>
      <c r="O249">
        <v>-2.4005762248606288E-2</v>
      </c>
      <c r="P249" s="1" t="str">
        <f>HYPERLINK(".\sm_car_260221_0030\sm_car_260221_0030_248_Ca170TrN_MaMCI_DrSt_ode23t_1.png","figure")</f>
        <v>figure</v>
      </c>
      <c r="Q249" t="s">
        <v>15</v>
      </c>
    </row>
    <row r="250" spans="1:17" x14ac:dyDescent="0.25">
      <c r="A250">
        <v>249</v>
      </c>
      <c r="B250">
        <v>170</v>
      </c>
      <c r="C250" t="s">
        <v>45</v>
      </c>
      <c r="D250" t="s">
        <v>35</v>
      </c>
      <c r="E250" t="s">
        <v>49</v>
      </c>
      <c r="F250" t="s">
        <v>19</v>
      </c>
      <c r="G250" t="s">
        <v>188</v>
      </c>
      <c r="H250" t="s">
        <v>21</v>
      </c>
      <c r="I250" t="s">
        <v>110</v>
      </c>
      <c r="J250" t="s">
        <v>148</v>
      </c>
      <c r="K250" t="s">
        <v>23</v>
      </c>
      <c r="L250">
        <v>3658</v>
      </c>
      <c r="M250">
        <v>20.298855</v>
      </c>
      <c r="N250">
        <v>-5.99850593522478</v>
      </c>
      <c r="O250">
        <v>-5.0284239756188433E-3</v>
      </c>
      <c r="P250" s="1" t="str">
        <f>HYPERLINK(".\sm_car_260221_0030\sm_car_260221_0030_249_Ca170TrN_MaCHO_DrSt_ode23t_1.png","figure")</f>
        <v>figure</v>
      </c>
      <c r="Q250" t="s">
        <v>15</v>
      </c>
    </row>
    <row r="251" spans="1:17" x14ac:dyDescent="0.25">
      <c r="A251">
        <v>250</v>
      </c>
      <c r="B251">
        <v>170</v>
      </c>
      <c r="C251" t="s">
        <v>45</v>
      </c>
      <c r="D251" t="s">
        <v>35</v>
      </c>
      <c r="E251" t="s">
        <v>49</v>
      </c>
      <c r="F251" t="s">
        <v>19</v>
      </c>
      <c r="G251" t="s">
        <v>188</v>
      </c>
      <c r="H251" t="s">
        <v>21</v>
      </c>
      <c r="I251" t="s">
        <v>111</v>
      </c>
      <c r="J251" t="s">
        <v>148</v>
      </c>
      <c r="K251" t="s">
        <v>23</v>
      </c>
      <c r="L251">
        <v>2593</v>
      </c>
      <c r="M251">
        <v>19.535339499999999</v>
      </c>
      <c r="N251">
        <v>-5.9933615670907496</v>
      </c>
      <c r="O251">
        <v>-5.0691476177880581E-3</v>
      </c>
      <c r="P251" s="1" t="str">
        <f>HYPERLINK(".\sm_car_260221_0030\sm_car_260221_0030_250_Ca170TrN_MaCHF_DrSt_ode23t_1.png","figure")</f>
        <v>figure</v>
      </c>
      <c r="Q251" t="s">
        <v>15</v>
      </c>
    </row>
    <row r="252" spans="1:17" x14ac:dyDescent="0.25">
      <c r="A252">
        <v>251</v>
      </c>
      <c r="B252">
        <v>170</v>
      </c>
      <c r="C252" t="s">
        <v>45</v>
      </c>
      <c r="D252" t="s">
        <v>35</v>
      </c>
      <c r="E252" t="s">
        <v>49</v>
      </c>
      <c r="F252" t="s">
        <v>19</v>
      </c>
      <c r="G252" t="s">
        <v>188</v>
      </c>
      <c r="H252" t="s">
        <v>21</v>
      </c>
      <c r="I252" t="s">
        <v>82</v>
      </c>
      <c r="J252" t="s">
        <v>148</v>
      </c>
      <c r="K252" t="s">
        <v>23</v>
      </c>
      <c r="L252">
        <v>9308</v>
      </c>
      <c r="M252">
        <v>38.716650199999997</v>
      </c>
      <c r="N252">
        <v>-768.43271412211141</v>
      </c>
      <c r="O252">
        <v>638.49076571092655</v>
      </c>
      <c r="P252" s="1" t="str">
        <f>HYPERLINK(".\sm_car_260221_0030\sm_car_260221_0030_251_Ca170TrN_MaCKY_DrSt_ode23t_1.png","figure")</f>
        <v>figure</v>
      </c>
      <c r="Q252" t="s">
        <v>15</v>
      </c>
    </row>
    <row r="253" spans="1:17" x14ac:dyDescent="0.25">
      <c r="A253">
        <v>252</v>
      </c>
      <c r="B253">
        <v>170</v>
      </c>
      <c r="C253" t="s">
        <v>45</v>
      </c>
      <c r="D253" t="s">
        <v>35</v>
      </c>
      <c r="E253" t="s">
        <v>49</v>
      </c>
      <c r="F253" t="s">
        <v>19</v>
      </c>
      <c r="G253" t="s">
        <v>188</v>
      </c>
      <c r="H253" t="s">
        <v>21</v>
      </c>
      <c r="I253" t="s">
        <v>83</v>
      </c>
      <c r="J253" t="s">
        <v>148</v>
      </c>
      <c r="K253" t="s">
        <v>23</v>
      </c>
      <c r="L253">
        <v>1664</v>
      </c>
      <c r="M253">
        <v>13.874342199999999</v>
      </c>
      <c r="N253">
        <v>-772.44725979243981</v>
      </c>
      <c r="O253">
        <v>640.62947841703226</v>
      </c>
      <c r="P253" s="1" t="str">
        <f>HYPERLINK(".\sm_car_260221_0030\sm_car_260221_0030_252_Ca170TrN_MaCKF_DrSt_ode23t_1.png","figure")</f>
        <v>figure</v>
      </c>
      <c r="Q253" t="s">
        <v>15</v>
      </c>
    </row>
    <row r="254" spans="1:17" x14ac:dyDescent="0.25">
      <c r="A254">
        <v>253</v>
      </c>
      <c r="B254">
        <v>170</v>
      </c>
      <c r="C254" t="s">
        <v>45</v>
      </c>
      <c r="D254" t="s">
        <v>35</v>
      </c>
      <c r="E254" t="s">
        <v>49</v>
      </c>
      <c r="F254" t="s">
        <v>19</v>
      </c>
      <c r="G254" t="s">
        <v>188</v>
      </c>
      <c r="H254" t="s">
        <v>21</v>
      </c>
      <c r="I254" t="s">
        <v>84</v>
      </c>
      <c r="J254" t="s">
        <v>148</v>
      </c>
      <c r="K254" t="s">
        <v>23</v>
      </c>
      <c r="L254">
        <v>2156</v>
      </c>
      <c r="M254">
        <v>20.997551999999999</v>
      </c>
      <c r="N254">
        <v>189.26909582271711</v>
      </c>
      <c r="O254">
        <v>308.83318050725029</v>
      </c>
      <c r="P254" s="1" t="str">
        <f>HYPERLINK(".\sm_car_260221_0030\sm_car_260221_0030_253_Ca170TrN_MaCNN_DrSt_ode23t_1.png","figure")</f>
        <v>figure</v>
      </c>
      <c r="Q254" t="s">
        <v>15</v>
      </c>
    </row>
    <row r="255" spans="1:17" x14ac:dyDescent="0.25">
      <c r="A255">
        <v>254</v>
      </c>
      <c r="B255">
        <v>170</v>
      </c>
      <c r="C255" t="s">
        <v>45</v>
      </c>
      <c r="D255" t="s">
        <v>35</v>
      </c>
      <c r="E255" t="s">
        <v>49</v>
      </c>
      <c r="F255" t="s">
        <v>19</v>
      </c>
      <c r="G255" t="s">
        <v>188</v>
      </c>
      <c r="H255" t="s">
        <v>21</v>
      </c>
      <c r="I255" t="s">
        <v>85</v>
      </c>
      <c r="J255" t="s">
        <v>148</v>
      </c>
      <c r="K255" t="s">
        <v>23</v>
      </c>
      <c r="L255">
        <v>3524</v>
      </c>
      <c r="M255">
        <v>108.5798509</v>
      </c>
      <c r="N255">
        <v>2982.1141146931627</v>
      </c>
      <c r="O255">
        <v>-3077.3778891952375</v>
      </c>
      <c r="P255" s="1" t="str">
        <f>HYPERLINK(".\sm_car_260221_0030\sm_car_260221_0030_254_Ca170TrN_MaCNF_DrSt_ode23t_1.png","figure")</f>
        <v>figure</v>
      </c>
      <c r="Q255" t="s">
        <v>15</v>
      </c>
    </row>
    <row r="256" spans="1:17" x14ac:dyDescent="0.25">
      <c r="A256">
        <v>255</v>
      </c>
      <c r="B256">
        <v>170</v>
      </c>
      <c r="C256" t="s">
        <v>45</v>
      </c>
      <c r="D256" t="s">
        <v>35</v>
      </c>
      <c r="E256" t="s">
        <v>49</v>
      </c>
      <c r="F256" t="s">
        <v>19</v>
      </c>
      <c r="G256" t="s">
        <v>188</v>
      </c>
      <c r="H256" t="s">
        <v>21</v>
      </c>
      <c r="I256" t="s">
        <v>86</v>
      </c>
      <c r="J256" t="s">
        <v>148</v>
      </c>
      <c r="K256" t="s">
        <v>23</v>
      </c>
      <c r="L256">
        <v>2750</v>
      </c>
      <c r="M256">
        <v>16.387401499999999</v>
      </c>
      <c r="N256">
        <v>498.15245303762708</v>
      </c>
      <c r="O256">
        <v>-175.9600399106761</v>
      </c>
      <c r="P256" s="1" t="str">
        <f>HYPERLINK(".\sm_car_260221_0030\sm_car_260221_0030_255_Ca170TrN_MaCSZ_DrSt_ode23t_1.png","figure")</f>
        <v>figure</v>
      </c>
      <c r="Q256" t="s">
        <v>15</v>
      </c>
    </row>
    <row r="257" spans="1:17" x14ac:dyDescent="0.25">
      <c r="A257">
        <v>256</v>
      </c>
      <c r="B257">
        <v>170</v>
      </c>
      <c r="C257" t="s">
        <v>45</v>
      </c>
      <c r="D257" t="s">
        <v>35</v>
      </c>
      <c r="E257" t="s">
        <v>49</v>
      </c>
      <c r="F257" t="s">
        <v>19</v>
      </c>
      <c r="G257" t="s">
        <v>188</v>
      </c>
      <c r="H257" t="s">
        <v>21</v>
      </c>
      <c r="I257" t="s">
        <v>87</v>
      </c>
      <c r="J257" t="s">
        <v>148</v>
      </c>
      <c r="K257" t="s">
        <v>23</v>
      </c>
      <c r="L257">
        <v>5089</v>
      </c>
      <c r="M257">
        <v>98.175496600000002</v>
      </c>
      <c r="N257">
        <v>-8.9459360174484885</v>
      </c>
      <c r="O257">
        <v>6.9558450255878031E-3</v>
      </c>
      <c r="P257" s="1" t="str">
        <f>HYPERLINK(".\sm_car_260221_0030\sm_car_260221_0030_256_Ca170TrN_MaCSF_DrSt_ode23t_1.png","figure")</f>
        <v>figure</v>
      </c>
      <c r="Q257" t="s">
        <v>15</v>
      </c>
    </row>
    <row r="258" spans="1:17" x14ac:dyDescent="0.25">
      <c r="A258">
        <v>257</v>
      </c>
      <c r="B258">
        <v>170</v>
      </c>
      <c r="C258" t="s">
        <v>45</v>
      </c>
      <c r="D258" t="s">
        <v>35</v>
      </c>
      <c r="E258" t="s">
        <v>49</v>
      </c>
      <c r="F258" t="s">
        <v>19</v>
      </c>
      <c r="G258" t="s">
        <v>188</v>
      </c>
      <c r="H258" t="s">
        <v>21</v>
      </c>
      <c r="I258" t="s">
        <v>88</v>
      </c>
      <c r="J258" t="s">
        <v>148</v>
      </c>
      <c r="K258" t="s">
        <v>23</v>
      </c>
      <c r="L258">
        <v>1409</v>
      </c>
      <c r="M258">
        <v>27.2046426</v>
      </c>
      <c r="N258">
        <v>247.75492942953616</v>
      </c>
      <c r="O258">
        <v>391.38252535414676</v>
      </c>
      <c r="P258" s="1" t="str">
        <f>HYPERLINK(".\sm_car_260221_0030\sm_car_260221_0030_257_Ca170TrN_MaCPU_DrSt_ode23t_1.png","figure")</f>
        <v>figure</v>
      </c>
      <c r="Q258" t="s">
        <v>15</v>
      </c>
    </row>
    <row r="259" spans="1:17" x14ac:dyDescent="0.25">
      <c r="A259">
        <v>258</v>
      </c>
      <c r="B259">
        <v>170</v>
      </c>
      <c r="C259" t="s">
        <v>45</v>
      </c>
      <c r="D259" t="s">
        <v>35</v>
      </c>
      <c r="E259" t="s">
        <v>49</v>
      </c>
      <c r="F259" t="s">
        <v>19</v>
      </c>
      <c r="G259" t="s">
        <v>188</v>
      </c>
      <c r="H259" t="s">
        <v>21</v>
      </c>
      <c r="I259" t="s">
        <v>89</v>
      </c>
      <c r="J259" t="s">
        <v>148</v>
      </c>
      <c r="K259" t="s">
        <v>23</v>
      </c>
      <c r="L259">
        <v>2231</v>
      </c>
      <c r="M259">
        <v>20.682845799999999</v>
      </c>
      <c r="N259">
        <v>179.58618435095036</v>
      </c>
      <c r="O259">
        <v>-180.28780787958567</v>
      </c>
      <c r="P259" s="1" t="str">
        <f>HYPERLINK(".\sm_car_260221_0030\sm_car_260221_0030_258_Ca170TrN_MaCPD_DrSt_ode23t_1.png","figure")</f>
        <v>figure</v>
      </c>
      <c r="Q259" t="s">
        <v>15</v>
      </c>
    </row>
    <row r="260" spans="1:17" x14ac:dyDescent="0.25">
      <c r="A260">
        <v>259</v>
      </c>
      <c r="B260">
        <v>202</v>
      </c>
      <c r="C260" t="s">
        <v>45</v>
      </c>
      <c r="D260" t="s">
        <v>35</v>
      </c>
      <c r="E260" t="s">
        <v>107</v>
      </c>
      <c r="F260" t="s">
        <v>19</v>
      </c>
      <c r="G260" t="s">
        <v>188</v>
      </c>
      <c r="H260" t="s">
        <v>21</v>
      </c>
      <c r="I260" t="s">
        <v>79</v>
      </c>
      <c r="J260" t="s">
        <v>148</v>
      </c>
      <c r="K260" t="s">
        <v>23</v>
      </c>
      <c r="L260">
        <v>1570</v>
      </c>
      <c r="M260">
        <v>3.9133206999999999</v>
      </c>
      <c r="N260">
        <v>-5.8516368361511208</v>
      </c>
      <c r="O260">
        <v>-8.0737248129307635E-3</v>
      </c>
      <c r="P260" s="1" t="str">
        <f>HYPERLINK(".\sm_car_260221_0030\sm_car_260221_0030_259_Ca202TrN_MaCMF_DrSt_ode23t_1.png","figure")</f>
        <v>figure</v>
      </c>
      <c r="Q260" t="s">
        <v>15</v>
      </c>
    </row>
    <row r="261" spans="1:17" x14ac:dyDescent="0.25">
      <c r="A261">
        <v>260</v>
      </c>
      <c r="B261">
        <v>202</v>
      </c>
      <c r="C261" t="s">
        <v>45</v>
      </c>
      <c r="D261" t="s">
        <v>35</v>
      </c>
      <c r="E261" t="s">
        <v>107</v>
      </c>
      <c r="F261" t="s">
        <v>19</v>
      </c>
      <c r="G261" t="s">
        <v>188</v>
      </c>
      <c r="H261" t="s">
        <v>21</v>
      </c>
      <c r="I261" t="s">
        <v>80</v>
      </c>
      <c r="J261" t="s">
        <v>148</v>
      </c>
      <c r="K261" t="s">
        <v>23</v>
      </c>
      <c r="L261">
        <v>5365</v>
      </c>
      <c r="M261">
        <v>23.649437599999999</v>
      </c>
      <c r="N261">
        <v>-217.45449155538063</v>
      </c>
      <c r="O261">
        <v>5.8428701439176836</v>
      </c>
      <c r="P261" s="1" t="str">
        <f>HYPERLINK(".\sm_car_260221_0030\sm_car_260221_0030_260_Ca202TrN_MaMPO_DrSt_ode23t_1.png","figure")</f>
        <v>figure</v>
      </c>
      <c r="Q261" t="s">
        <v>15</v>
      </c>
    </row>
    <row r="262" spans="1:17" x14ac:dyDescent="0.25">
      <c r="A262">
        <v>261</v>
      </c>
      <c r="B262">
        <v>202</v>
      </c>
      <c r="C262" t="s">
        <v>45</v>
      </c>
      <c r="D262" t="s">
        <v>35</v>
      </c>
      <c r="E262" t="s">
        <v>107</v>
      </c>
      <c r="F262" t="s">
        <v>19</v>
      </c>
      <c r="G262" t="s">
        <v>188</v>
      </c>
      <c r="H262" t="s">
        <v>21</v>
      </c>
      <c r="I262" t="s">
        <v>81</v>
      </c>
      <c r="J262" t="s">
        <v>148</v>
      </c>
      <c r="K262" t="s">
        <v>23</v>
      </c>
      <c r="L262">
        <v>1178</v>
      </c>
      <c r="M262">
        <v>8.8706104999999997</v>
      </c>
      <c r="N262">
        <v>-14.251265739421541</v>
      </c>
      <c r="O262">
        <v>-2.4956640473078551E-2</v>
      </c>
      <c r="P262" s="1" t="str">
        <f>HYPERLINK(".\sm_car_260221_0030\sm_car_260221_0030_261_Ca202TrN_MaMCI_DrSt_ode23t_1.png","figure")</f>
        <v>figure</v>
      </c>
      <c r="Q262" t="s">
        <v>15</v>
      </c>
    </row>
    <row r="263" spans="1:17" x14ac:dyDescent="0.25">
      <c r="A263">
        <v>262</v>
      </c>
      <c r="B263">
        <v>202</v>
      </c>
      <c r="C263" t="s">
        <v>45</v>
      </c>
      <c r="D263" t="s">
        <v>35</v>
      </c>
      <c r="E263" t="s">
        <v>107</v>
      </c>
      <c r="F263" t="s">
        <v>19</v>
      </c>
      <c r="G263" t="s">
        <v>188</v>
      </c>
      <c r="H263" t="s">
        <v>21</v>
      </c>
      <c r="I263" t="s">
        <v>83</v>
      </c>
      <c r="J263" t="s">
        <v>148</v>
      </c>
      <c r="K263" t="s">
        <v>23</v>
      </c>
      <c r="L263">
        <v>2852</v>
      </c>
      <c r="M263">
        <v>8.7186418000000003</v>
      </c>
      <c r="N263">
        <v>-5.950715826889696</v>
      </c>
      <c r="O263">
        <v>-2.868325262251888E-2</v>
      </c>
      <c r="P263" s="1" t="str">
        <f>HYPERLINK(".\sm_car_260221_0030\sm_car_260221_0030_262_Ca202TrN_MaCKF_DrSt_ode23t_1.png","figure")</f>
        <v>figure</v>
      </c>
      <c r="Q263" t="s">
        <v>15</v>
      </c>
    </row>
    <row r="264" spans="1:17" x14ac:dyDescent="0.25">
      <c r="A264">
        <v>263</v>
      </c>
      <c r="B264">
        <v>202</v>
      </c>
      <c r="C264" t="s">
        <v>45</v>
      </c>
      <c r="D264" t="s">
        <v>35</v>
      </c>
      <c r="E264" t="s">
        <v>107</v>
      </c>
      <c r="F264" t="s">
        <v>19</v>
      </c>
      <c r="G264" t="s">
        <v>188</v>
      </c>
      <c r="H264" t="s">
        <v>21</v>
      </c>
      <c r="I264" t="s">
        <v>85</v>
      </c>
      <c r="J264" t="s">
        <v>148</v>
      </c>
      <c r="K264" t="s">
        <v>23</v>
      </c>
      <c r="L264">
        <v>8353</v>
      </c>
      <c r="M264">
        <v>158.85179149999999</v>
      </c>
      <c r="N264">
        <v>-8.9987777376590046</v>
      </c>
      <c r="O264">
        <v>1.3114180360899331E-2</v>
      </c>
      <c r="P264" s="1" t="str">
        <f>HYPERLINK(".\sm_car_260221_0030\sm_car_260221_0030_263_Ca202TrN_MaCNF_DrSt_ode23t_1.png","figure")</f>
        <v>figure</v>
      </c>
      <c r="Q264" t="s">
        <v>15</v>
      </c>
    </row>
    <row r="265" spans="1:17" x14ac:dyDescent="0.25">
      <c r="A265">
        <v>264</v>
      </c>
      <c r="B265">
        <v>202</v>
      </c>
      <c r="C265" t="s">
        <v>45</v>
      </c>
      <c r="D265" t="s">
        <v>35</v>
      </c>
      <c r="E265" t="s">
        <v>107</v>
      </c>
      <c r="F265" t="s">
        <v>19</v>
      </c>
      <c r="G265" t="s">
        <v>188</v>
      </c>
      <c r="H265" t="s">
        <v>21</v>
      </c>
      <c r="I265" t="s">
        <v>87</v>
      </c>
      <c r="J265" t="s">
        <v>148</v>
      </c>
      <c r="K265" t="s">
        <v>23</v>
      </c>
      <c r="L265">
        <v>5092</v>
      </c>
      <c r="M265">
        <v>52.233006199999998</v>
      </c>
      <c r="N265">
        <v>-8.9525588677217716</v>
      </c>
      <c r="O265">
        <v>6.9554358191119227E-3</v>
      </c>
      <c r="P265" s="1" t="str">
        <f>HYPERLINK(".\sm_car_260221_0030\sm_car_260221_0030_264_Ca202TrN_MaCSF_DrSt_ode23t_1.png","figure")</f>
        <v>figure</v>
      </c>
      <c r="Q265" t="s">
        <v>15</v>
      </c>
    </row>
    <row r="266" spans="1:17" x14ac:dyDescent="0.25">
      <c r="A266">
        <v>265</v>
      </c>
      <c r="B266">
        <v>202</v>
      </c>
      <c r="C266" t="s">
        <v>45</v>
      </c>
      <c r="D266" t="s">
        <v>35</v>
      </c>
      <c r="E266" t="s">
        <v>107</v>
      </c>
      <c r="F266" t="s">
        <v>19</v>
      </c>
      <c r="G266" t="s">
        <v>188</v>
      </c>
      <c r="H266" t="s">
        <v>21</v>
      </c>
      <c r="I266" t="s">
        <v>78</v>
      </c>
      <c r="J266" t="s">
        <v>148</v>
      </c>
      <c r="K266" t="s">
        <v>23</v>
      </c>
      <c r="L266">
        <v>6184</v>
      </c>
      <c r="M266">
        <v>17.5519213</v>
      </c>
      <c r="N266">
        <v>-5.9997497452914477</v>
      </c>
      <c r="O266">
        <v>-7.6889328312683873E-3</v>
      </c>
      <c r="P266" s="1" t="str">
        <f>HYPERLINK(".\sm_car_260221_0030\sm_car_260221_0030_265_Ca202TrN_MaCMP_DrSt_ode23t_1.png","figure")</f>
        <v>figure</v>
      </c>
      <c r="Q266" t="s">
        <v>15</v>
      </c>
    </row>
    <row r="267" spans="1:17" x14ac:dyDescent="0.25">
      <c r="A267">
        <v>266</v>
      </c>
      <c r="B267">
        <v>202</v>
      </c>
      <c r="C267" t="s">
        <v>45</v>
      </c>
      <c r="D267" t="s">
        <v>35</v>
      </c>
      <c r="E267" t="s">
        <v>107</v>
      </c>
      <c r="F267" t="s">
        <v>19</v>
      </c>
      <c r="G267" t="s">
        <v>188</v>
      </c>
      <c r="H267" t="s">
        <v>21</v>
      </c>
      <c r="I267" t="s">
        <v>82</v>
      </c>
      <c r="J267" t="s">
        <v>148</v>
      </c>
      <c r="K267" t="s">
        <v>23</v>
      </c>
      <c r="L267">
        <v>20015</v>
      </c>
      <c r="M267">
        <v>59.3935119</v>
      </c>
      <c r="N267">
        <v>-5.9955859420053921</v>
      </c>
      <c r="O267">
        <v>-3.0423173277046425E-2</v>
      </c>
      <c r="P267" s="1" t="str">
        <f>HYPERLINK(".\sm_car_260221_0030\sm_car_260221_0030_266_Ca202TrN_MaCKY_DrSt_ode23t_1.png","figure")</f>
        <v>figure</v>
      </c>
      <c r="Q267" t="s">
        <v>15</v>
      </c>
    </row>
    <row r="268" spans="1:17" x14ac:dyDescent="0.25">
      <c r="A268">
        <v>267</v>
      </c>
      <c r="B268">
        <v>202</v>
      </c>
      <c r="C268" t="s">
        <v>45</v>
      </c>
      <c r="D268" t="s">
        <v>35</v>
      </c>
      <c r="E268" t="s">
        <v>107</v>
      </c>
      <c r="F268" t="s">
        <v>19</v>
      </c>
      <c r="G268" t="s">
        <v>188</v>
      </c>
      <c r="H268" t="s">
        <v>21</v>
      </c>
      <c r="I268" t="s">
        <v>75</v>
      </c>
      <c r="J268" t="s">
        <v>148</v>
      </c>
      <c r="K268" t="s">
        <v>23</v>
      </c>
      <c r="L268">
        <v>405</v>
      </c>
      <c r="M268">
        <v>1.9755932</v>
      </c>
      <c r="N268">
        <v>381.50656860592665</v>
      </c>
      <c r="O268">
        <v>0.33615741550794415</v>
      </c>
      <c r="P268" s="1" t="str">
        <f>HYPERLINK(".\sm_car_260221_0030\sm_car_260221_0030_267_Ca202TrN_MaCPL_DrSt_ode23t_1.png","figure")</f>
        <v>figure</v>
      </c>
      <c r="Q268" t="s">
        <v>15</v>
      </c>
    </row>
    <row r="269" spans="1:17" x14ac:dyDescent="0.25">
      <c r="A269">
        <v>268</v>
      </c>
      <c r="B269">
        <v>140</v>
      </c>
      <c r="C269" t="s">
        <v>45</v>
      </c>
      <c r="D269" t="s">
        <v>17</v>
      </c>
      <c r="E269" t="s">
        <v>49</v>
      </c>
      <c r="F269" t="s">
        <v>19</v>
      </c>
      <c r="G269" t="s">
        <v>26</v>
      </c>
      <c r="H269" t="s">
        <v>21</v>
      </c>
      <c r="I269" t="s">
        <v>112</v>
      </c>
      <c r="J269" t="s">
        <v>148</v>
      </c>
      <c r="K269" t="s">
        <v>23</v>
      </c>
      <c r="L269">
        <v>2617</v>
      </c>
      <c r="M269">
        <v>39.2576149</v>
      </c>
      <c r="N269">
        <v>189.149687179821</v>
      </c>
      <c r="O269">
        <v>7.1768576863725814E-4</v>
      </c>
      <c r="P269" s="1" t="str">
        <f>HYPERLINK(".\sm_car_260221_0030\sm_car_260221_0030_268_Ca140TrN_MaCRR_DrSt_ode23t_1.png","figure")</f>
        <v>figure</v>
      </c>
      <c r="Q269" t="s">
        <v>15</v>
      </c>
    </row>
    <row r="270" spans="1:17" x14ac:dyDescent="0.25">
      <c r="A270">
        <v>269</v>
      </c>
      <c r="B270">
        <v>189</v>
      </c>
      <c r="C270" t="s">
        <v>45</v>
      </c>
      <c r="D270" t="s">
        <v>17</v>
      </c>
      <c r="E270" t="s">
        <v>107</v>
      </c>
      <c r="F270" t="s">
        <v>19</v>
      </c>
      <c r="G270" t="s">
        <v>26</v>
      </c>
      <c r="H270" t="s">
        <v>21</v>
      </c>
      <c r="I270" t="s">
        <v>112</v>
      </c>
      <c r="J270" t="s">
        <v>148</v>
      </c>
      <c r="K270" t="s">
        <v>23</v>
      </c>
      <c r="L270">
        <v>3239</v>
      </c>
      <c r="M270">
        <v>35.568958600000002</v>
      </c>
      <c r="N270">
        <v>189.17461691312317</v>
      </c>
      <c r="O270">
        <v>6.6476855014503114E-4</v>
      </c>
      <c r="P270" s="1" t="str">
        <f>HYPERLINK(".\sm_car_260221_0030\sm_car_260221_0030_269_Ca189TrN_MaCRR_DrSt_ode23t_1.png","figure")</f>
        <v>figure</v>
      </c>
      <c r="Q270" t="s">
        <v>15</v>
      </c>
    </row>
    <row r="271" spans="1:17" x14ac:dyDescent="0.25">
      <c r="A271">
        <v>270</v>
      </c>
      <c r="B271">
        <v>189</v>
      </c>
      <c r="C271" t="s">
        <v>45</v>
      </c>
      <c r="D271" t="s">
        <v>17</v>
      </c>
      <c r="E271" t="s">
        <v>107</v>
      </c>
      <c r="F271" t="s">
        <v>19</v>
      </c>
      <c r="G271" t="s">
        <v>26</v>
      </c>
      <c r="H271" t="s">
        <v>21</v>
      </c>
      <c r="I271" t="s">
        <v>199</v>
      </c>
      <c r="J271" t="s">
        <v>148</v>
      </c>
      <c r="K271" t="s">
        <v>23</v>
      </c>
      <c r="L271">
        <v>10184</v>
      </c>
      <c r="M271">
        <v>101.1239082</v>
      </c>
      <c r="N271">
        <v>208.81816408853052</v>
      </c>
      <c r="O271">
        <v>-0.7679151850469994</v>
      </c>
      <c r="P271" s="1" t="str">
        <f>HYPERLINK(".\sm_car_260221_0030\sm_car_260221_0030_270_Ca189TrN_MaGSU_DrSt_ode23t_1.png","figure")</f>
        <v>figure</v>
      </c>
      <c r="Q271" t="s">
        <v>15</v>
      </c>
    </row>
    <row r="272" spans="1:17" x14ac:dyDescent="0.25">
      <c r="A272">
        <v>271</v>
      </c>
      <c r="B272">
        <v>173</v>
      </c>
      <c r="C272" t="s">
        <v>45</v>
      </c>
      <c r="D272" t="s">
        <v>35</v>
      </c>
      <c r="E272" t="s">
        <v>49</v>
      </c>
      <c r="F272" t="s">
        <v>19</v>
      </c>
      <c r="G272" t="s">
        <v>90</v>
      </c>
      <c r="H272" t="s">
        <v>21</v>
      </c>
      <c r="I272" t="s">
        <v>91</v>
      </c>
      <c r="J272" t="s">
        <v>148</v>
      </c>
      <c r="K272" t="s">
        <v>92</v>
      </c>
      <c r="L272">
        <v>1557</v>
      </c>
      <c r="M272">
        <v>78.403957500000004</v>
      </c>
      <c r="N272">
        <v>51.283635594922188</v>
      </c>
      <c r="O272">
        <v>8.8370442416471663E-3</v>
      </c>
      <c r="P272" s="1" t="str">
        <f>HYPERLINK(".\sm_car_260221_0030\sm_car_260221_0030_271_Ca173TrN_MaDCA_DrSt_daessc_1.png","figure")</f>
        <v>figure</v>
      </c>
      <c r="Q272" t="s">
        <v>15</v>
      </c>
    </row>
    <row r="273" spans="1:17" x14ac:dyDescent="0.25">
      <c r="A273">
        <v>272</v>
      </c>
      <c r="B273">
        <v>173</v>
      </c>
      <c r="C273" t="s">
        <v>45</v>
      </c>
      <c r="D273" t="s">
        <v>35</v>
      </c>
      <c r="E273" t="s">
        <v>49</v>
      </c>
      <c r="F273" t="s">
        <v>19</v>
      </c>
      <c r="G273" t="s">
        <v>90</v>
      </c>
      <c r="H273" t="s">
        <v>21</v>
      </c>
      <c r="I273" t="s">
        <v>93</v>
      </c>
      <c r="J273" t="s">
        <v>148</v>
      </c>
      <c r="K273" t="s">
        <v>92</v>
      </c>
      <c r="L273">
        <v>4068</v>
      </c>
      <c r="M273">
        <v>116.04929370000001</v>
      </c>
      <c r="N273">
        <v>980.48407624097399</v>
      </c>
      <c r="O273">
        <v>0.73209826389488741</v>
      </c>
      <c r="P273" s="1" t="str">
        <f>HYPERLINK(".\sm_car_260221_0030\sm_car_260221_0030_272_Ca173TrN_MaDC1_DrSt_daessc_1.png","figure")</f>
        <v>figure</v>
      </c>
      <c r="Q273" t="s">
        <v>15</v>
      </c>
    </row>
    <row r="274" spans="1:17" x14ac:dyDescent="0.25">
      <c r="A274">
        <v>273</v>
      </c>
      <c r="B274">
        <v>165</v>
      </c>
      <c r="C274" t="s">
        <v>45</v>
      </c>
      <c r="D274" t="s">
        <v>35</v>
      </c>
      <c r="E274" t="s">
        <v>49</v>
      </c>
      <c r="F274" t="s">
        <v>19</v>
      </c>
      <c r="G274" t="s">
        <v>26</v>
      </c>
      <c r="H274" t="s">
        <v>21</v>
      </c>
      <c r="I274" t="s">
        <v>91</v>
      </c>
      <c r="J274" t="s">
        <v>148</v>
      </c>
      <c r="K274" t="s">
        <v>23</v>
      </c>
      <c r="L274">
        <v>287</v>
      </c>
      <c r="M274">
        <v>2.9454212000000002</v>
      </c>
      <c r="N274">
        <v>53.501075408429408</v>
      </c>
      <c r="O274">
        <v>9.9074524637766132E-3</v>
      </c>
      <c r="P274" s="1" t="str">
        <f>HYPERLINK(".\sm_car_260221_0030\sm_car_260221_0030_273_Ca165TrN_MaDCA_DrSt_ode23t_1.png","figure")</f>
        <v>figure</v>
      </c>
      <c r="Q274" t="s">
        <v>15</v>
      </c>
    </row>
    <row r="275" spans="1:17" x14ac:dyDescent="0.25">
      <c r="A275">
        <v>274</v>
      </c>
      <c r="B275">
        <v>165</v>
      </c>
      <c r="C275" t="s">
        <v>45</v>
      </c>
      <c r="D275" t="s">
        <v>35</v>
      </c>
      <c r="E275" t="s">
        <v>49</v>
      </c>
      <c r="F275" t="s">
        <v>19</v>
      </c>
      <c r="G275" t="s">
        <v>26</v>
      </c>
      <c r="H275" t="s">
        <v>21</v>
      </c>
      <c r="I275" t="s">
        <v>93</v>
      </c>
      <c r="J275" t="s">
        <v>148</v>
      </c>
      <c r="K275" t="s">
        <v>23</v>
      </c>
      <c r="L275">
        <v>1155</v>
      </c>
      <c r="M275">
        <v>7.5370172999999996</v>
      </c>
      <c r="N275">
        <v>992.67891038613811</v>
      </c>
      <c r="O275">
        <v>0.78323709219535942</v>
      </c>
      <c r="P275" s="1" t="str">
        <f>HYPERLINK(".\sm_car_260221_0030\sm_car_260221_0030_274_Ca165TrN_MaDC1_DrSt_ode23t_1.png","figure")</f>
        <v>figure</v>
      </c>
      <c r="Q275" t="s">
        <v>15</v>
      </c>
    </row>
    <row r="276" spans="1:17" x14ac:dyDescent="0.25">
      <c r="A276">
        <v>275</v>
      </c>
      <c r="B276">
        <v>196</v>
      </c>
      <c r="C276" t="s">
        <v>45</v>
      </c>
      <c r="D276" t="s">
        <v>35</v>
      </c>
      <c r="E276" t="s">
        <v>107</v>
      </c>
      <c r="F276" t="s">
        <v>19</v>
      </c>
      <c r="G276" t="s">
        <v>90</v>
      </c>
      <c r="H276" t="s">
        <v>21</v>
      </c>
      <c r="I276" t="s">
        <v>93</v>
      </c>
      <c r="J276" t="s">
        <v>148</v>
      </c>
      <c r="K276" t="s">
        <v>92</v>
      </c>
      <c r="L276">
        <v>107209</v>
      </c>
      <c r="M276">
        <v>8650.7648518999995</v>
      </c>
      <c r="N276">
        <v>980.48303574762326</v>
      </c>
      <c r="O276">
        <v>0.73249394527759426</v>
      </c>
      <c r="P276" s="1" t="str">
        <f>HYPERLINK(".\sm_car_260221_0030\sm_car_260221_0030_275_Ca196TrN_MaDC1_DrSt_daessc_1.png","figure")</f>
        <v>figure</v>
      </c>
      <c r="Q276" t="s">
        <v>15</v>
      </c>
    </row>
    <row r="277" spans="1:17" x14ac:dyDescent="0.25">
      <c r="A277">
        <v>276</v>
      </c>
      <c r="B277">
        <v>179</v>
      </c>
      <c r="C277" t="s">
        <v>45</v>
      </c>
      <c r="D277" t="s">
        <v>57</v>
      </c>
      <c r="E277" t="s">
        <v>18</v>
      </c>
      <c r="F277" t="s">
        <v>19</v>
      </c>
      <c r="G277" t="s">
        <v>26</v>
      </c>
      <c r="H277" t="s">
        <v>21</v>
      </c>
      <c r="I277" t="s">
        <v>22</v>
      </c>
      <c r="J277" t="s">
        <v>148</v>
      </c>
      <c r="K277" t="s">
        <v>23</v>
      </c>
      <c r="L277">
        <v>436</v>
      </c>
      <c r="M277">
        <v>4.8637915999999999</v>
      </c>
      <c r="N277">
        <v>147.77372875873283</v>
      </c>
      <c r="O277">
        <v>9.5733738466374466E-2</v>
      </c>
      <c r="P277" s="1" t="str">
        <f>HYPERLINK(".\sm_car_260221_0030\sm_car_260221_0030_276_Ca179TrN_MaWOT_DrSt_ode23t_1.png","figure")</f>
        <v>figure</v>
      </c>
      <c r="Q277" t="s">
        <v>15</v>
      </c>
    </row>
    <row r="278" spans="1:17" x14ac:dyDescent="0.25">
      <c r="A278">
        <v>277</v>
      </c>
      <c r="B278">
        <v>180</v>
      </c>
      <c r="C278" t="s">
        <v>45</v>
      </c>
      <c r="D278" t="s">
        <v>57</v>
      </c>
      <c r="E278" t="s">
        <v>49</v>
      </c>
      <c r="F278" t="s">
        <v>19</v>
      </c>
      <c r="G278" t="s">
        <v>26</v>
      </c>
      <c r="H278" t="s">
        <v>21</v>
      </c>
      <c r="I278" t="s">
        <v>22</v>
      </c>
      <c r="J278" t="s">
        <v>148</v>
      </c>
      <c r="K278" t="s">
        <v>23</v>
      </c>
      <c r="L278">
        <v>471</v>
      </c>
      <c r="M278">
        <v>6.5000359999999997</v>
      </c>
      <c r="N278">
        <v>147.79276149562878</v>
      </c>
      <c r="O278">
        <v>9.5493524037321628E-2</v>
      </c>
      <c r="P278" s="1" t="str">
        <f>HYPERLINK(".\sm_car_260221_0030\sm_car_260221_0030_277_Ca180TrN_MaWOT_DrSt_ode23t_1.png","figure")</f>
        <v>figure</v>
      </c>
      <c r="Q278" t="s">
        <v>15</v>
      </c>
    </row>
    <row r="279" spans="1:17" x14ac:dyDescent="0.25">
      <c r="A279">
        <v>278</v>
      </c>
      <c r="B279">
        <v>197</v>
      </c>
      <c r="C279" t="s">
        <v>45</v>
      </c>
      <c r="D279" t="s">
        <v>57</v>
      </c>
      <c r="E279" t="s">
        <v>107</v>
      </c>
      <c r="F279" t="s">
        <v>19</v>
      </c>
      <c r="G279" t="s">
        <v>26</v>
      </c>
      <c r="H279" t="s">
        <v>21</v>
      </c>
      <c r="I279" t="s">
        <v>22</v>
      </c>
      <c r="J279" t="s">
        <v>148</v>
      </c>
      <c r="K279" t="s">
        <v>23</v>
      </c>
      <c r="L279">
        <v>406</v>
      </c>
      <c r="M279">
        <v>1.7878025</v>
      </c>
      <c r="N279">
        <v>147.77983677776265</v>
      </c>
      <c r="O279">
        <v>9.5486030092532204E-2</v>
      </c>
      <c r="P279" s="1" t="str">
        <f>HYPERLINK(".\sm_car_260221_0030\sm_car_260221_0030_278_Ca197TrN_MaWOT_DrSt_ode23t_1.png","figure")</f>
        <v>figure</v>
      </c>
      <c r="Q279" t="s">
        <v>15</v>
      </c>
    </row>
    <row r="280" spans="1:17" x14ac:dyDescent="0.25">
      <c r="A280">
        <v>279</v>
      </c>
      <c r="B280">
        <v>182</v>
      </c>
      <c r="C280" t="s">
        <v>45</v>
      </c>
      <c r="D280" t="s">
        <v>17</v>
      </c>
      <c r="E280" t="s">
        <v>49</v>
      </c>
      <c r="F280" t="s">
        <v>19</v>
      </c>
      <c r="G280" t="s">
        <v>26</v>
      </c>
      <c r="H280" t="s">
        <v>21</v>
      </c>
      <c r="I280" t="s">
        <v>64</v>
      </c>
      <c r="J280" t="s">
        <v>148</v>
      </c>
      <c r="K280" t="s">
        <v>23</v>
      </c>
      <c r="L280">
        <v>426</v>
      </c>
      <c r="M280">
        <v>11.851827800000001</v>
      </c>
      <c r="N280">
        <v>61.794674463183753</v>
      </c>
      <c r="O280">
        <v>-24.121855791391955</v>
      </c>
      <c r="P280" s="1" t="str">
        <f>HYPERLINK(".\sm_car_260221_0030\sm_car_260221_0030_279_Ca182TrN_MaTUR_DrSt_ode23t_1.png","figure")</f>
        <v>figure</v>
      </c>
      <c r="Q280" t="s">
        <v>15</v>
      </c>
    </row>
    <row r="281" spans="1:17" x14ac:dyDescent="0.25">
      <c r="A281">
        <v>280</v>
      </c>
      <c r="B281">
        <v>203</v>
      </c>
      <c r="C281" t="s">
        <v>45</v>
      </c>
      <c r="D281" t="s">
        <v>17</v>
      </c>
      <c r="E281" t="s">
        <v>107</v>
      </c>
      <c r="F281" t="s">
        <v>19</v>
      </c>
      <c r="G281" t="s">
        <v>26</v>
      </c>
      <c r="H281" t="s">
        <v>21</v>
      </c>
      <c r="I281" t="s">
        <v>64</v>
      </c>
      <c r="J281" t="s">
        <v>148</v>
      </c>
      <c r="K281" t="s">
        <v>23</v>
      </c>
      <c r="L281">
        <v>374</v>
      </c>
      <c r="M281">
        <v>4.0856601000000001</v>
      </c>
      <c r="N281">
        <v>61.794841512890912</v>
      </c>
      <c r="O281">
        <v>-24.130952904830249</v>
      </c>
      <c r="P281" s="1" t="str">
        <f>HYPERLINK(".\sm_car_260221_0030\sm_car_260221_0030_280_Ca203TrN_MaTUR_DrSt_ode23t_1.png","figure")</f>
        <v>figure</v>
      </c>
      <c r="Q281" t="s">
        <v>15</v>
      </c>
    </row>
    <row r="282" spans="1:17" x14ac:dyDescent="0.25">
      <c r="A282">
        <v>281</v>
      </c>
      <c r="B282">
        <v>185</v>
      </c>
      <c r="C282" t="s">
        <v>45</v>
      </c>
      <c r="D282" t="s">
        <v>17</v>
      </c>
      <c r="E282" t="s">
        <v>18</v>
      </c>
      <c r="F282" t="s">
        <v>19</v>
      </c>
      <c r="G282" t="s">
        <v>26</v>
      </c>
      <c r="H282" t="s">
        <v>21</v>
      </c>
      <c r="I282" t="s">
        <v>64</v>
      </c>
      <c r="J282" t="s">
        <v>148</v>
      </c>
      <c r="K282" t="s">
        <v>23</v>
      </c>
      <c r="L282">
        <v>535</v>
      </c>
      <c r="M282">
        <v>22.4696243</v>
      </c>
      <c r="N282">
        <v>111.80883559811814</v>
      </c>
      <c r="O282">
        <v>-78.414730471843143</v>
      </c>
      <c r="P282" s="1" t="str">
        <f>HYPERLINK(".\sm_car_260221_0030\sm_car_260221_0030_281_Ca185TrN_MaTUR_DrSt_ode23t_1.png","figure")</f>
        <v>figure</v>
      </c>
      <c r="Q282" t="s">
        <v>15</v>
      </c>
    </row>
    <row r="283" spans="1:17" x14ac:dyDescent="0.25">
      <c r="A283">
        <v>282</v>
      </c>
      <c r="B283">
        <v>188</v>
      </c>
      <c r="C283" t="s">
        <v>45</v>
      </c>
      <c r="D283" t="s">
        <v>113</v>
      </c>
      <c r="E283" t="s">
        <v>49</v>
      </c>
      <c r="F283" t="s">
        <v>19</v>
      </c>
      <c r="G283" t="s">
        <v>26</v>
      </c>
      <c r="H283" t="s">
        <v>21</v>
      </c>
      <c r="I283" t="s">
        <v>64</v>
      </c>
      <c r="J283" t="s">
        <v>148</v>
      </c>
      <c r="K283" t="s">
        <v>23</v>
      </c>
      <c r="L283">
        <v>482</v>
      </c>
      <c r="M283">
        <v>6.3333672999999999</v>
      </c>
      <c r="N283">
        <v>140.5991488509265</v>
      </c>
      <c r="O283">
        <v>-71.725481074638807</v>
      </c>
      <c r="P283" s="1" t="str">
        <f>HYPERLINK(".\sm_car_260221_0030\sm_car_260221_0030_282_Ca188TrN_MaTUR_DrSt_ode23t_1.png","figure")</f>
        <v>figure</v>
      </c>
      <c r="Q283" t="s">
        <v>15</v>
      </c>
    </row>
    <row r="284" spans="1:17" x14ac:dyDescent="0.25">
      <c r="A284">
        <v>283</v>
      </c>
      <c r="B284" t="s">
        <v>94</v>
      </c>
      <c r="C284" t="s">
        <v>95</v>
      </c>
      <c r="D284" t="s">
        <v>35</v>
      </c>
      <c r="E284" t="s">
        <v>18</v>
      </c>
      <c r="F284" t="s">
        <v>19</v>
      </c>
      <c r="G284" t="s">
        <v>96</v>
      </c>
      <c r="H284" t="s">
        <v>21</v>
      </c>
      <c r="I284" t="s">
        <v>22</v>
      </c>
      <c r="J284" t="s">
        <v>148</v>
      </c>
      <c r="K284" t="s">
        <v>23</v>
      </c>
      <c r="L284">
        <v>439</v>
      </c>
      <c r="M284">
        <v>12.349303000000001</v>
      </c>
      <c r="N284">
        <v>79.219166426445952</v>
      </c>
      <c r="O284">
        <v>-0.33365307440241487</v>
      </c>
      <c r="P284" s="1" t="str">
        <f>HYPERLINK(".\sm_car_260221_0030\sm_car_Axle3_260221_0030_283_CaAxle3_000TrN_MaWOT_DrSt_ode23t_1.png","figure")</f>
        <v>figure</v>
      </c>
      <c r="Q284" t="s">
        <v>15</v>
      </c>
    </row>
    <row r="285" spans="1:17" x14ac:dyDescent="0.25">
      <c r="A285">
        <v>284</v>
      </c>
      <c r="B285" t="s">
        <v>99</v>
      </c>
      <c r="C285" t="s">
        <v>100</v>
      </c>
      <c r="D285" t="s">
        <v>35</v>
      </c>
      <c r="E285" t="s">
        <v>18</v>
      </c>
      <c r="F285" t="s">
        <v>19</v>
      </c>
      <c r="G285" t="s">
        <v>96</v>
      </c>
      <c r="H285" t="s">
        <v>21</v>
      </c>
      <c r="I285" t="s">
        <v>22</v>
      </c>
      <c r="J285" t="s">
        <v>148</v>
      </c>
      <c r="K285" t="s">
        <v>23</v>
      </c>
      <c r="L285">
        <v>540</v>
      </c>
      <c r="M285">
        <v>16.245710500000001</v>
      </c>
      <c r="N285">
        <v>61.777355343105157</v>
      </c>
      <c r="O285">
        <v>-7.8866104190491462E-2</v>
      </c>
      <c r="P285" s="1" t="str">
        <f>HYPERLINK(".\sm_car_260221_0030\sm_car_Axle3_260221_0030_284_CaAxle3_008TrN_MaWOT_DrSt_ode23t_1.png","figure")</f>
        <v>figure</v>
      </c>
      <c r="Q285" t="s">
        <v>15</v>
      </c>
    </row>
    <row r="286" spans="1:17" x14ac:dyDescent="0.25">
      <c r="A286">
        <v>285</v>
      </c>
      <c r="B286" t="s">
        <v>97</v>
      </c>
      <c r="C286" t="s">
        <v>95</v>
      </c>
      <c r="D286" t="s">
        <v>35</v>
      </c>
      <c r="E286" t="s">
        <v>49</v>
      </c>
      <c r="F286" t="s">
        <v>19</v>
      </c>
      <c r="G286" t="s">
        <v>98</v>
      </c>
      <c r="H286" t="s">
        <v>21</v>
      </c>
      <c r="I286" t="s">
        <v>22</v>
      </c>
      <c r="J286" t="s">
        <v>148</v>
      </c>
      <c r="K286" t="s">
        <v>23</v>
      </c>
      <c r="L286">
        <v>425</v>
      </c>
      <c r="M286">
        <v>16.777007300000001</v>
      </c>
      <c r="N286">
        <v>79.269382440402595</v>
      </c>
      <c r="O286">
        <v>-0.31328649847774703</v>
      </c>
      <c r="P286" s="1" t="str">
        <f>HYPERLINK(".\sm_car_260221_0030\sm_car_Axle3_260221_0030_285_CaAxle3_003TrN_MaWOT_DrSt_ode23t_1.png","figure")</f>
        <v>figure</v>
      </c>
      <c r="Q286" t="s">
        <v>15</v>
      </c>
    </row>
    <row r="287" spans="1:17" x14ac:dyDescent="0.25">
      <c r="A287">
        <v>286</v>
      </c>
      <c r="B287" t="s">
        <v>114</v>
      </c>
      <c r="C287" t="s">
        <v>95</v>
      </c>
      <c r="D287" t="s">
        <v>35</v>
      </c>
      <c r="E287" t="s">
        <v>107</v>
      </c>
      <c r="F287" t="s">
        <v>19</v>
      </c>
      <c r="G287" t="s">
        <v>98</v>
      </c>
      <c r="H287" t="s">
        <v>21</v>
      </c>
      <c r="I287" t="s">
        <v>22</v>
      </c>
      <c r="J287" t="s">
        <v>148</v>
      </c>
      <c r="K287" t="s">
        <v>23</v>
      </c>
      <c r="L287">
        <v>424</v>
      </c>
      <c r="M287">
        <v>2.1401640999999998</v>
      </c>
      <c r="N287">
        <v>80.145692378390578</v>
      </c>
      <c r="O287">
        <v>-0.31945733972396612</v>
      </c>
      <c r="P287" s="1" t="str">
        <f>HYPERLINK(".\sm_car_260221_0030\sm_car_Axle3_260221_0030_286_CaAxle3_017TrN_MaWOT_DrSt_ode23t_1.png","figure")</f>
        <v>figure</v>
      </c>
      <c r="Q287" t="s">
        <v>15</v>
      </c>
    </row>
    <row r="288" spans="1:17" x14ac:dyDescent="0.25">
      <c r="A288">
        <v>287</v>
      </c>
      <c r="B288" t="s">
        <v>101</v>
      </c>
      <c r="C288" t="s">
        <v>100</v>
      </c>
      <c r="D288" t="s">
        <v>35</v>
      </c>
      <c r="E288" t="s">
        <v>49</v>
      </c>
      <c r="F288" t="s">
        <v>19</v>
      </c>
      <c r="G288" t="s">
        <v>96</v>
      </c>
      <c r="H288" t="s">
        <v>102</v>
      </c>
      <c r="I288" t="s">
        <v>22</v>
      </c>
      <c r="J288" t="s">
        <v>148</v>
      </c>
      <c r="K288" t="s">
        <v>23</v>
      </c>
      <c r="L288">
        <v>392</v>
      </c>
      <c r="M288">
        <v>36.898632599999999</v>
      </c>
      <c r="N288">
        <v>44.218963162847174</v>
      </c>
      <c r="O288">
        <v>2.2700681668862979E-2</v>
      </c>
      <c r="P288" s="1" t="str">
        <f>HYPERLINK(".\sm_car_260221_0030\sm_car_Axle3_260221_0030_287_CaAxle3_010TrK_MaWOT_DrSt_ode23t_1.png","figure")</f>
        <v>figure</v>
      </c>
      <c r="Q288" t="s">
        <v>15</v>
      </c>
    </row>
    <row r="289" spans="1:17" x14ac:dyDescent="0.25">
      <c r="A289">
        <v>288</v>
      </c>
      <c r="B289" t="s">
        <v>101</v>
      </c>
      <c r="C289" t="s">
        <v>100</v>
      </c>
      <c r="D289" t="s">
        <v>35</v>
      </c>
      <c r="E289" t="s">
        <v>49</v>
      </c>
      <c r="F289" t="s">
        <v>19</v>
      </c>
      <c r="G289" t="s">
        <v>96</v>
      </c>
      <c r="H289" t="s">
        <v>102</v>
      </c>
      <c r="I289" t="s">
        <v>22</v>
      </c>
      <c r="J289" t="s">
        <v>148</v>
      </c>
      <c r="K289" t="s">
        <v>23</v>
      </c>
      <c r="L289">
        <v>401</v>
      </c>
      <c r="M289">
        <v>37.338290299999997</v>
      </c>
      <c r="N289">
        <v>44.313982104263857</v>
      </c>
      <c r="O289">
        <v>2.2829532363271544E-2</v>
      </c>
      <c r="P289" s="1" t="str">
        <f>HYPERLINK(".\sm_car_260221_0030\sm_car_Axle3_260221_0030_288_CaAxle3_010TrK_MaWOT_DrSt_ode23t_1.png","figure")</f>
        <v>figure</v>
      </c>
      <c r="Q289" t="s">
        <v>15</v>
      </c>
    </row>
    <row r="290" spans="1:17" x14ac:dyDescent="0.25">
      <c r="A290">
        <v>289</v>
      </c>
      <c r="B290" t="s">
        <v>115</v>
      </c>
      <c r="C290" t="s">
        <v>100</v>
      </c>
      <c r="D290" t="s">
        <v>35</v>
      </c>
      <c r="E290" t="s">
        <v>107</v>
      </c>
      <c r="F290" t="s">
        <v>19</v>
      </c>
      <c r="G290" t="s">
        <v>96</v>
      </c>
      <c r="H290" t="s">
        <v>102</v>
      </c>
      <c r="I290" t="s">
        <v>22</v>
      </c>
      <c r="J290" t="s">
        <v>148</v>
      </c>
      <c r="K290" t="s">
        <v>23</v>
      </c>
      <c r="L290">
        <v>399</v>
      </c>
      <c r="M290">
        <v>3.5557373000000001</v>
      </c>
      <c r="N290">
        <v>48.129894493699702</v>
      </c>
      <c r="O290">
        <v>2.6396777407083093E-2</v>
      </c>
      <c r="P290" s="1" t="str">
        <f>HYPERLINK(".\sm_car_260221_0030\sm_car_Axle3_260221_0030_289_CaAxle3_019TrK_MaWOT_DrSt_ode23t_1.png","figure")</f>
        <v>figure</v>
      </c>
      <c r="Q290" t="s">
        <v>15</v>
      </c>
    </row>
    <row r="291" spans="1:17" x14ac:dyDescent="0.25">
      <c r="A291">
        <v>290</v>
      </c>
      <c r="B291" t="s">
        <v>115</v>
      </c>
      <c r="C291" t="s">
        <v>100</v>
      </c>
      <c r="D291" t="s">
        <v>35</v>
      </c>
      <c r="E291" t="s">
        <v>107</v>
      </c>
      <c r="F291" t="s">
        <v>19</v>
      </c>
      <c r="G291" t="s">
        <v>96</v>
      </c>
      <c r="H291" t="s">
        <v>102</v>
      </c>
      <c r="I291" t="s">
        <v>22</v>
      </c>
      <c r="J291" t="s">
        <v>148</v>
      </c>
      <c r="K291" t="s">
        <v>23</v>
      </c>
      <c r="L291">
        <v>401</v>
      </c>
      <c r="M291">
        <v>3.5137757000000001</v>
      </c>
      <c r="N291">
        <v>48.11311627534824</v>
      </c>
      <c r="O291">
        <v>2.637443897234984E-2</v>
      </c>
      <c r="P291" s="1" t="str">
        <f>HYPERLINK(".\sm_car_260221_0030\sm_car_Axle3_260221_0030_290_CaAxle3_019TrK_MaWOT_DrSt_ode23t_1.png","figure")</f>
        <v>figure</v>
      </c>
      <c r="Q291" t="s">
        <v>15</v>
      </c>
    </row>
    <row r="292" spans="1:17" x14ac:dyDescent="0.25">
      <c r="A292">
        <v>291</v>
      </c>
      <c r="B292" t="s">
        <v>115</v>
      </c>
      <c r="C292" t="s">
        <v>100</v>
      </c>
      <c r="D292" t="s">
        <v>35</v>
      </c>
      <c r="E292" t="s">
        <v>107</v>
      </c>
      <c r="F292" t="s">
        <v>19</v>
      </c>
      <c r="G292" t="s">
        <v>96</v>
      </c>
      <c r="H292" t="s">
        <v>102</v>
      </c>
      <c r="I292" t="s">
        <v>53</v>
      </c>
      <c r="J292" t="s">
        <v>148</v>
      </c>
      <c r="K292" t="s">
        <v>23</v>
      </c>
      <c r="L292">
        <v>642</v>
      </c>
      <c r="M292">
        <v>5.4033581000000002</v>
      </c>
      <c r="N292">
        <v>256.21638629733491</v>
      </c>
      <c r="O292">
        <v>-0.11822802534872601</v>
      </c>
      <c r="P292" s="1" t="str">
        <f>HYPERLINK(".\sm_car_260221_0030\sm_car_Axle3_260221_0030_291_CaAxle3_019TrK_MaDLC_DrSt_ode23t_1.png","figure")</f>
        <v>figure</v>
      </c>
      <c r="Q292" t="s">
        <v>15</v>
      </c>
    </row>
    <row r="293" spans="1:17" x14ac:dyDescent="0.25">
      <c r="A293">
        <v>292</v>
      </c>
      <c r="B293" t="s">
        <v>115</v>
      </c>
      <c r="C293" t="s">
        <v>100</v>
      </c>
      <c r="D293" t="s">
        <v>35</v>
      </c>
      <c r="E293" t="s">
        <v>107</v>
      </c>
      <c r="F293" t="s">
        <v>19</v>
      </c>
      <c r="G293" t="s">
        <v>96</v>
      </c>
      <c r="H293" t="s">
        <v>102</v>
      </c>
      <c r="I293" t="s">
        <v>53</v>
      </c>
      <c r="J293" t="s">
        <v>148</v>
      </c>
      <c r="K293" t="s">
        <v>23</v>
      </c>
      <c r="L293">
        <v>783</v>
      </c>
      <c r="M293">
        <v>5.8274511999999996</v>
      </c>
      <c r="N293">
        <v>253.81186809989981</v>
      </c>
      <c r="O293">
        <v>-0.1140425058806418</v>
      </c>
      <c r="P293" s="1" t="str">
        <f>HYPERLINK(".\sm_car_260221_0030\sm_car_Axle3_260221_0030_292_CaAxle3_019TrK_MaDLC_DrSt_ode23t_1.png","figure")</f>
        <v>figure</v>
      </c>
      <c r="Q293" t="s">
        <v>15</v>
      </c>
    </row>
    <row r="294" spans="1:17" x14ac:dyDescent="0.25">
      <c r="A294">
        <v>293</v>
      </c>
      <c r="B294" t="s">
        <v>115</v>
      </c>
      <c r="C294" t="s">
        <v>100</v>
      </c>
      <c r="D294" t="s">
        <v>35</v>
      </c>
      <c r="E294" t="s">
        <v>107</v>
      </c>
      <c r="F294" t="s">
        <v>19</v>
      </c>
      <c r="G294" t="s">
        <v>96</v>
      </c>
      <c r="H294" t="s">
        <v>102</v>
      </c>
      <c r="I294" t="s">
        <v>53</v>
      </c>
      <c r="J294" t="s">
        <v>148</v>
      </c>
      <c r="K294" t="s">
        <v>23</v>
      </c>
      <c r="L294">
        <v>632</v>
      </c>
      <c r="M294">
        <v>5.4913363999999998</v>
      </c>
      <c r="N294">
        <v>255.06884694821434</v>
      </c>
      <c r="O294">
        <v>-0.11502740795356559</v>
      </c>
      <c r="P294" s="1" t="str">
        <f>HYPERLINK(".\sm_car_260221_0030\sm_car_Axle3_260221_0030_293_CaAxle3_019TrK_MaDLC_DrSt_ode23t_1.png","figure")</f>
        <v>figure</v>
      </c>
      <c r="Q294" t="s">
        <v>15</v>
      </c>
    </row>
    <row r="295" spans="1:17" x14ac:dyDescent="0.25">
      <c r="A295">
        <v>294</v>
      </c>
      <c r="B295" t="s">
        <v>115</v>
      </c>
      <c r="C295" t="s">
        <v>100</v>
      </c>
      <c r="D295" t="s">
        <v>35</v>
      </c>
      <c r="E295" t="s">
        <v>107</v>
      </c>
      <c r="F295" t="s">
        <v>19</v>
      </c>
      <c r="G295" t="s">
        <v>96</v>
      </c>
      <c r="H295" t="s">
        <v>102</v>
      </c>
      <c r="I295" t="s">
        <v>53</v>
      </c>
      <c r="J295" t="s">
        <v>148</v>
      </c>
      <c r="K295" t="s">
        <v>23</v>
      </c>
      <c r="L295">
        <v>830</v>
      </c>
      <c r="M295">
        <v>6.1909945000000004</v>
      </c>
      <c r="N295">
        <v>253.97579819667141</v>
      </c>
      <c r="O295">
        <v>-0.10715041129420921</v>
      </c>
      <c r="P295" s="1" t="str">
        <f>HYPERLINK(".\sm_car_260221_0030\sm_car_Axle3_260221_0030_294_CaAxle3_019TrK_MaDLC_DrSt_ode23t_1.png","figure")</f>
        <v>figure</v>
      </c>
      <c r="Q295" t="s">
        <v>15</v>
      </c>
    </row>
    <row r="296" spans="1:17" x14ac:dyDescent="0.25">
      <c r="A296">
        <v>295</v>
      </c>
      <c r="B296" t="s">
        <v>138</v>
      </c>
      <c r="C296" t="s">
        <v>139</v>
      </c>
      <c r="D296" t="s">
        <v>35</v>
      </c>
      <c r="E296" t="s">
        <v>49</v>
      </c>
      <c r="F296" t="s">
        <v>19</v>
      </c>
      <c r="G296" t="s">
        <v>96</v>
      </c>
      <c r="H296" t="s">
        <v>102</v>
      </c>
      <c r="I296" t="s">
        <v>22</v>
      </c>
      <c r="J296" t="s">
        <v>148</v>
      </c>
      <c r="K296" t="s">
        <v>23</v>
      </c>
      <c r="L296">
        <v>378</v>
      </c>
      <c r="M296">
        <v>3.2687449000000002</v>
      </c>
      <c r="N296">
        <v>136.82954784078419</v>
      </c>
      <c r="O296">
        <v>0.1963629170587235</v>
      </c>
      <c r="P296" s="1" t="str">
        <f>HYPERLINK(".\sm_car_260221_0030\sm_car_Axle3_260221_0030_295_CaAxle3_023TrK_MaWOT_DrSt_ode23t_1.png","figure")</f>
        <v>figure</v>
      </c>
      <c r="Q296" t="s">
        <v>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E8E6-45E7-44DA-938F-C9DB4E081FF7}">
  <dimension ref="A1:W296"/>
  <sheetViews>
    <sheetView workbookViewId="0">
      <pane ySplit="1" topLeftCell="A2" activePane="bottomLeft" state="frozen"/>
      <selection pane="bottomLeft" activeCell="L1" sqref="L1:L1048576"/>
    </sheetView>
  </sheetViews>
  <sheetFormatPr defaultRowHeight="15" x14ac:dyDescent="0.25"/>
  <cols>
    <col min="1" max="1" width="6.7109375" bestFit="1" customWidth="1"/>
    <col min="2" max="2" width="10" bestFit="1" customWidth="1"/>
    <col min="3" max="3" width="14" bestFit="1" customWidth="1"/>
    <col min="4" max="4" width="23" bestFit="1" customWidth="1"/>
    <col min="5" max="5" width="11.85546875" bestFit="1" customWidth="1"/>
    <col min="6" max="6" width="11.42578125" bestFit="1" customWidth="1"/>
    <col min="7" max="7" width="18.7109375" bestFit="1" customWidth="1"/>
    <col min="8" max="8" width="8.5703125" bestFit="1" customWidth="1"/>
    <col min="9" max="9" width="27.140625" bestFit="1" customWidth="1"/>
    <col min="10" max="10" width="12.42578125" bestFit="1" customWidth="1"/>
    <col min="11" max="11" width="7.140625" bestFit="1" customWidth="1"/>
    <col min="12" max="12" width="9.5703125" bestFit="1" customWidth="1"/>
    <col min="13" max="13" width="7.7109375" bestFit="1" customWidth="1"/>
    <col min="14" max="14" width="8.5703125" bestFit="1" customWidth="1"/>
    <col min="15" max="15" width="9.28515625" bestFit="1" customWidth="1"/>
    <col min="16" max="16" width="8.85546875" bestFit="1" customWidth="1"/>
    <col min="17" max="17" width="7.140625" bestFit="1" customWidth="1"/>
    <col min="18" max="18" width="5.42578125" bestFit="1" customWidth="1"/>
    <col min="19" max="19" width="30.85546875" bestFit="1" customWidth="1"/>
  </cols>
  <sheetData>
    <row r="1" spans="1:2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6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S1" s="2" t="s">
        <v>205</v>
      </c>
    </row>
    <row r="2" spans="1:23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188</v>
      </c>
      <c r="H2" t="s">
        <v>21</v>
      </c>
      <c r="I2" t="s">
        <v>22</v>
      </c>
      <c r="J2" t="s">
        <v>148</v>
      </c>
      <c r="K2" t="s">
        <v>23</v>
      </c>
      <c r="L2">
        <v>407</v>
      </c>
      <c r="M2" s="4">
        <v>19.137070999999999</v>
      </c>
      <c r="N2" s="4">
        <v>229.79691633507201</v>
      </c>
      <c r="O2" s="4">
        <v>-8.3815857057599977E-3</v>
      </c>
      <c r="P2" s="1" t="str">
        <f>HYPERLINK(".\sm_car_260612_0028\sm_car_260612_0028_001_Ca000TrN_MaWOT_DrSt_ode23t.png","figure")</f>
        <v>figure</v>
      </c>
      <c r="Q2" t="s">
        <v>15</v>
      </c>
      <c r="R2" t="b">
        <f>B2='2024b_260221_0030'!B2</f>
        <v>1</v>
      </c>
      <c r="S2" s="2" t="s">
        <v>116</v>
      </c>
      <c r="T2">
        <f>(L2-'2024b_260221_0030'!L2)</f>
        <v>0</v>
      </c>
      <c r="U2" s="12">
        <f>(L2-'2024b_260221_0030'!L2)/'2024b_260221_0030'!L2</f>
        <v>0</v>
      </c>
      <c r="V2" s="4">
        <f>(M2-'2024b_260221_0030'!M2)</f>
        <v>13.040396999999999</v>
      </c>
      <c r="W2" s="12">
        <f>(M2-'2024b_260221_0030'!M2)/'2024b_260221_0030'!M2</f>
        <v>2.1389362462221202</v>
      </c>
    </row>
    <row r="3" spans="1:23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188</v>
      </c>
      <c r="H3" t="s">
        <v>21</v>
      </c>
      <c r="I3" t="s">
        <v>24</v>
      </c>
      <c r="J3" t="s">
        <v>148</v>
      </c>
      <c r="K3" t="s">
        <v>23</v>
      </c>
      <c r="L3">
        <v>526</v>
      </c>
      <c r="M3" s="4">
        <v>9.9216885999999995</v>
      </c>
      <c r="N3" s="4">
        <v>70.871391609126391</v>
      </c>
      <c r="O3" s="4">
        <v>-0.53285053939936844</v>
      </c>
      <c r="P3" s="1" t="str">
        <f>HYPERLINK(".\sm_car_260612_0028\sm_car_260612_0028_002_Ca000TrN_MaLSS_DrSt_ode23t.png","figure")</f>
        <v>figure</v>
      </c>
      <c r="Q3" t="s">
        <v>15</v>
      </c>
      <c r="R3" t="b">
        <f>B3='2024b_260221_0030'!B3</f>
        <v>1</v>
      </c>
      <c r="S3" s="2" t="s">
        <v>201</v>
      </c>
      <c r="T3">
        <f>(L3-'2024b_260221_0030'!L3)</f>
        <v>0</v>
      </c>
      <c r="U3" s="12">
        <f>(L3-'2024b_260221_0030'!L3)/'2024b_260221_0030'!L3</f>
        <v>0</v>
      </c>
      <c r="V3" s="4">
        <f>(M3-'2024b_260221_0030'!M3)</f>
        <v>2.1455813999999993</v>
      </c>
      <c r="W3" s="12">
        <f>(M3-'2024b_260221_0030'!M3)/'2024b_260221_0030'!M3</f>
        <v>0.27591973011894683</v>
      </c>
    </row>
    <row r="4" spans="1:23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188</v>
      </c>
      <c r="H4" t="s">
        <v>21</v>
      </c>
      <c r="I4" t="s">
        <v>22</v>
      </c>
      <c r="J4" t="s">
        <v>148</v>
      </c>
      <c r="K4" t="s">
        <v>23</v>
      </c>
      <c r="L4">
        <v>414</v>
      </c>
      <c r="M4" s="4">
        <v>18.097991700000001</v>
      </c>
      <c r="N4" s="4">
        <v>228.9780396740241</v>
      </c>
      <c r="O4" s="4">
        <v>-1.7582958650985199E-2</v>
      </c>
      <c r="P4" s="1" t="str">
        <f>HYPERLINK(".\sm_car_260612_0028\sm_car_260612_0028_003_Ca001TrN_MaWOT_DrSt_ode23t.png","figure")</f>
        <v>figure</v>
      </c>
      <c r="Q4" t="s">
        <v>15</v>
      </c>
      <c r="R4" t="b">
        <f>B4='2024b_260221_0030'!B4</f>
        <v>1</v>
      </c>
      <c r="S4" s="2" t="s">
        <v>118</v>
      </c>
      <c r="T4">
        <f>(L4-'2024b_260221_0030'!L4)</f>
        <v>0</v>
      </c>
      <c r="U4" s="12">
        <f>(L4-'2024b_260221_0030'!L4)/'2024b_260221_0030'!L4</f>
        <v>0</v>
      </c>
      <c r="V4" s="4">
        <f>(M4-'2024b_260221_0030'!M4)</f>
        <v>10.432919400000001</v>
      </c>
      <c r="W4" s="12">
        <f>(M4-'2024b_260221_0030'!M4)/'2024b_260221_0030'!M4</f>
        <v>1.3610986291675293</v>
      </c>
    </row>
    <row r="5" spans="1:23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188</v>
      </c>
      <c r="H5" t="s">
        <v>21</v>
      </c>
      <c r="I5" t="s">
        <v>24</v>
      </c>
      <c r="J5" t="s">
        <v>148</v>
      </c>
      <c r="K5" t="s">
        <v>23</v>
      </c>
      <c r="L5">
        <v>535</v>
      </c>
      <c r="M5" s="4">
        <v>13.2873561</v>
      </c>
      <c r="N5" s="4">
        <v>70.585586465815211</v>
      </c>
      <c r="O5" s="4">
        <v>-0.52649935690926708</v>
      </c>
      <c r="P5" s="1" t="str">
        <f>HYPERLINK(".\sm_car_260612_0028\sm_car_260612_0028_004_Ca001TrN_MaLSS_DrSt_ode23t.png","figure")</f>
        <v>figure</v>
      </c>
      <c r="Q5" t="s">
        <v>15</v>
      </c>
      <c r="R5" t="b">
        <f>B5='2024b_260221_0030'!B5</f>
        <v>1</v>
      </c>
      <c r="S5" t="s">
        <v>204</v>
      </c>
      <c r="T5">
        <f>(L5-'2024b_260221_0030'!L5)</f>
        <v>0</v>
      </c>
      <c r="U5" s="12">
        <f>(L5-'2024b_260221_0030'!L5)/'2024b_260221_0030'!L5</f>
        <v>0</v>
      </c>
      <c r="V5" s="4">
        <f>(M5-'2024b_260221_0030'!M5)</f>
        <v>3.5150348000000005</v>
      </c>
      <c r="W5" s="12">
        <f>(M5-'2024b_260221_0030'!M5)/'2024b_260221_0030'!M5</f>
        <v>0.35969292168074751</v>
      </c>
    </row>
    <row r="6" spans="1:23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188</v>
      </c>
      <c r="H6" t="s">
        <v>21</v>
      </c>
      <c r="I6" t="s">
        <v>22</v>
      </c>
      <c r="J6" t="s">
        <v>148</v>
      </c>
      <c r="K6" t="s">
        <v>23</v>
      </c>
      <c r="L6">
        <v>438</v>
      </c>
      <c r="M6" s="4">
        <v>32.877181800000002</v>
      </c>
      <c r="N6" s="4">
        <v>229.08186286831105</v>
      </c>
      <c r="O6" s="4">
        <v>4.1194918237159935E-2</v>
      </c>
      <c r="P6" s="1" t="str">
        <f>HYPERLINK(".\sm_car_260612_0028\sm_car_260612_0028_005_Ca002TrN_MaWOT_DrSt_ode23t.png","figure")</f>
        <v>figure</v>
      </c>
      <c r="Q6" t="s">
        <v>15</v>
      </c>
      <c r="R6" t="b">
        <f>B6='2024b_260221_0030'!B6</f>
        <v>1</v>
      </c>
      <c r="T6">
        <f>(L6-'2024b_260221_0030'!L6)</f>
        <v>0</v>
      </c>
      <c r="U6" s="12">
        <f>(L6-'2024b_260221_0030'!L6)/'2024b_260221_0030'!L6</f>
        <v>0</v>
      </c>
      <c r="V6" s="4">
        <f>(M6-'2024b_260221_0030'!M6)</f>
        <v>21.999651400000005</v>
      </c>
      <c r="W6" s="12">
        <f>(M6-'2024b_260221_0030'!M6)/'2024b_260221_0030'!M6</f>
        <v>2.0224858576354801</v>
      </c>
    </row>
    <row r="7" spans="1:23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188</v>
      </c>
      <c r="H7" t="s">
        <v>21</v>
      </c>
      <c r="I7" t="s">
        <v>24</v>
      </c>
      <c r="J7" t="s">
        <v>148</v>
      </c>
      <c r="K7" t="s">
        <v>23</v>
      </c>
      <c r="L7">
        <v>529</v>
      </c>
      <c r="M7" s="4">
        <v>25.8578586</v>
      </c>
      <c r="N7" s="4">
        <v>70.582489448570342</v>
      </c>
      <c r="O7" s="4">
        <v>-0.52552702890225911</v>
      </c>
      <c r="P7" s="1" t="str">
        <f>HYPERLINK(".\sm_car_260612_0028\sm_car_260612_0028_006_Ca002TrN_MaLSS_DrSt_ode23t.png","figure")</f>
        <v>figure</v>
      </c>
      <c r="Q7" t="s">
        <v>15</v>
      </c>
      <c r="R7" t="b">
        <f>B7='2024b_260221_0030'!B7</f>
        <v>1</v>
      </c>
      <c r="T7">
        <f>(L7-'2024b_260221_0030'!L7)</f>
        <v>0</v>
      </c>
      <c r="U7" s="12">
        <f>(L7-'2024b_260221_0030'!L7)/'2024b_260221_0030'!L7</f>
        <v>0</v>
      </c>
      <c r="V7" s="4">
        <f>(M7-'2024b_260221_0030'!M7)</f>
        <v>13.710535699999999</v>
      </c>
      <c r="W7" s="12">
        <f>(M7-'2024b_260221_0030'!M7)/'2024b_260221_0030'!M7</f>
        <v>1.1286878444632438</v>
      </c>
    </row>
    <row r="8" spans="1:23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188</v>
      </c>
      <c r="H8" t="s">
        <v>21</v>
      </c>
      <c r="I8" t="s">
        <v>22</v>
      </c>
      <c r="J8" t="s">
        <v>148</v>
      </c>
      <c r="K8" t="s">
        <v>23</v>
      </c>
      <c r="L8">
        <v>478</v>
      </c>
      <c r="M8" s="4">
        <v>49.153754300000003</v>
      </c>
      <c r="N8" s="4">
        <v>228.65742485246349</v>
      </c>
      <c r="O8" s="4">
        <v>4.4876744693100448E-2</v>
      </c>
      <c r="P8" s="1" t="str">
        <f>HYPERLINK(".\sm_car_260612_0028\sm_car_260612_0028_007_Ca003TrN_MaWOT_DrSt_ode23t.png","figure")</f>
        <v>figure</v>
      </c>
      <c r="Q8" t="s">
        <v>15</v>
      </c>
      <c r="R8" t="b">
        <f>B8='2024b_260221_0030'!B8</f>
        <v>1</v>
      </c>
      <c r="T8">
        <f>(L8-'2024b_260221_0030'!L8)</f>
        <v>0</v>
      </c>
      <c r="U8" s="12">
        <f>(L8-'2024b_260221_0030'!L8)/'2024b_260221_0030'!L8</f>
        <v>0</v>
      </c>
      <c r="V8" s="4">
        <f>(M8-'2024b_260221_0030'!M8)</f>
        <v>36.645321200000005</v>
      </c>
      <c r="W8" s="12">
        <f>(M8-'2024b_260221_0030'!M8)/'2024b_260221_0030'!M8</f>
        <v>2.9296492140170622</v>
      </c>
    </row>
    <row r="9" spans="1:23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188</v>
      </c>
      <c r="H9" t="s">
        <v>21</v>
      </c>
      <c r="I9" t="s">
        <v>24</v>
      </c>
      <c r="J9" t="s">
        <v>148</v>
      </c>
      <c r="K9" t="s">
        <v>23</v>
      </c>
      <c r="L9">
        <v>536</v>
      </c>
      <c r="M9" s="4">
        <v>24.061442799999998</v>
      </c>
      <c r="N9" s="4">
        <v>70.460459795576924</v>
      </c>
      <c r="O9" s="4">
        <v>-0.51930726611168798</v>
      </c>
      <c r="P9" s="1" t="str">
        <f>HYPERLINK(".\sm_car_260612_0028\sm_car_260612_0028_008_Ca003TrN_MaLSS_DrSt_ode23t.png","figure")</f>
        <v>figure</v>
      </c>
      <c r="Q9" t="s">
        <v>15</v>
      </c>
      <c r="R9" t="b">
        <f>B9='2024b_260221_0030'!B9</f>
        <v>1</v>
      </c>
      <c r="T9">
        <f>(L9-'2024b_260221_0030'!L9)</f>
        <v>0</v>
      </c>
      <c r="U9" s="12">
        <f>(L9-'2024b_260221_0030'!L9)/'2024b_260221_0030'!L9</f>
        <v>0</v>
      </c>
      <c r="V9" s="4">
        <f>(M9-'2024b_260221_0030'!M9)</f>
        <v>11.551536099999998</v>
      </c>
      <c r="W9" s="12">
        <f>(M9-'2024b_260221_0030'!M9)/'2024b_260221_0030'!M9</f>
        <v>0.92339106733705678</v>
      </c>
    </row>
    <row r="10" spans="1:23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188</v>
      </c>
      <c r="H10" t="s">
        <v>21</v>
      </c>
      <c r="I10" t="s">
        <v>22</v>
      </c>
      <c r="J10" t="s">
        <v>148</v>
      </c>
      <c r="K10" t="s">
        <v>23</v>
      </c>
      <c r="L10">
        <v>1101</v>
      </c>
      <c r="M10" s="4">
        <v>21.792446000000002</v>
      </c>
      <c r="N10" s="4">
        <v>230.03726528986655</v>
      </c>
      <c r="O10" s="4">
        <v>-9.7560265766938863E-3</v>
      </c>
      <c r="P10" s="1" t="str">
        <f>HYPERLINK(".\sm_car_260612_0028\sm_car_260612_0028_009_Ca004TrN_MaWOT_DrSt_ode23t.png","figure")</f>
        <v>figure</v>
      </c>
      <c r="Q10" t="s">
        <v>15</v>
      </c>
      <c r="R10" t="b">
        <f>B10='2024b_260221_0030'!B10</f>
        <v>1</v>
      </c>
      <c r="T10">
        <f>(L10-'2024b_260221_0030'!L10)</f>
        <v>0</v>
      </c>
      <c r="U10" s="12">
        <f>(L10-'2024b_260221_0030'!L10)/'2024b_260221_0030'!L10</f>
        <v>0</v>
      </c>
      <c r="V10" s="4">
        <f>(M10-'2024b_260221_0030'!M10)</f>
        <v>9.902887800000002</v>
      </c>
      <c r="W10" s="12">
        <f>(M10-'2024b_260221_0030'!M10)/'2024b_260221_0030'!M10</f>
        <v>0.83290628915042464</v>
      </c>
    </row>
    <row r="11" spans="1:23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188</v>
      </c>
      <c r="H11" t="s">
        <v>21</v>
      </c>
      <c r="I11" t="s">
        <v>24</v>
      </c>
      <c r="J11" t="s">
        <v>148</v>
      </c>
      <c r="K11" t="s">
        <v>23</v>
      </c>
      <c r="L11">
        <v>1228</v>
      </c>
      <c r="M11" s="4">
        <v>44.6090023</v>
      </c>
      <c r="N11" s="4">
        <v>70.87933579081141</v>
      </c>
      <c r="O11" s="4">
        <v>-0.53594520575646432</v>
      </c>
      <c r="P11" s="1" t="str">
        <f>HYPERLINK(".\sm_car_260612_0028\sm_car_260612_0028_010_Ca004TrN_MaLSS_DrSt_ode23t.png","figure")</f>
        <v>figure</v>
      </c>
      <c r="Q11" t="s">
        <v>15</v>
      </c>
      <c r="R11" t="b">
        <f>B11='2024b_260221_0030'!B11</f>
        <v>1</v>
      </c>
      <c r="T11">
        <f>(L11-'2024b_260221_0030'!L11)</f>
        <v>0</v>
      </c>
      <c r="U11" s="12">
        <f>(L11-'2024b_260221_0030'!L11)/'2024b_260221_0030'!L11</f>
        <v>0</v>
      </c>
      <c r="V11" s="4">
        <f>(M11-'2024b_260221_0030'!M11)</f>
        <v>30.568525999999999</v>
      </c>
      <c r="W11" s="12">
        <f>(M11-'2024b_260221_0030'!M11)/'2024b_260221_0030'!M11</f>
        <v>2.1771715821350019</v>
      </c>
    </row>
    <row r="12" spans="1:23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188</v>
      </c>
      <c r="H12" t="s">
        <v>21</v>
      </c>
      <c r="I12" t="s">
        <v>22</v>
      </c>
      <c r="J12" t="s">
        <v>148</v>
      </c>
      <c r="K12" t="s">
        <v>23</v>
      </c>
      <c r="L12">
        <v>1086</v>
      </c>
      <c r="M12" s="4">
        <v>26.179699200000002</v>
      </c>
      <c r="N12" s="4">
        <v>229.03707626097486</v>
      </c>
      <c r="O12" s="4">
        <v>-1.7601671088690585E-2</v>
      </c>
      <c r="P12" s="1" t="str">
        <f>HYPERLINK(".\sm_car_260612_0028\sm_car_260612_0028_011_Ca005TrN_MaWOT_DrSt_ode23t.png","figure")</f>
        <v>figure</v>
      </c>
      <c r="Q12" t="s">
        <v>15</v>
      </c>
      <c r="R12" t="b">
        <f>B12='2024b_260221_0030'!B12</f>
        <v>1</v>
      </c>
      <c r="T12">
        <f>(L12-'2024b_260221_0030'!L12)</f>
        <v>0</v>
      </c>
      <c r="U12" s="12">
        <f>(L12-'2024b_260221_0030'!L12)/'2024b_260221_0030'!L12</f>
        <v>0</v>
      </c>
      <c r="V12" s="4">
        <f>(M12-'2024b_260221_0030'!M12)</f>
        <v>13.352169100000001</v>
      </c>
      <c r="W12" s="12">
        <f>(M12-'2024b_260221_0030'!M12)/'2024b_260221_0030'!M12</f>
        <v>1.0408994557728615</v>
      </c>
    </row>
    <row r="13" spans="1:23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188</v>
      </c>
      <c r="H13" t="s">
        <v>21</v>
      </c>
      <c r="I13" t="s">
        <v>24</v>
      </c>
      <c r="J13" t="s">
        <v>148</v>
      </c>
      <c r="K13" t="s">
        <v>23</v>
      </c>
      <c r="L13">
        <v>1218</v>
      </c>
      <c r="M13" s="4">
        <v>49.8444413</v>
      </c>
      <c r="N13" s="4">
        <v>70.59176456017812</v>
      </c>
      <c r="O13" s="4">
        <v>-0.5301460871337158</v>
      </c>
      <c r="P13" s="1" t="str">
        <f>HYPERLINK(".\sm_car_260612_0028\sm_car_260612_0028_012_Ca005TrN_MaLSS_DrSt_ode23t.png","figure")</f>
        <v>figure</v>
      </c>
      <c r="Q13" t="s">
        <v>15</v>
      </c>
      <c r="R13" t="b">
        <f>B13='2024b_260221_0030'!B13</f>
        <v>1</v>
      </c>
      <c r="T13">
        <f>(L13-'2024b_260221_0030'!L13)</f>
        <v>0</v>
      </c>
      <c r="U13" s="12">
        <f>(L13-'2024b_260221_0030'!L13)/'2024b_260221_0030'!L13</f>
        <v>0</v>
      </c>
      <c r="V13" s="4">
        <f>(M13-'2024b_260221_0030'!M13)</f>
        <v>34.395947800000002</v>
      </c>
      <c r="W13" s="12">
        <f>(M13-'2024b_260221_0030'!M13)/'2024b_260221_0030'!M13</f>
        <v>2.2264920394988676</v>
      </c>
    </row>
    <row r="14" spans="1:23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188</v>
      </c>
      <c r="H14" t="s">
        <v>21</v>
      </c>
      <c r="I14" t="s">
        <v>22</v>
      </c>
      <c r="J14" t="s">
        <v>148</v>
      </c>
      <c r="K14" t="s">
        <v>23</v>
      </c>
      <c r="L14">
        <v>1238</v>
      </c>
      <c r="M14" s="4">
        <v>42.450983000000001</v>
      </c>
      <c r="N14" s="4">
        <v>229.10097216408235</v>
      </c>
      <c r="O14" s="4">
        <v>5.20894301552772E-2</v>
      </c>
      <c r="P14" s="1" t="str">
        <f>HYPERLINK(".\sm_car_260612_0028\sm_car_260612_0028_013_Ca006TrN_MaWOT_DrSt_ode23t.png","figure")</f>
        <v>figure</v>
      </c>
      <c r="Q14" t="s">
        <v>15</v>
      </c>
      <c r="R14" t="b">
        <f>B14='2024b_260221_0030'!B14</f>
        <v>1</v>
      </c>
      <c r="T14">
        <f>(L14-'2024b_260221_0030'!L14)</f>
        <v>0</v>
      </c>
      <c r="U14" s="12">
        <f>(L14-'2024b_260221_0030'!L14)/'2024b_260221_0030'!L14</f>
        <v>0</v>
      </c>
      <c r="V14" s="4">
        <f>(M14-'2024b_260221_0030'!M14)</f>
        <v>24.601528500000001</v>
      </c>
      <c r="W14" s="12">
        <f>(M14-'2024b_260221_0030'!M14)/'2024b_260221_0030'!M14</f>
        <v>1.3782790112717451</v>
      </c>
    </row>
    <row r="15" spans="1:23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188</v>
      </c>
      <c r="H15" t="s">
        <v>21</v>
      </c>
      <c r="I15" t="s">
        <v>24</v>
      </c>
      <c r="J15" t="s">
        <v>148</v>
      </c>
      <c r="K15" t="s">
        <v>23</v>
      </c>
      <c r="L15">
        <v>1287</v>
      </c>
      <c r="M15" s="4">
        <v>20.473533100000001</v>
      </c>
      <c r="N15" s="4">
        <v>70.595757115412709</v>
      </c>
      <c r="O15" s="4">
        <v>-0.52906507009332249</v>
      </c>
      <c r="P15" s="1" t="str">
        <f>HYPERLINK(".\sm_car_260612_0028\sm_car_260612_0028_014_Ca006TrN_MaLSS_DrSt_ode23t.png","figure")</f>
        <v>figure</v>
      </c>
      <c r="Q15" t="s">
        <v>15</v>
      </c>
      <c r="R15" t="b">
        <f>B15='2024b_260221_0030'!B15</f>
        <v>1</v>
      </c>
      <c r="T15">
        <f>(L15-'2024b_260221_0030'!L15)</f>
        <v>0</v>
      </c>
      <c r="U15" s="12">
        <f>(L15-'2024b_260221_0030'!L15)/'2024b_260221_0030'!L15</f>
        <v>0</v>
      </c>
      <c r="V15" s="4">
        <f>(M15-'2024b_260221_0030'!M15)</f>
        <v>4.5119311000000017</v>
      </c>
      <c r="W15" s="12">
        <f>(M15-'2024b_260221_0030'!M15)/'2024b_260221_0030'!M15</f>
        <v>0.28267407619861729</v>
      </c>
    </row>
    <row r="16" spans="1:23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188</v>
      </c>
      <c r="H16" t="s">
        <v>21</v>
      </c>
      <c r="I16" t="s">
        <v>22</v>
      </c>
      <c r="J16" t="s">
        <v>148</v>
      </c>
      <c r="K16" t="s">
        <v>23</v>
      </c>
      <c r="L16">
        <v>1209</v>
      </c>
      <c r="M16" s="4">
        <v>23.922704800000002</v>
      </c>
      <c r="N16" s="4">
        <v>228.66138219134302</v>
      </c>
      <c r="O16" s="4">
        <v>5.3470138357774817E-2</v>
      </c>
      <c r="P16" s="1" t="str">
        <f>HYPERLINK(".\sm_car_260612_0028\sm_car_260612_0028_015_Ca007TrN_MaWOT_DrSt_ode23t.png","figure")</f>
        <v>figure</v>
      </c>
      <c r="Q16" t="s">
        <v>15</v>
      </c>
      <c r="R16" t="b">
        <f>B16='2024b_260221_0030'!B16</f>
        <v>1</v>
      </c>
      <c r="T16">
        <f>(L16-'2024b_260221_0030'!L16)</f>
        <v>0</v>
      </c>
      <c r="U16" s="12">
        <f>(L16-'2024b_260221_0030'!L16)/'2024b_260221_0030'!L16</f>
        <v>0</v>
      </c>
      <c r="V16" s="4">
        <f>(M16-'2024b_260221_0030'!M16)</f>
        <v>2.3710222000000023</v>
      </c>
      <c r="W16" s="12">
        <f>(M16-'2024b_260221_0030'!M16)/'2024b_260221_0030'!M16</f>
        <v>0.11001564211974811</v>
      </c>
    </row>
    <row r="17" spans="1:23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188</v>
      </c>
      <c r="H17" t="s">
        <v>21</v>
      </c>
      <c r="I17" t="s">
        <v>24</v>
      </c>
      <c r="J17" t="s">
        <v>148</v>
      </c>
      <c r="K17" t="s">
        <v>23</v>
      </c>
      <c r="L17">
        <v>1277</v>
      </c>
      <c r="M17" s="4">
        <v>21.349353300000001</v>
      </c>
      <c r="N17" s="4">
        <v>70.461979662589826</v>
      </c>
      <c r="O17" s="4">
        <v>-0.52338532687897232</v>
      </c>
      <c r="P17" s="1" t="str">
        <f>HYPERLINK(".\sm_car_260612_0028\sm_car_260612_0028_016_Ca007TrN_MaLSS_DrSt_ode23t.png","figure")</f>
        <v>figure</v>
      </c>
      <c r="Q17" t="s">
        <v>15</v>
      </c>
      <c r="R17" t="b">
        <f>B17='2024b_260221_0030'!B17</f>
        <v>1</v>
      </c>
      <c r="T17">
        <f>(L17-'2024b_260221_0030'!L17)</f>
        <v>0</v>
      </c>
      <c r="U17" s="12">
        <f>(L17-'2024b_260221_0030'!L17)/'2024b_260221_0030'!L17</f>
        <v>0</v>
      </c>
      <c r="V17" s="4">
        <f>(M17-'2024b_260221_0030'!M17)</f>
        <v>3.7954277000000012</v>
      </c>
      <c r="W17" s="12">
        <f>(M17-'2024b_260221_0030'!M17)/'2024b_260221_0030'!M17</f>
        <v>0.21621532336903612</v>
      </c>
    </row>
    <row r="18" spans="1:23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188</v>
      </c>
      <c r="H18" t="s">
        <v>21</v>
      </c>
      <c r="I18" t="s">
        <v>22</v>
      </c>
      <c r="J18" t="s">
        <v>148</v>
      </c>
      <c r="K18" t="s">
        <v>23</v>
      </c>
      <c r="L18">
        <v>414</v>
      </c>
      <c r="M18" s="4">
        <v>7.5821239</v>
      </c>
      <c r="N18" s="4">
        <v>230.40960672488885</v>
      </c>
      <c r="O18" s="4">
        <v>-7.5480656363989873E-2</v>
      </c>
      <c r="P18" s="1" t="str">
        <f>HYPERLINK(".\sm_car_260612_0028\sm_car_260612_0028_017_Ca016TrN_MaWOT_DrSt_ode23t.png","figure")</f>
        <v>figure</v>
      </c>
      <c r="Q18" t="s">
        <v>15</v>
      </c>
      <c r="R18" t="b">
        <f>B18='2024b_260221_0030'!B18</f>
        <v>1</v>
      </c>
      <c r="T18">
        <f>(L18-'2024b_260221_0030'!L18)</f>
        <v>0</v>
      </c>
      <c r="U18" s="12">
        <f>(L18-'2024b_260221_0030'!L18)/'2024b_260221_0030'!L18</f>
        <v>0</v>
      </c>
      <c r="V18" s="4">
        <f>(M18-'2024b_260221_0030'!M18)</f>
        <v>0.71649920000000034</v>
      </c>
      <c r="W18" s="12">
        <f>(M18-'2024b_260221_0030'!M18)/'2024b_260221_0030'!M18</f>
        <v>0.10436037961702165</v>
      </c>
    </row>
    <row r="19" spans="1:23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188</v>
      </c>
      <c r="H19" t="s">
        <v>21</v>
      </c>
      <c r="I19" t="s">
        <v>24</v>
      </c>
      <c r="J19" t="s">
        <v>148</v>
      </c>
      <c r="K19" t="s">
        <v>23</v>
      </c>
      <c r="L19">
        <v>479</v>
      </c>
      <c r="M19" s="4">
        <v>7.9208195999999997</v>
      </c>
      <c r="N19" s="4">
        <v>71.136919732424161</v>
      </c>
      <c r="O19" s="4">
        <v>-2.1879904771588968E-2</v>
      </c>
      <c r="P19" s="1" t="str">
        <f>HYPERLINK(".\sm_car_260612_0028\sm_car_260612_0028_018_Ca016TrN_MaLSS_DrSt_ode23t.png","figure")</f>
        <v>figure</v>
      </c>
      <c r="Q19" t="s">
        <v>15</v>
      </c>
      <c r="R19" t="b">
        <f>B19='2024b_260221_0030'!B19</f>
        <v>1</v>
      </c>
      <c r="T19">
        <f>(L19-'2024b_260221_0030'!L19)</f>
        <v>0</v>
      </c>
      <c r="U19" s="12">
        <f>(L19-'2024b_260221_0030'!L19)/'2024b_260221_0030'!L19</f>
        <v>0</v>
      </c>
      <c r="V19" s="4">
        <f>(M19-'2024b_260221_0030'!M19)</f>
        <v>2.1367772999999994</v>
      </c>
      <c r="W19" s="12">
        <f>(M19-'2024b_260221_0030'!M19)/'2024b_260221_0030'!M19</f>
        <v>0.3694262920587561</v>
      </c>
    </row>
    <row r="20" spans="1:23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188</v>
      </c>
      <c r="H20" t="s">
        <v>21</v>
      </c>
      <c r="I20" t="s">
        <v>22</v>
      </c>
      <c r="J20" t="s">
        <v>148</v>
      </c>
      <c r="K20" t="s">
        <v>23</v>
      </c>
      <c r="L20">
        <v>405</v>
      </c>
      <c r="M20" s="4">
        <v>9.7990904000000008</v>
      </c>
      <c r="N20" s="4">
        <v>230.15045365605587</v>
      </c>
      <c r="O20" s="4">
        <v>5.5534640356316141E-3</v>
      </c>
      <c r="P20" s="1" t="str">
        <f>HYPERLINK(".\sm_car_260612_0028\sm_car_260612_0028_019_Ca032TrN_MaWOT_DrSt_ode23t.png","figure")</f>
        <v>figure</v>
      </c>
      <c r="Q20" t="s">
        <v>15</v>
      </c>
      <c r="R20" t="b">
        <f>B20='2024b_260221_0030'!B20</f>
        <v>1</v>
      </c>
      <c r="T20">
        <f>(L20-'2024b_260221_0030'!L20)</f>
        <v>0</v>
      </c>
      <c r="U20" s="12">
        <f>(L20-'2024b_260221_0030'!L20)/'2024b_260221_0030'!L20</f>
        <v>0</v>
      </c>
      <c r="V20" s="4">
        <f>(M20-'2024b_260221_0030'!M20)</f>
        <v>2.7256802000000011</v>
      </c>
      <c r="W20" s="12">
        <f>(M20-'2024b_260221_0030'!M20)/'2024b_260221_0030'!M20</f>
        <v>0.38534174081972528</v>
      </c>
    </row>
    <row r="21" spans="1:23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188</v>
      </c>
      <c r="H21" t="s">
        <v>21</v>
      </c>
      <c r="I21" t="s">
        <v>24</v>
      </c>
      <c r="J21" t="s">
        <v>148</v>
      </c>
      <c r="K21" t="s">
        <v>23</v>
      </c>
      <c r="L21">
        <v>526</v>
      </c>
      <c r="M21" s="4">
        <v>10.827640000000001</v>
      </c>
      <c r="N21" s="4">
        <v>70.887018122001578</v>
      </c>
      <c r="O21" s="4">
        <v>-0.51641941013081838</v>
      </c>
      <c r="P21" s="1" t="str">
        <f>HYPERLINK(".\sm_car_260612_0028\sm_car_260612_0028_020_Ca032TrN_MaLSS_DrSt_ode23t.png","figure")</f>
        <v>figure</v>
      </c>
      <c r="Q21" t="s">
        <v>15</v>
      </c>
      <c r="R21" t="b">
        <f>B21='2024b_260221_0030'!B21</f>
        <v>1</v>
      </c>
      <c r="T21">
        <f>(L21-'2024b_260221_0030'!L21)</f>
        <v>0</v>
      </c>
      <c r="U21" s="12">
        <f>(L21-'2024b_260221_0030'!L21)/'2024b_260221_0030'!L21</f>
        <v>0</v>
      </c>
      <c r="V21" s="4">
        <f>(M21-'2024b_260221_0030'!M21)</f>
        <v>2.5527968000000012</v>
      </c>
      <c r="W21" s="12">
        <f>(M21-'2024b_260221_0030'!M21)/'2024b_260221_0030'!M21</f>
        <v>0.30850092724415629</v>
      </c>
    </row>
    <row r="22" spans="1:23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188</v>
      </c>
      <c r="H22" t="s">
        <v>21</v>
      </c>
      <c r="I22" t="s">
        <v>22</v>
      </c>
      <c r="J22" t="s">
        <v>148</v>
      </c>
      <c r="K22" t="s">
        <v>23</v>
      </c>
      <c r="L22">
        <v>408</v>
      </c>
      <c r="M22" s="4">
        <v>10.202401800000001</v>
      </c>
      <c r="N22" s="4">
        <v>230.07116592822823</v>
      </c>
      <c r="O22" s="4">
        <v>-2.2803956668757609E-2</v>
      </c>
      <c r="P22" s="1" t="str">
        <f>HYPERLINK(".\sm_car_260612_0028\sm_car_260612_0028_021_Ca048TrN_MaWOT_DrSt_ode23t.png","figure")</f>
        <v>figure</v>
      </c>
      <c r="Q22" t="s">
        <v>15</v>
      </c>
      <c r="R22" t="b">
        <f>B22='2024b_260221_0030'!B22</f>
        <v>1</v>
      </c>
      <c r="T22">
        <f>(L22-'2024b_260221_0030'!L22)</f>
        <v>0</v>
      </c>
      <c r="U22" s="12">
        <f>(L22-'2024b_260221_0030'!L22)/'2024b_260221_0030'!L22</f>
        <v>0</v>
      </c>
      <c r="V22" s="4">
        <f>(M22-'2024b_260221_0030'!M22)</f>
        <v>2.4058090000000005</v>
      </c>
      <c r="W22" s="12">
        <f>(M22-'2024b_260221_0030'!M22)/'2024b_260221_0030'!M22</f>
        <v>0.30857184179222502</v>
      </c>
    </row>
    <row r="23" spans="1:23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188</v>
      </c>
      <c r="H23" t="s">
        <v>21</v>
      </c>
      <c r="I23" t="s">
        <v>24</v>
      </c>
      <c r="J23" t="s">
        <v>148</v>
      </c>
      <c r="K23" t="s">
        <v>23</v>
      </c>
      <c r="L23">
        <v>532</v>
      </c>
      <c r="M23" s="4">
        <v>12.9302356</v>
      </c>
      <c r="N23" s="4">
        <v>70.879734943070645</v>
      </c>
      <c r="O23" s="4">
        <v>-0.52128276122161854</v>
      </c>
      <c r="P23" s="1" t="str">
        <f>HYPERLINK(".\sm_car_260612_0028\sm_car_260612_0028_022_Ca048TrN_MaLSS_DrSt_ode23t.png","figure")</f>
        <v>figure</v>
      </c>
      <c r="Q23" t="s">
        <v>15</v>
      </c>
      <c r="R23" t="b">
        <f>B23='2024b_260221_0030'!B23</f>
        <v>1</v>
      </c>
      <c r="T23">
        <f>(L23-'2024b_260221_0030'!L23)</f>
        <v>0</v>
      </c>
      <c r="U23" s="12">
        <f>(L23-'2024b_260221_0030'!L23)/'2024b_260221_0030'!L23</f>
        <v>0</v>
      </c>
      <c r="V23" s="4">
        <f>(M23-'2024b_260221_0030'!M23)</f>
        <v>4.6866006999999996</v>
      </c>
      <c r="W23" s="12">
        <f>(M23-'2024b_260221_0030'!M23)/'2024b_260221_0030'!M23</f>
        <v>0.56851143419755279</v>
      </c>
    </row>
    <row r="24" spans="1:23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188</v>
      </c>
      <c r="H24" t="s">
        <v>21</v>
      </c>
      <c r="I24" t="s">
        <v>22</v>
      </c>
      <c r="J24" t="s">
        <v>148</v>
      </c>
      <c r="K24" t="s">
        <v>23</v>
      </c>
      <c r="L24">
        <v>400</v>
      </c>
      <c r="M24" s="4">
        <v>12.6608026</v>
      </c>
      <c r="N24" s="4">
        <v>230.15012909419332</v>
      </c>
      <c r="O24" s="4">
        <v>4.0306009787751344E-3</v>
      </c>
      <c r="P24" s="1" t="str">
        <f>HYPERLINK(".\sm_car_260612_0028\sm_car_260612_0028_023_Ca064TrN_MaWOT_DrSt_ode23t.png","figure")</f>
        <v>figure</v>
      </c>
      <c r="Q24" t="s">
        <v>15</v>
      </c>
      <c r="R24" t="b">
        <f>B24='2024b_260221_0030'!B24</f>
        <v>1</v>
      </c>
      <c r="T24">
        <f>(L24-'2024b_260221_0030'!L24)</f>
        <v>0</v>
      </c>
      <c r="U24" s="12">
        <f>(L24-'2024b_260221_0030'!L24)/'2024b_260221_0030'!L24</f>
        <v>0</v>
      </c>
      <c r="V24" s="4">
        <f>(M24-'2024b_260221_0030'!M24)</f>
        <v>4.041462300000001</v>
      </c>
      <c r="W24" s="12">
        <f>(M24-'2024b_260221_0030'!M24)/'2024b_260221_0030'!M24</f>
        <v>0.46888301880829575</v>
      </c>
    </row>
    <row r="25" spans="1:23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188</v>
      </c>
      <c r="H25" t="s">
        <v>21</v>
      </c>
      <c r="I25" t="s">
        <v>24</v>
      </c>
      <c r="J25" t="s">
        <v>148</v>
      </c>
      <c r="K25" t="s">
        <v>23</v>
      </c>
      <c r="L25">
        <v>512</v>
      </c>
      <c r="M25" s="4">
        <v>12.749089400000001</v>
      </c>
      <c r="N25" s="4">
        <v>70.903978167550335</v>
      </c>
      <c r="O25" s="4">
        <v>-0.50998323756179686</v>
      </c>
      <c r="P25" s="1" t="str">
        <f>HYPERLINK(".\sm_car_260612_0028\sm_car_260612_0028_024_Ca064TrN_MaLSS_DrSt_ode23t.png","figure")</f>
        <v>figure</v>
      </c>
      <c r="Q25" t="s">
        <v>15</v>
      </c>
      <c r="R25" t="b">
        <f>B25='2024b_260221_0030'!B25</f>
        <v>1</v>
      </c>
      <c r="T25">
        <f>(L25-'2024b_260221_0030'!L25)</f>
        <v>0</v>
      </c>
      <c r="U25" s="12">
        <f>(L25-'2024b_260221_0030'!L25)/'2024b_260221_0030'!L25</f>
        <v>0</v>
      </c>
      <c r="V25" s="4">
        <f>(M25-'2024b_260221_0030'!M25)</f>
        <v>4.5835176000000004</v>
      </c>
      <c r="W25" s="12">
        <f>(M25-'2024b_260221_0030'!M25)/'2024b_260221_0030'!M25</f>
        <v>0.56132230690813356</v>
      </c>
    </row>
    <row r="26" spans="1:23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188</v>
      </c>
      <c r="H26" t="s">
        <v>21</v>
      </c>
      <c r="I26" t="s">
        <v>22</v>
      </c>
      <c r="J26" t="s">
        <v>148</v>
      </c>
      <c r="K26" t="s">
        <v>23</v>
      </c>
      <c r="L26">
        <v>407</v>
      </c>
      <c r="M26" s="4">
        <v>12.233284100000001</v>
      </c>
      <c r="N26" s="4">
        <v>229.977002942746</v>
      </c>
      <c r="O26" s="4">
        <v>-2.5215828614378225E-2</v>
      </c>
      <c r="P26" s="1" t="str">
        <f>HYPERLINK(".\sm_car_260612_0028\sm_car_260612_0028_025_Ca080TrN_MaWOT_DrSt_ode23t.png","figure")</f>
        <v>figure</v>
      </c>
      <c r="Q26" t="s">
        <v>15</v>
      </c>
      <c r="R26" t="b">
        <f>B26='2024b_260221_0030'!B26</f>
        <v>1</v>
      </c>
      <c r="T26">
        <f>(L26-'2024b_260221_0030'!L26)</f>
        <v>0</v>
      </c>
      <c r="U26" s="12">
        <f>(L26-'2024b_260221_0030'!L26)/'2024b_260221_0030'!L26</f>
        <v>0</v>
      </c>
      <c r="V26" s="4">
        <f>(M26-'2024b_260221_0030'!M26)</f>
        <v>3.4195519000000001</v>
      </c>
      <c r="W26" s="12">
        <f>(M26-'2024b_260221_0030'!M26)/'2024b_260221_0030'!M26</f>
        <v>0.38798000919519654</v>
      </c>
    </row>
    <row r="27" spans="1:23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188</v>
      </c>
      <c r="H27" t="s">
        <v>21</v>
      </c>
      <c r="I27" t="s">
        <v>24</v>
      </c>
      <c r="J27" t="s">
        <v>148</v>
      </c>
      <c r="K27" t="s">
        <v>23</v>
      </c>
      <c r="L27">
        <v>521</v>
      </c>
      <c r="M27" s="4">
        <v>12.759936400000001</v>
      </c>
      <c r="N27" s="4">
        <v>70.871571113951205</v>
      </c>
      <c r="O27" s="4">
        <v>-0.51798401216276602</v>
      </c>
      <c r="P27" s="1" t="str">
        <f>HYPERLINK(".\sm_car_260612_0028\sm_car_260612_0028_026_Ca080TrN_MaLSS_DrSt_ode23t.png","figure")</f>
        <v>figure</v>
      </c>
      <c r="Q27" t="s">
        <v>15</v>
      </c>
      <c r="R27" t="b">
        <f>B27='2024b_260221_0030'!B27</f>
        <v>1</v>
      </c>
      <c r="T27">
        <f>(L27-'2024b_260221_0030'!L27)</f>
        <v>0</v>
      </c>
      <c r="U27" s="12">
        <f>(L27-'2024b_260221_0030'!L27)/'2024b_260221_0030'!L27</f>
        <v>0</v>
      </c>
      <c r="V27" s="4">
        <f>(M27-'2024b_260221_0030'!M27)</f>
        <v>4.6091016000000007</v>
      </c>
      <c r="W27" s="12">
        <f>(M27-'2024b_260221_0030'!M27)/'2024b_260221_0030'!M27</f>
        <v>0.56547601725408547</v>
      </c>
    </row>
    <row r="28" spans="1:23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188</v>
      </c>
      <c r="H28" t="s">
        <v>21</v>
      </c>
      <c r="I28" t="s">
        <v>22</v>
      </c>
      <c r="J28" t="s">
        <v>148</v>
      </c>
      <c r="K28" t="s">
        <v>23</v>
      </c>
      <c r="L28">
        <v>400</v>
      </c>
      <c r="M28" s="4">
        <v>8.8020455999999996</v>
      </c>
      <c r="N28" s="4">
        <v>231.7060108500074</v>
      </c>
      <c r="O28" s="4">
        <v>1.6013963503973151E-2</v>
      </c>
      <c r="P28" s="1" t="str">
        <f>HYPERLINK(".\sm_car_260612_0028\sm_car_260612_0028_027_Ca096TrN_MaWOT_DrSt_ode23t.png","figure")</f>
        <v>figure</v>
      </c>
      <c r="Q28" t="s">
        <v>15</v>
      </c>
      <c r="R28" t="b">
        <f>B28='2024b_260221_0030'!B28</f>
        <v>1</v>
      </c>
      <c r="T28">
        <f>(L28-'2024b_260221_0030'!L28)</f>
        <v>0</v>
      </c>
      <c r="U28" s="12">
        <f>(L28-'2024b_260221_0030'!L28)/'2024b_260221_0030'!L28</f>
        <v>0</v>
      </c>
      <c r="V28" s="4">
        <f>(M28-'2024b_260221_0030'!M28)</f>
        <v>2.6107870999999996</v>
      </c>
      <c r="W28" s="12">
        <f>(M28-'2024b_260221_0030'!M28)/'2024b_260221_0030'!M28</f>
        <v>0.42168924137152397</v>
      </c>
    </row>
    <row r="29" spans="1:23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188</v>
      </c>
      <c r="H29" t="s">
        <v>21</v>
      </c>
      <c r="I29" t="s">
        <v>24</v>
      </c>
      <c r="J29" t="s">
        <v>148</v>
      </c>
      <c r="K29" t="s">
        <v>23</v>
      </c>
      <c r="L29">
        <v>516</v>
      </c>
      <c r="M29" s="4">
        <v>11.1049375</v>
      </c>
      <c r="N29" s="4">
        <v>71.376201274642568</v>
      </c>
      <c r="O29" s="4">
        <v>-0.52101015842835785</v>
      </c>
      <c r="P29" s="1" t="str">
        <f>HYPERLINK(".\sm_car_260612_0028\sm_car_260612_0028_028_Ca096TrN_MaLSS_DrSt_ode23t.png","figure")</f>
        <v>figure</v>
      </c>
      <c r="Q29" t="s">
        <v>15</v>
      </c>
      <c r="R29" t="b">
        <f>B29='2024b_260221_0030'!B29</f>
        <v>1</v>
      </c>
      <c r="T29">
        <f>(L29-'2024b_260221_0030'!L29)</f>
        <v>0</v>
      </c>
      <c r="U29" s="12">
        <f>(L29-'2024b_260221_0030'!L29)/'2024b_260221_0030'!L29</f>
        <v>0</v>
      </c>
      <c r="V29" s="4">
        <f>(M29-'2024b_260221_0030'!M29)</f>
        <v>4.4995200000000004</v>
      </c>
      <c r="W29" s="12">
        <f>(M29-'2024b_260221_0030'!M29)/'2024b_260221_0030'!M29</f>
        <v>0.68118631411262054</v>
      </c>
    </row>
    <row r="30" spans="1:23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188</v>
      </c>
      <c r="H30" t="s">
        <v>21</v>
      </c>
      <c r="I30" t="s">
        <v>22</v>
      </c>
      <c r="J30" t="s">
        <v>148</v>
      </c>
      <c r="K30" t="s">
        <v>23</v>
      </c>
      <c r="L30">
        <v>343</v>
      </c>
      <c r="M30" s="4">
        <v>5.6910673000000003</v>
      </c>
      <c r="N30" s="4">
        <v>242.43362774734626</v>
      </c>
      <c r="O30" s="4">
        <v>0.23525250866934741</v>
      </c>
      <c r="P30" s="1" t="str">
        <f>HYPERLINK(".\sm_car_260612_0028\sm_car_260612_0028_029_Ca112TrN_MaWOT_DrSt_ode23t.png","figure")</f>
        <v>figure</v>
      </c>
      <c r="Q30" t="s">
        <v>15</v>
      </c>
      <c r="R30" t="b">
        <f>B30='2024b_260221_0030'!B30</f>
        <v>1</v>
      </c>
      <c r="T30">
        <f>(L30-'2024b_260221_0030'!L30)</f>
        <v>0</v>
      </c>
      <c r="U30" s="12">
        <f>(L30-'2024b_260221_0030'!L30)/'2024b_260221_0030'!L30</f>
        <v>0</v>
      </c>
      <c r="V30" s="4">
        <f>(M30-'2024b_260221_0030'!M30)</f>
        <v>3.0111068000000003</v>
      </c>
      <c r="W30" s="12">
        <f>(M30-'2024b_260221_0030'!M30)/'2024b_260221_0030'!M30</f>
        <v>1.1235638734227613</v>
      </c>
    </row>
    <row r="31" spans="1:23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188</v>
      </c>
      <c r="H31" t="s">
        <v>21</v>
      </c>
      <c r="I31" t="s">
        <v>24</v>
      </c>
      <c r="J31" t="s">
        <v>148</v>
      </c>
      <c r="K31" t="s">
        <v>23</v>
      </c>
      <c r="L31">
        <v>458</v>
      </c>
      <c r="M31" s="4">
        <v>4.1852223000000004</v>
      </c>
      <c r="N31" s="4">
        <v>74.660640114503309</v>
      </c>
      <c r="O31" s="4">
        <v>-0.33895610552822808</v>
      </c>
      <c r="P31" s="1" t="str">
        <f>HYPERLINK(".\sm_car_260612_0028\sm_car_260612_0028_030_Ca112TrN_MaLSS_DrSt_ode23t.png","figure")</f>
        <v>figure</v>
      </c>
      <c r="Q31" t="s">
        <v>15</v>
      </c>
      <c r="R31" t="b">
        <f>B31='2024b_260221_0030'!B31</f>
        <v>1</v>
      </c>
      <c r="T31">
        <f>(L31-'2024b_260221_0030'!L31)</f>
        <v>0</v>
      </c>
      <c r="U31" s="12">
        <f>(L31-'2024b_260221_0030'!L31)/'2024b_260221_0030'!L31</f>
        <v>0</v>
      </c>
      <c r="V31" s="4">
        <f>(M31-'2024b_260221_0030'!M31)</f>
        <v>1.5917723000000006</v>
      </c>
      <c r="W31" s="12">
        <f>(M31-'2024b_260221_0030'!M31)/'2024b_260221_0030'!M31</f>
        <v>0.61376633441940298</v>
      </c>
    </row>
    <row r="32" spans="1:23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188</v>
      </c>
      <c r="H32" t="s">
        <v>21</v>
      </c>
      <c r="I32" t="s">
        <v>22</v>
      </c>
      <c r="J32" t="s">
        <v>148</v>
      </c>
      <c r="K32" t="s">
        <v>23</v>
      </c>
      <c r="L32">
        <v>342</v>
      </c>
      <c r="M32" s="4">
        <v>4.6017501999999997</v>
      </c>
      <c r="N32" s="4">
        <v>241.4112502826427</v>
      </c>
      <c r="O32" s="4">
        <v>0.23518492432433594</v>
      </c>
      <c r="P32" s="1" t="str">
        <f>HYPERLINK(".\sm_car_260612_0028\sm_car_260612_0028_031_Ca113TrN_MaWOT_DrSt_ode23t.png","figure")</f>
        <v>figure</v>
      </c>
      <c r="Q32" t="s">
        <v>15</v>
      </c>
      <c r="R32" t="b">
        <f>B32='2024b_260221_0030'!B32</f>
        <v>1</v>
      </c>
      <c r="T32">
        <f>(L32-'2024b_260221_0030'!L32)</f>
        <v>2</v>
      </c>
      <c r="U32" s="12">
        <f>(L32-'2024b_260221_0030'!L32)/'2024b_260221_0030'!L32</f>
        <v>5.8823529411764705E-3</v>
      </c>
      <c r="V32" s="4">
        <f>(M32-'2024b_260221_0030'!M32)</f>
        <v>1.6097532999999995</v>
      </c>
      <c r="W32" s="12">
        <f>(M32-'2024b_260221_0030'!M32)/'2024b_260221_0030'!M32</f>
        <v>0.53801970850972447</v>
      </c>
    </row>
    <row r="33" spans="1:23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188</v>
      </c>
      <c r="H33" t="s">
        <v>21</v>
      </c>
      <c r="I33" t="s">
        <v>24</v>
      </c>
      <c r="J33" t="s">
        <v>148</v>
      </c>
      <c r="K33" t="s">
        <v>23</v>
      </c>
      <c r="L33">
        <v>446</v>
      </c>
      <c r="M33" s="4">
        <v>4.6564711000000001</v>
      </c>
      <c r="N33" s="4">
        <v>74.344505254326279</v>
      </c>
      <c r="O33" s="4">
        <v>-0.32910447832968864</v>
      </c>
      <c r="P33" s="1" t="str">
        <f>HYPERLINK(".\sm_car_260612_0028\sm_car_260612_0028_032_Ca113TrN_MaLSS_DrSt_ode23t.png","figure")</f>
        <v>figure</v>
      </c>
      <c r="Q33" t="s">
        <v>15</v>
      </c>
      <c r="R33" t="b">
        <f>B33='2024b_260221_0030'!B33</f>
        <v>1</v>
      </c>
      <c r="T33">
        <f>(L33-'2024b_260221_0030'!L33)</f>
        <v>-6</v>
      </c>
      <c r="U33" s="12">
        <f>(L33-'2024b_260221_0030'!L33)/'2024b_260221_0030'!L33</f>
        <v>-1.3274336283185841E-2</v>
      </c>
      <c r="V33" s="4">
        <f>(M33-'2024b_260221_0030'!M33)</f>
        <v>1.6130903999999999</v>
      </c>
      <c r="W33" s="12">
        <f>(M33-'2024b_260221_0030'!M33)/'2024b_260221_0030'!M33</f>
        <v>0.53003240771028082</v>
      </c>
    </row>
    <row r="34" spans="1:23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188</v>
      </c>
      <c r="H34" t="s">
        <v>21</v>
      </c>
      <c r="I34" t="s">
        <v>22</v>
      </c>
      <c r="J34" t="s">
        <v>148</v>
      </c>
      <c r="K34" t="s">
        <v>23</v>
      </c>
      <c r="L34">
        <v>352</v>
      </c>
      <c r="M34" s="4">
        <v>5.2261799</v>
      </c>
      <c r="N34" s="4">
        <v>241.62615619164637</v>
      </c>
      <c r="O34" s="4">
        <v>0.23173337864842869</v>
      </c>
      <c r="P34" s="1" t="str">
        <f>HYPERLINK(".\sm_car_260612_0028\sm_car_260612_0028_033_Ca114TrN_MaWOT_DrSt_ode23t.png","figure")</f>
        <v>figure</v>
      </c>
      <c r="Q34" t="s">
        <v>15</v>
      </c>
      <c r="R34" t="b">
        <f>B34='2024b_260221_0030'!B34</f>
        <v>1</v>
      </c>
      <c r="T34">
        <f>(L34-'2024b_260221_0030'!L34)</f>
        <v>13</v>
      </c>
      <c r="U34" s="12">
        <f>(L34-'2024b_260221_0030'!L34)/'2024b_260221_0030'!L34</f>
        <v>3.8348082595870206E-2</v>
      </c>
      <c r="V34" s="4">
        <f>(M34-'2024b_260221_0030'!M34)</f>
        <v>1.9848534</v>
      </c>
      <c r="W34" s="12">
        <f>(M34-'2024b_260221_0030'!M34)/'2024b_260221_0030'!M34</f>
        <v>0.61235836624295636</v>
      </c>
    </row>
    <row r="35" spans="1:23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188</v>
      </c>
      <c r="H35" t="s">
        <v>21</v>
      </c>
      <c r="I35" t="s">
        <v>24</v>
      </c>
      <c r="J35" t="s">
        <v>148</v>
      </c>
      <c r="K35" t="s">
        <v>23</v>
      </c>
      <c r="L35">
        <v>458</v>
      </c>
      <c r="M35" s="4">
        <v>5.3846721999999998</v>
      </c>
      <c r="N35" s="4">
        <v>74.374466958566515</v>
      </c>
      <c r="O35" s="4">
        <v>-0.33443599799225238</v>
      </c>
      <c r="P35" s="1" t="str">
        <f>HYPERLINK(".\sm_car_260612_0028\sm_car_260612_0028_034_Ca114TrN_MaLSS_DrSt_ode23t.png","figure")</f>
        <v>figure</v>
      </c>
      <c r="Q35" t="s">
        <v>15</v>
      </c>
      <c r="R35" t="b">
        <f>B35='2024b_260221_0030'!B35</f>
        <v>1</v>
      </c>
      <c r="T35">
        <f>(L35-'2024b_260221_0030'!L35)</f>
        <v>-3</v>
      </c>
      <c r="U35" s="12">
        <f>(L35-'2024b_260221_0030'!L35)/'2024b_260221_0030'!L35</f>
        <v>-6.5075921908893707E-3</v>
      </c>
      <c r="V35" s="4">
        <f>(M35-'2024b_260221_0030'!M35)</f>
        <v>1.9171286999999997</v>
      </c>
      <c r="W35" s="12">
        <f>(M35-'2024b_260221_0030'!M35)/'2024b_260221_0030'!M35</f>
        <v>0.55287805329623108</v>
      </c>
    </row>
    <row r="36" spans="1:23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188</v>
      </c>
      <c r="H36" t="s">
        <v>21</v>
      </c>
      <c r="I36" t="s">
        <v>22</v>
      </c>
      <c r="J36" t="s">
        <v>148</v>
      </c>
      <c r="K36" t="s">
        <v>23</v>
      </c>
      <c r="L36">
        <v>402</v>
      </c>
      <c r="M36" s="4">
        <v>5.2921322000000002</v>
      </c>
      <c r="N36" s="4">
        <v>241.04193786350561</v>
      </c>
      <c r="O36" s="4">
        <v>0.23064205030757484</v>
      </c>
      <c r="P36" s="1" t="str">
        <f>HYPERLINK(".\sm_car_260612_0028\sm_car_260612_0028_035_Ca115TrN_MaWOT_DrSt_ode23t.png","figure")</f>
        <v>figure</v>
      </c>
      <c r="Q36" t="s">
        <v>15</v>
      </c>
      <c r="R36" t="b">
        <f>B36='2024b_260221_0030'!B36</f>
        <v>1</v>
      </c>
      <c r="T36">
        <f>(L36-'2024b_260221_0030'!L36)</f>
        <v>19</v>
      </c>
      <c r="U36" s="12">
        <f>(L36-'2024b_260221_0030'!L36)/'2024b_260221_0030'!L36</f>
        <v>4.960835509138381E-2</v>
      </c>
      <c r="V36" s="4">
        <f>(M36-'2024b_260221_0030'!M36)</f>
        <v>1.5175671000000004</v>
      </c>
      <c r="W36" s="12">
        <f>(M36-'2024b_260221_0030'!M36)/'2024b_260221_0030'!M36</f>
        <v>0.40205084818910675</v>
      </c>
    </row>
    <row r="37" spans="1:23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188</v>
      </c>
      <c r="H37" t="s">
        <v>21</v>
      </c>
      <c r="I37" t="s">
        <v>24</v>
      </c>
      <c r="J37" t="s">
        <v>148</v>
      </c>
      <c r="K37" t="s">
        <v>23</v>
      </c>
      <c r="L37">
        <v>498</v>
      </c>
      <c r="M37" s="4">
        <v>6.5846340999999997</v>
      </c>
      <c r="N37" s="4">
        <v>74.200445865262608</v>
      </c>
      <c r="O37" s="4">
        <v>-0.32947868105132755</v>
      </c>
      <c r="P37" s="1" t="str">
        <f>HYPERLINK(".\sm_car_260612_0028\sm_car_260612_0028_036_Ca115TrN_MaLSS_DrSt_ode23t.png","figure")</f>
        <v>figure</v>
      </c>
      <c r="Q37" t="s">
        <v>15</v>
      </c>
      <c r="R37" t="b">
        <f>B37='2024b_260221_0030'!B37</f>
        <v>1</v>
      </c>
      <c r="T37">
        <f>(L37-'2024b_260221_0030'!L37)</f>
        <v>-14</v>
      </c>
      <c r="U37" s="12">
        <f>(L37-'2024b_260221_0030'!L37)/'2024b_260221_0030'!L37</f>
        <v>-2.734375E-2</v>
      </c>
      <c r="V37" s="4">
        <f>(M37-'2024b_260221_0030'!M37)</f>
        <v>2.9648830999999998</v>
      </c>
      <c r="W37" s="12">
        <f>(M37-'2024b_260221_0030'!M37)/'2024b_260221_0030'!M37</f>
        <v>0.81908482102774471</v>
      </c>
    </row>
    <row r="38" spans="1:23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188</v>
      </c>
      <c r="H38" t="s">
        <v>21</v>
      </c>
      <c r="I38" t="s">
        <v>22</v>
      </c>
      <c r="J38" t="s">
        <v>148</v>
      </c>
      <c r="K38" t="s">
        <v>23</v>
      </c>
      <c r="L38">
        <v>871</v>
      </c>
      <c r="M38" s="4">
        <v>7.0905867999999996</v>
      </c>
      <c r="N38" s="4">
        <v>242.63359811761086</v>
      </c>
      <c r="O38" s="4">
        <v>0.23812089056063013</v>
      </c>
      <c r="P38" s="1" t="str">
        <f>HYPERLINK(".\sm_car_260612_0028\sm_car_260612_0028_037_Ca116TrN_MaWOT_DrSt_ode23t.png","figure")</f>
        <v>figure</v>
      </c>
      <c r="Q38" t="s">
        <v>15</v>
      </c>
      <c r="R38" t="b">
        <f>B38='2024b_260221_0030'!B38</f>
        <v>1</v>
      </c>
      <c r="T38">
        <f>(L38-'2024b_260221_0030'!L38)</f>
        <v>0</v>
      </c>
      <c r="U38" s="12">
        <f>(L38-'2024b_260221_0030'!L38)/'2024b_260221_0030'!L38</f>
        <v>0</v>
      </c>
      <c r="V38" s="4">
        <f>(M38-'2024b_260221_0030'!M38)</f>
        <v>2.6960989999999994</v>
      </c>
      <c r="W38" s="12">
        <f>(M38-'2024b_260221_0030'!M38)/'2024b_260221_0030'!M38</f>
        <v>0.61351837181115831</v>
      </c>
    </row>
    <row r="39" spans="1:23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188</v>
      </c>
      <c r="H39" t="s">
        <v>21</v>
      </c>
      <c r="I39" t="s">
        <v>24</v>
      </c>
      <c r="J39" t="s">
        <v>148</v>
      </c>
      <c r="K39" t="s">
        <v>23</v>
      </c>
      <c r="L39">
        <v>998</v>
      </c>
      <c r="M39" s="4">
        <v>7.9000621000000004</v>
      </c>
      <c r="N39" s="4">
        <v>74.662888271720306</v>
      </c>
      <c r="O39" s="4">
        <v>-0.34121923194264048</v>
      </c>
      <c r="P39" s="1" t="str">
        <f>HYPERLINK(".\sm_car_260612_0028\sm_car_260612_0028_038_Ca116TrN_MaLSS_DrSt_ode23t.png","figure")</f>
        <v>figure</v>
      </c>
      <c r="Q39" t="s">
        <v>15</v>
      </c>
      <c r="R39" t="b">
        <f>B39='2024b_260221_0030'!B39</f>
        <v>1</v>
      </c>
      <c r="T39">
        <f>(L39-'2024b_260221_0030'!L39)</f>
        <v>0</v>
      </c>
      <c r="U39" s="12">
        <f>(L39-'2024b_260221_0030'!L39)/'2024b_260221_0030'!L39</f>
        <v>0</v>
      </c>
      <c r="V39" s="4">
        <f>(M39-'2024b_260221_0030'!M39)</f>
        <v>3.0744006000000006</v>
      </c>
      <c r="W39" s="12">
        <f>(M39-'2024b_260221_0030'!M39)/'2024b_260221_0030'!M39</f>
        <v>0.63709412688809619</v>
      </c>
    </row>
    <row r="40" spans="1:23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188</v>
      </c>
      <c r="H40" t="s">
        <v>21</v>
      </c>
      <c r="I40" t="s">
        <v>22</v>
      </c>
      <c r="J40" t="s">
        <v>148</v>
      </c>
      <c r="K40" t="s">
        <v>23</v>
      </c>
      <c r="L40">
        <v>926</v>
      </c>
      <c r="M40" s="4">
        <v>7.7247718000000001</v>
      </c>
      <c r="N40" s="4">
        <v>241.59072267001071</v>
      </c>
      <c r="O40" s="4">
        <v>0.23361823233539616</v>
      </c>
      <c r="P40" s="1" t="str">
        <f>HYPERLINK(".\sm_car_260612_0028\sm_car_260612_0028_039_Ca117TrN_MaWOT_DrSt_ode23t.png","figure")</f>
        <v>figure</v>
      </c>
      <c r="Q40" t="s">
        <v>15</v>
      </c>
      <c r="R40" t="b">
        <f>B40='2024b_260221_0030'!B40</f>
        <v>1</v>
      </c>
      <c r="T40">
        <f>(L40-'2024b_260221_0030'!L40)</f>
        <v>-12</v>
      </c>
      <c r="U40" s="12">
        <f>(L40-'2024b_260221_0030'!L40)/'2024b_260221_0030'!L40</f>
        <v>-1.279317697228145E-2</v>
      </c>
      <c r="V40" s="4">
        <f>(M40-'2024b_260221_0030'!M40)</f>
        <v>2.4422246999999997</v>
      </c>
      <c r="W40" s="12">
        <f>(M40-'2024b_260221_0030'!M40)/'2024b_260221_0030'!M40</f>
        <v>0.46231953142452803</v>
      </c>
    </row>
    <row r="41" spans="1:23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188</v>
      </c>
      <c r="H41" t="s">
        <v>21</v>
      </c>
      <c r="I41" t="s">
        <v>24</v>
      </c>
      <c r="J41" t="s">
        <v>148</v>
      </c>
      <c r="K41" t="s">
        <v>23</v>
      </c>
      <c r="L41">
        <v>1050</v>
      </c>
      <c r="M41" s="4">
        <v>9.2958700000000007</v>
      </c>
      <c r="N41" s="4">
        <v>74.345637824625499</v>
      </c>
      <c r="O41" s="4">
        <v>-0.33542824384829883</v>
      </c>
      <c r="P41" s="1" t="str">
        <f>HYPERLINK(".\sm_car_260612_0028\sm_car_260612_0028_040_Ca117TrN_MaLSS_DrSt_ode23t.png","figure")</f>
        <v>figure</v>
      </c>
      <c r="Q41" t="s">
        <v>15</v>
      </c>
      <c r="R41" t="b">
        <f>B41='2024b_260221_0030'!B41</f>
        <v>1</v>
      </c>
      <c r="T41">
        <f>(L41-'2024b_260221_0030'!L41)</f>
        <v>-2</v>
      </c>
      <c r="U41" s="12">
        <f>(L41-'2024b_260221_0030'!L41)/'2024b_260221_0030'!L41</f>
        <v>-1.9011406844106464E-3</v>
      </c>
      <c r="V41" s="4">
        <f>(M41-'2024b_260221_0030'!M41)</f>
        <v>3.447162500000001</v>
      </c>
      <c r="W41" s="12">
        <f>(M41-'2024b_260221_0030'!M41)/'2024b_260221_0030'!M41</f>
        <v>0.58938876666340401</v>
      </c>
    </row>
    <row r="42" spans="1:23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188</v>
      </c>
      <c r="H42" t="s">
        <v>21</v>
      </c>
      <c r="I42" t="s">
        <v>22</v>
      </c>
      <c r="J42" t="s">
        <v>148</v>
      </c>
      <c r="K42" t="s">
        <v>23</v>
      </c>
      <c r="L42">
        <v>932</v>
      </c>
      <c r="M42" s="4">
        <v>9.2994602000000004</v>
      </c>
      <c r="N42" s="4">
        <v>241.45105398064587</v>
      </c>
      <c r="O42" s="4">
        <v>0.23248581386015205</v>
      </c>
      <c r="P42" s="1" t="str">
        <f>HYPERLINK(".\sm_car_260612_0028\sm_car_260612_0028_041_Ca118TrN_MaWOT_DrSt_ode23t.png","figure")</f>
        <v>figure</v>
      </c>
      <c r="Q42" t="s">
        <v>15</v>
      </c>
      <c r="R42" t="b">
        <f>B42='2024b_260221_0030'!B42</f>
        <v>1</v>
      </c>
      <c r="T42">
        <f>(L42-'2024b_260221_0030'!L42)</f>
        <v>3</v>
      </c>
      <c r="U42" s="12">
        <f>(L42-'2024b_260221_0030'!L42)/'2024b_260221_0030'!L42</f>
        <v>3.2292787944025836E-3</v>
      </c>
      <c r="V42" s="4">
        <f>(M42-'2024b_260221_0030'!M42)</f>
        <v>2.7051449000000005</v>
      </c>
      <c r="W42" s="12">
        <f>(M42-'2024b_260221_0030'!M42)/'2024b_260221_0030'!M42</f>
        <v>0.41022377258788345</v>
      </c>
    </row>
    <row r="43" spans="1:23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188</v>
      </c>
      <c r="H43" t="s">
        <v>21</v>
      </c>
      <c r="I43" t="s">
        <v>24</v>
      </c>
      <c r="J43" t="s">
        <v>148</v>
      </c>
      <c r="K43" t="s">
        <v>23</v>
      </c>
      <c r="L43">
        <v>1053</v>
      </c>
      <c r="M43" s="4">
        <v>10.945684099999999</v>
      </c>
      <c r="N43" s="4">
        <v>74.335771050969328</v>
      </c>
      <c r="O43" s="4">
        <v>-0.33714744572647681</v>
      </c>
      <c r="P43" s="1" t="str">
        <f>HYPERLINK(".\sm_car_260612_0028\sm_car_260612_0028_042_Ca118TrN_MaLSS_DrSt_ode23t.png","figure")</f>
        <v>figure</v>
      </c>
      <c r="Q43" t="s">
        <v>15</v>
      </c>
      <c r="R43" t="b">
        <f>B43='2024b_260221_0030'!B43</f>
        <v>1</v>
      </c>
      <c r="T43">
        <f>(L43-'2024b_260221_0030'!L43)</f>
        <v>5</v>
      </c>
      <c r="U43" s="12">
        <f>(L43-'2024b_260221_0030'!L43)/'2024b_260221_0030'!L43</f>
        <v>4.7709923664122139E-3</v>
      </c>
      <c r="V43" s="4">
        <f>(M43-'2024b_260221_0030'!M43)</f>
        <v>4.2558357999999989</v>
      </c>
      <c r="W43" s="12">
        <f>(M43-'2024b_260221_0030'!M43)/'2024b_260221_0030'!M43</f>
        <v>0.63616327443478782</v>
      </c>
    </row>
    <row r="44" spans="1:23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188</v>
      </c>
      <c r="H44" t="s">
        <v>21</v>
      </c>
      <c r="I44" t="s">
        <v>22</v>
      </c>
      <c r="J44" t="s">
        <v>148</v>
      </c>
      <c r="K44" t="s">
        <v>23</v>
      </c>
      <c r="L44">
        <v>969</v>
      </c>
      <c r="M44" s="4">
        <v>8.5757359999999991</v>
      </c>
      <c r="N44" s="4">
        <v>240.95712317887012</v>
      </c>
      <c r="O44" s="4">
        <v>0.23134361136573711</v>
      </c>
      <c r="P44" s="1" t="str">
        <f>HYPERLINK(".\sm_car_260612_0028\sm_car_260612_0028_043_Ca119TrN_MaWOT_DrSt_ode23t.png","figure")</f>
        <v>figure</v>
      </c>
      <c r="Q44" t="s">
        <v>15</v>
      </c>
      <c r="R44" t="b">
        <f>B44='2024b_260221_0030'!B44</f>
        <v>1</v>
      </c>
      <c r="T44">
        <f>(L44-'2024b_260221_0030'!L44)</f>
        <v>-56</v>
      </c>
      <c r="U44" s="12">
        <f>(L44-'2024b_260221_0030'!L44)/'2024b_260221_0030'!L44</f>
        <v>-5.4634146341463415E-2</v>
      </c>
      <c r="V44" s="4">
        <f>(M44-'2024b_260221_0030'!M44)</f>
        <v>2.7617865999999989</v>
      </c>
      <c r="W44" s="12">
        <f>(M44-'2024b_260221_0030'!M44)/'2024b_260221_0030'!M44</f>
        <v>0.47502762923942865</v>
      </c>
    </row>
    <row r="45" spans="1:23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188</v>
      </c>
      <c r="H45" t="s">
        <v>21</v>
      </c>
      <c r="I45" t="s">
        <v>24</v>
      </c>
      <c r="J45" t="s">
        <v>148</v>
      </c>
      <c r="K45" t="s">
        <v>23</v>
      </c>
      <c r="L45">
        <v>1089</v>
      </c>
      <c r="M45" s="4">
        <v>9.7510501999999999</v>
      </c>
      <c r="N45" s="4">
        <v>74.191662190212213</v>
      </c>
      <c r="O45" s="4">
        <v>-0.334643261199429</v>
      </c>
      <c r="P45" s="1" t="str">
        <f>HYPERLINK(".\sm_car_260612_0028\sm_car_260612_0028_044_Ca119TrN_MaLSS_DrSt_ode23t.png","figure")</f>
        <v>figure</v>
      </c>
      <c r="Q45" t="s">
        <v>15</v>
      </c>
      <c r="R45" t="b">
        <f>B45='2024b_260221_0030'!B45</f>
        <v>1</v>
      </c>
      <c r="T45">
        <f>(L45-'2024b_260221_0030'!L45)</f>
        <v>-59</v>
      </c>
      <c r="U45" s="12">
        <f>(L45-'2024b_260221_0030'!L45)/'2024b_260221_0030'!L45</f>
        <v>-5.1393728222996517E-2</v>
      </c>
      <c r="V45" s="4">
        <f>(M45-'2024b_260221_0030'!M45)</f>
        <v>3.0582763000000002</v>
      </c>
      <c r="W45" s="12">
        <f>(M45-'2024b_260221_0030'!M45)/'2024b_260221_0030'!M45</f>
        <v>0.45695198219679889</v>
      </c>
    </row>
    <row r="46" spans="1:23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148</v>
      </c>
      <c r="K46" t="s">
        <v>23</v>
      </c>
      <c r="L46">
        <v>305</v>
      </c>
      <c r="M46" s="4">
        <v>8.0839429999999997</v>
      </c>
      <c r="N46" s="4">
        <v>98.905132615580698</v>
      </c>
      <c r="O46" s="4">
        <v>-1.8389809806720947E-2</v>
      </c>
      <c r="P46" s="1" t="str">
        <f>HYPERLINK(".\sm_car_260612_0028\sm_car_260612_0028_045_Ca128TrN_MaWOT_DrSt_ode23t.png","figure")</f>
        <v>figure</v>
      </c>
      <c r="Q46" t="s">
        <v>15</v>
      </c>
      <c r="R46" t="b">
        <f>B46='2024b_260221_0030'!B46</f>
        <v>1</v>
      </c>
      <c r="T46">
        <f>(L46-'2024b_260221_0030'!L46)</f>
        <v>-13</v>
      </c>
      <c r="U46" s="12">
        <f>(L46-'2024b_260221_0030'!L46)/'2024b_260221_0030'!L46</f>
        <v>-4.0880503144654086E-2</v>
      </c>
      <c r="V46" s="4">
        <f>(M46-'2024b_260221_0030'!M46)</f>
        <v>2.4231713999999993</v>
      </c>
      <c r="W46" s="12">
        <f>(M46-'2024b_260221_0030'!M46)/'2024b_260221_0030'!M46</f>
        <v>0.42806379964173069</v>
      </c>
    </row>
    <row r="47" spans="1:23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148</v>
      </c>
      <c r="K47" t="s">
        <v>23</v>
      </c>
      <c r="L47">
        <v>445</v>
      </c>
      <c r="M47" s="4">
        <v>10.0045264</v>
      </c>
      <c r="N47" s="4">
        <v>36.70631630629979</v>
      </c>
      <c r="O47" s="4">
        <v>-0.12873562717565487</v>
      </c>
      <c r="P47" s="1" t="str">
        <f>HYPERLINK(".\sm_car_260612_0028\sm_car_260612_0028_046_Ca128TrN_MaLSS_DrSt_ode23t.png","figure")</f>
        <v>figure</v>
      </c>
      <c r="Q47" t="s">
        <v>15</v>
      </c>
      <c r="R47" t="b">
        <f>B47='2024b_260221_0030'!B47</f>
        <v>1</v>
      </c>
      <c r="T47">
        <f>(L47-'2024b_260221_0030'!L47)</f>
        <v>1</v>
      </c>
      <c r="U47" s="12">
        <f>(L47-'2024b_260221_0030'!L47)/'2024b_260221_0030'!L47</f>
        <v>2.2522522522522522E-3</v>
      </c>
      <c r="V47" s="4">
        <f>(M47-'2024b_260221_0030'!M47)</f>
        <v>2.6013126</v>
      </c>
      <c r="W47" s="12">
        <f>(M47-'2024b_260221_0030'!M47)/'2024b_260221_0030'!M47</f>
        <v>0.35137612802699281</v>
      </c>
    </row>
    <row r="48" spans="1:23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148</v>
      </c>
      <c r="K48" t="s">
        <v>23</v>
      </c>
      <c r="L48">
        <v>341</v>
      </c>
      <c r="M48" s="4">
        <v>9.0575057999999995</v>
      </c>
      <c r="N48" s="4">
        <v>228.56641102228687</v>
      </c>
      <c r="O48" s="4">
        <v>5.5221163825813387E-2</v>
      </c>
      <c r="P48" s="1" t="str">
        <f>HYPERLINK(".\sm_car_260612_0028\sm_car_260612_0028_047_Ca129TrN_MaWOT_DrSt_ode23t.png","figure")</f>
        <v>figure</v>
      </c>
      <c r="Q48" t="s">
        <v>15</v>
      </c>
      <c r="R48" t="b">
        <f>B48='2024b_260221_0030'!B48</f>
        <v>1</v>
      </c>
      <c r="T48">
        <f>(L48-'2024b_260221_0030'!L48)</f>
        <v>5</v>
      </c>
      <c r="U48" s="12">
        <f>(L48-'2024b_260221_0030'!L48)/'2024b_260221_0030'!L48</f>
        <v>1.488095238095238E-2</v>
      </c>
      <c r="V48" s="4">
        <f>(M48-'2024b_260221_0030'!M48)</f>
        <v>2.6291136999999996</v>
      </c>
      <c r="W48" s="12">
        <f>(M48-'2024b_260221_0030'!M48)/'2024b_260221_0030'!M48</f>
        <v>0.40898465107627763</v>
      </c>
    </row>
    <row r="49" spans="1:23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148</v>
      </c>
      <c r="K49" t="s">
        <v>23</v>
      </c>
      <c r="L49">
        <v>467</v>
      </c>
      <c r="M49" s="4">
        <v>11.549787800000001</v>
      </c>
      <c r="N49" s="4">
        <v>70.412063747960119</v>
      </c>
      <c r="O49" s="4">
        <v>-0.51617638149721601</v>
      </c>
      <c r="P49" s="1" t="str">
        <f>HYPERLINK(".\sm_car_260612_0028\sm_car_260612_0028_048_Ca129TrN_MaLSS_DrSt_ode23t.png","figure")</f>
        <v>figure</v>
      </c>
      <c r="Q49" t="s">
        <v>15</v>
      </c>
      <c r="R49" t="b">
        <f>B49='2024b_260221_0030'!B49</f>
        <v>1</v>
      </c>
      <c r="T49">
        <f>(L49-'2024b_260221_0030'!L49)</f>
        <v>-1</v>
      </c>
      <c r="U49" s="12">
        <f>(L49-'2024b_260221_0030'!L49)/'2024b_260221_0030'!L49</f>
        <v>-2.136752136752137E-3</v>
      </c>
      <c r="V49" s="4">
        <f>(M49-'2024b_260221_0030'!M49)</f>
        <v>3.7095885000000006</v>
      </c>
      <c r="W49" s="12">
        <f>(M49-'2024b_260221_0030'!M49)/'2024b_260221_0030'!M49</f>
        <v>0.47314977056769469</v>
      </c>
    </row>
    <row r="50" spans="1:23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148</v>
      </c>
      <c r="K50" t="s">
        <v>23</v>
      </c>
      <c r="L50">
        <v>784</v>
      </c>
      <c r="M50" s="4">
        <v>34.252858799999998</v>
      </c>
      <c r="N50" s="4">
        <v>215.59735345246881</v>
      </c>
      <c r="O50" s="4">
        <v>-1.5811195402930518</v>
      </c>
      <c r="P50" s="1" t="str">
        <f>HYPERLINK(".\sm_car_260612_0028\sm_car_260612_0028_049_Ca130TrN_MaWOT_DrSt_ode23t.png","figure")</f>
        <v>figure</v>
      </c>
      <c r="Q50" t="s">
        <v>15</v>
      </c>
      <c r="R50" t="b">
        <f>B50='2024b_260221_0030'!B50</f>
        <v>1</v>
      </c>
      <c r="T50">
        <f>(L50-'2024b_260221_0030'!L50)</f>
        <v>0</v>
      </c>
      <c r="U50" s="12">
        <f>(L50-'2024b_260221_0030'!L50)/'2024b_260221_0030'!L50</f>
        <v>0</v>
      </c>
      <c r="V50" s="4">
        <f>(M50-'2024b_260221_0030'!M50)</f>
        <v>11.150995899999998</v>
      </c>
      <c r="W50" s="12">
        <f>(M50-'2024b_260221_0030'!M50)/'2024b_260221_0030'!M50</f>
        <v>0.48268816884027121</v>
      </c>
    </row>
    <row r="51" spans="1:23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148</v>
      </c>
      <c r="K51" t="s">
        <v>23</v>
      </c>
      <c r="L51">
        <v>783</v>
      </c>
      <c r="M51" s="4">
        <v>32.066164399999998</v>
      </c>
      <c r="N51" s="4">
        <v>68.38531206372528</v>
      </c>
      <c r="O51" s="4">
        <v>-0.54270858292140389</v>
      </c>
      <c r="P51" s="1" t="str">
        <f>HYPERLINK(".\sm_car_260612_0028\sm_car_260612_0028_050_Ca130TrN_MaLSS_DrSt_ode23t.png","figure")</f>
        <v>figure</v>
      </c>
      <c r="Q51" t="s">
        <v>15</v>
      </c>
      <c r="R51" t="b">
        <f>B51='2024b_260221_0030'!B51</f>
        <v>1</v>
      </c>
      <c r="T51">
        <f>(L51-'2024b_260221_0030'!L51)</f>
        <v>0</v>
      </c>
      <c r="U51" s="12">
        <f>(L51-'2024b_260221_0030'!L51)/'2024b_260221_0030'!L51</f>
        <v>0</v>
      </c>
      <c r="V51" s="4">
        <f>(M51-'2024b_260221_0030'!M51)</f>
        <v>12.091719999999999</v>
      </c>
      <c r="W51" s="12">
        <f>(M51-'2024b_260221_0030'!M51)/'2024b_260221_0030'!M51</f>
        <v>0.60535951628271567</v>
      </c>
    </row>
    <row r="52" spans="1:23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148</v>
      </c>
      <c r="K52" t="s">
        <v>23</v>
      </c>
      <c r="L52">
        <v>368</v>
      </c>
      <c r="M52" s="4">
        <v>6.2634574000000001</v>
      </c>
      <c r="N52" s="4">
        <v>229.16146815941212</v>
      </c>
      <c r="O52" s="4">
        <v>-4.5387536130300526E-2</v>
      </c>
      <c r="P52" s="1" t="str">
        <f>HYPERLINK(".\sm_car_260612_0028\sm_car_260612_0028_051_Ca131TrN_MaWOT_DrSt_ode23t.png","figure")</f>
        <v>figure</v>
      </c>
      <c r="Q52" t="s">
        <v>15</v>
      </c>
      <c r="R52" t="b">
        <f>B52='2024b_260221_0030'!B52</f>
        <v>1</v>
      </c>
      <c r="T52">
        <f>(L52-'2024b_260221_0030'!L52)</f>
        <v>6</v>
      </c>
      <c r="U52" s="12">
        <f>(L52-'2024b_260221_0030'!L52)/'2024b_260221_0030'!L52</f>
        <v>1.6574585635359115E-2</v>
      </c>
      <c r="V52" s="4">
        <f>(M52-'2024b_260221_0030'!M52)</f>
        <v>1.1513616000000004</v>
      </c>
      <c r="W52" s="12">
        <f>(M52-'2024b_260221_0030'!M52)/'2024b_260221_0030'!M52</f>
        <v>0.22522300931840919</v>
      </c>
    </row>
    <row r="53" spans="1:23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148</v>
      </c>
      <c r="K53" t="s">
        <v>23</v>
      </c>
      <c r="L53">
        <v>498</v>
      </c>
      <c r="M53" s="4">
        <v>8.3266963999999994</v>
      </c>
      <c r="N53" s="4">
        <v>70.601708358857096</v>
      </c>
      <c r="O53" s="4">
        <v>-0.53385274095705504</v>
      </c>
      <c r="P53" s="1" t="str">
        <f>HYPERLINK(".\sm_car_260612_0028\sm_car_260612_0028_052_Ca131TrN_MaLSS_DrSt_ode23t.png","figure")</f>
        <v>figure</v>
      </c>
      <c r="Q53" t="s">
        <v>15</v>
      </c>
      <c r="R53" t="b">
        <f>B53='2024b_260221_0030'!B53</f>
        <v>1</v>
      </c>
      <c r="T53">
        <f>(L53-'2024b_260221_0030'!L53)</f>
        <v>2</v>
      </c>
      <c r="U53" s="12">
        <f>(L53-'2024b_260221_0030'!L53)/'2024b_260221_0030'!L53</f>
        <v>4.0322580645161289E-3</v>
      </c>
      <c r="V53" s="4">
        <f>(M53-'2024b_260221_0030'!M53)</f>
        <v>2.948999699999999</v>
      </c>
      <c r="W53" s="12">
        <f>(M53-'2024b_260221_0030'!M53)/'2024b_260221_0030'!M53</f>
        <v>0.54837598037092694</v>
      </c>
    </row>
    <row r="54" spans="1:23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148</v>
      </c>
      <c r="K54" t="s">
        <v>23</v>
      </c>
      <c r="L54">
        <v>337</v>
      </c>
      <c r="M54" s="4">
        <v>6.0225321000000003</v>
      </c>
      <c r="N54" s="4">
        <v>229.09686635793605</v>
      </c>
      <c r="O54" s="4">
        <v>-1.4702397163786005E-2</v>
      </c>
      <c r="P54" s="1" t="str">
        <f>HYPERLINK(".\sm_car_260612_0028\sm_car_260612_0028_053_Ca132TrN_MaWOT_DrSt_ode23t.png","figure")</f>
        <v>figure</v>
      </c>
      <c r="Q54" t="s">
        <v>15</v>
      </c>
      <c r="R54" t="b">
        <f>B54='2024b_260221_0030'!B54</f>
        <v>1</v>
      </c>
      <c r="T54">
        <f>(L54-'2024b_260221_0030'!L54)</f>
        <v>-5</v>
      </c>
      <c r="U54" s="12">
        <f>(L54-'2024b_260221_0030'!L54)/'2024b_260221_0030'!L54</f>
        <v>-1.4619883040935672E-2</v>
      </c>
      <c r="V54" s="4">
        <f>(M54-'2024b_260221_0030'!M54)</f>
        <v>1.7670819</v>
      </c>
      <c r="W54" s="12">
        <f>(M54-'2024b_260221_0030'!M54)/'2024b_260221_0030'!M54</f>
        <v>0.4152514580008479</v>
      </c>
    </row>
    <row r="55" spans="1:23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148</v>
      </c>
      <c r="K55" t="s">
        <v>23</v>
      </c>
      <c r="L55">
        <v>483</v>
      </c>
      <c r="M55" s="4">
        <v>8.2338675000000006</v>
      </c>
      <c r="N55" s="4">
        <v>70.62096642419273</v>
      </c>
      <c r="O55" s="4">
        <v>-0.52948445615777728</v>
      </c>
      <c r="P55" s="1" t="str">
        <f>HYPERLINK(".\sm_car_260612_0028\sm_car_260612_0028_054_Ca132TrN_MaLSS_DrSt_ode23t.png","figure")</f>
        <v>figure</v>
      </c>
      <c r="Q55" t="s">
        <v>15</v>
      </c>
      <c r="R55" t="b">
        <f>B55='2024b_260221_0030'!B55</f>
        <v>1</v>
      </c>
      <c r="T55">
        <f>(L55-'2024b_260221_0030'!L55)</f>
        <v>-2</v>
      </c>
      <c r="U55" s="12">
        <f>(L55-'2024b_260221_0030'!L55)/'2024b_260221_0030'!L55</f>
        <v>-4.1237113402061857E-3</v>
      </c>
      <c r="V55" s="4">
        <f>(M55-'2024b_260221_0030'!M55)</f>
        <v>2.7086843000000007</v>
      </c>
      <c r="W55" s="12">
        <f>(M55-'2024b_260221_0030'!M55)/'2024b_260221_0030'!M55</f>
        <v>0.49024334613918336</v>
      </c>
    </row>
    <row r="56" spans="1:23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148</v>
      </c>
      <c r="K56" t="s">
        <v>23</v>
      </c>
      <c r="L56">
        <v>366</v>
      </c>
      <c r="M56" s="4">
        <v>6.2866814</v>
      </c>
      <c r="N56" s="4">
        <v>229.2063453690663</v>
      </c>
      <c r="O56" s="4">
        <v>-1.7042451584273539E-2</v>
      </c>
      <c r="P56" s="1" t="str">
        <f>HYPERLINK(".\sm_car_260612_0028\sm_car_260612_0028_055_Ca133TrN_MaWOT_DrSt_ode23t.png","figure")</f>
        <v>figure</v>
      </c>
      <c r="Q56" t="s">
        <v>15</v>
      </c>
      <c r="R56" t="b">
        <f>B56='2024b_260221_0030'!B56</f>
        <v>1</v>
      </c>
      <c r="T56">
        <f>(L56-'2024b_260221_0030'!L56)</f>
        <v>11</v>
      </c>
      <c r="U56" s="12">
        <f>(L56-'2024b_260221_0030'!L56)/'2024b_260221_0030'!L56</f>
        <v>3.0985915492957747E-2</v>
      </c>
      <c r="V56" s="4">
        <f>(M56-'2024b_260221_0030'!M56)</f>
        <v>1.7260002999999999</v>
      </c>
      <c r="W56" s="12">
        <f>(M56-'2024b_260221_0030'!M56)/'2024b_260221_0030'!M56</f>
        <v>0.37845231055510542</v>
      </c>
    </row>
    <row r="57" spans="1:23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148</v>
      </c>
      <c r="K57" t="s">
        <v>23</v>
      </c>
      <c r="L57">
        <v>491</v>
      </c>
      <c r="M57" s="4">
        <v>7.6097371000000003</v>
      </c>
      <c r="N57" s="4">
        <v>70.608870180681677</v>
      </c>
      <c r="O57" s="4">
        <v>-0.52123629521091008</v>
      </c>
      <c r="P57" s="1" t="str">
        <f>HYPERLINK(".\sm_car_260612_0028\sm_car_260612_0028_056_Ca133TrN_MaLSS_DrSt_ode23t.png","figure")</f>
        <v>figure</v>
      </c>
      <c r="Q57" t="s">
        <v>15</v>
      </c>
      <c r="R57" t="b">
        <f>B57='2024b_260221_0030'!B57</f>
        <v>1</v>
      </c>
      <c r="T57">
        <f>(L57-'2024b_260221_0030'!L57)</f>
        <v>-1</v>
      </c>
      <c r="U57" s="12">
        <f>(L57-'2024b_260221_0030'!L57)/'2024b_260221_0030'!L57</f>
        <v>-2.0325203252032522E-3</v>
      </c>
      <c r="V57" s="4">
        <f>(M57-'2024b_260221_0030'!M57)</f>
        <v>1.9023416000000006</v>
      </c>
      <c r="W57" s="12">
        <f>(M57-'2024b_260221_0030'!M57)/'2024b_260221_0030'!M57</f>
        <v>0.33331168306103909</v>
      </c>
    </row>
    <row r="58" spans="1:23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148</v>
      </c>
      <c r="K58" t="s">
        <v>23</v>
      </c>
      <c r="L58">
        <v>342</v>
      </c>
      <c r="M58" s="4">
        <v>6.4021654000000003</v>
      </c>
      <c r="N58" s="4">
        <v>229.00606461000052</v>
      </c>
      <c r="O58" s="4">
        <v>-1.5789566639685615E-2</v>
      </c>
      <c r="P58" s="1" t="str">
        <f>HYPERLINK(".\sm_car_260612_0028\sm_car_260612_0028_057_Ca134TrN_MaWOT_DrSt_ode23t.png","figure")</f>
        <v>figure</v>
      </c>
      <c r="Q58" t="s">
        <v>15</v>
      </c>
      <c r="R58" t="b">
        <f>B58='2024b_260221_0030'!B58</f>
        <v>1</v>
      </c>
      <c r="T58">
        <f>(L58-'2024b_260221_0030'!L58)</f>
        <v>-22</v>
      </c>
      <c r="U58" s="12">
        <f>(L58-'2024b_260221_0030'!L58)/'2024b_260221_0030'!L58</f>
        <v>-6.043956043956044E-2</v>
      </c>
      <c r="V58" s="4">
        <f>(M58-'2024b_260221_0030'!M58)</f>
        <v>1.5869895000000005</v>
      </c>
      <c r="W58" s="12">
        <f>(M58-'2024b_260221_0030'!M58)/'2024b_260221_0030'!M58</f>
        <v>0.32958079475352098</v>
      </c>
    </row>
    <row r="59" spans="1:23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148</v>
      </c>
      <c r="K59" t="s">
        <v>23</v>
      </c>
      <c r="L59">
        <v>500</v>
      </c>
      <c r="M59" s="4">
        <v>8.1255404999999996</v>
      </c>
      <c r="N59" s="4">
        <v>70.608983958000593</v>
      </c>
      <c r="O59" s="4">
        <v>-0.52805692333142507</v>
      </c>
      <c r="P59" s="1" t="str">
        <f>HYPERLINK(".\sm_car_260612_0028\sm_car_260612_0028_058_Ca134TrN_MaLSS_DrSt_ode23t.png","figure")</f>
        <v>figure</v>
      </c>
      <c r="Q59" t="s">
        <v>15</v>
      </c>
      <c r="R59" t="b">
        <f>B59='2024b_260221_0030'!B59</f>
        <v>1</v>
      </c>
      <c r="T59">
        <f>(L59-'2024b_260221_0030'!L59)</f>
        <v>11</v>
      </c>
      <c r="U59" s="12">
        <f>(L59-'2024b_260221_0030'!L59)/'2024b_260221_0030'!L59</f>
        <v>2.2494887525562373E-2</v>
      </c>
      <c r="V59" s="4">
        <f>(M59-'2024b_260221_0030'!M59)</f>
        <v>2.7219910999999994</v>
      </c>
      <c r="W59" s="12">
        <f>(M59-'2024b_260221_0030'!M59)/'2024b_260221_0030'!M59</f>
        <v>0.50374131862290361</v>
      </c>
    </row>
    <row r="60" spans="1:23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148</v>
      </c>
      <c r="K60" t="s">
        <v>23</v>
      </c>
      <c r="L60">
        <v>355</v>
      </c>
      <c r="M60" s="4">
        <v>7.1069727</v>
      </c>
      <c r="N60" s="4">
        <v>229.08274146692679</v>
      </c>
      <c r="O60" s="4">
        <v>-1.5908070675105655E-2</v>
      </c>
      <c r="P60" s="1" t="str">
        <f>HYPERLINK(".\sm_car_260612_0028\sm_car_260612_0028_059_Ca135TrN_MaWOT_DrSt_ode23t.png","figure")</f>
        <v>figure</v>
      </c>
      <c r="Q60" t="s">
        <v>15</v>
      </c>
      <c r="R60" t="b">
        <f>B60='2024b_260221_0030'!B60</f>
        <v>1</v>
      </c>
      <c r="T60">
        <f>(L60-'2024b_260221_0030'!L60)</f>
        <v>0</v>
      </c>
      <c r="U60" s="12">
        <f>(L60-'2024b_260221_0030'!L60)/'2024b_260221_0030'!L60</f>
        <v>0</v>
      </c>
      <c r="V60" s="4">
        <f>(M60-'2024b_260221_0030'!M60)</f>
        <v>2.2574323999999999</v>
      </c>
      <c r="W60" s="12">
        <f>(M60-'2024b_260221_0030'!M60)/'2024b_260221_0030'!M60</f>
        <v>0.4654941005439216</v>
      </c>
    </row>
    <row r="61" spans="1:23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148</v>
      </c>
      <c r="K61" t="s">
        <v>23</v>
      </c>
      <c r="L61">
        <v>487</v>
      </c>
      <c r="M61" s="4">
        <v>7.9830917000000001</v>
      </c>
      <c r="N61" s="4">
        <v>70.602494414080539</v>
      </c>
      <c r="O61" s="4">
        <v>-0.50992316588312225</v>
      </c>
      <c r="P61" s="1" t="str">
        <f>HYPERLINK(".\sm_car_260612_0028\sm_car_260612_0028_060_Ca135TrN_MaLSS_DrSt_ode23t.png","figure")</f>
        <v>figure</v>
      </c>
      <c r="Q61" t="s">
        <v>15</v>
      </c>
      <c r="R61" t="b">
        <f>B61='2024b_260221_0030'!B61</f>
        <v>1</v>
      </c>
      <c r="T61">
        <f>(L61-'2024b_260221_0030'!L61)</f>
        <v>-2</v>
      </c>
      <c r="U61" s="12">
        <f>(L61-'2024b_260221_0030'!L61)/'2024b_260221_0030'!L61</f>
        <v>-4.0899795501022499E-3</v>
      </c>
      <c r="V61" s="4">
        <f>(M61-'2024b_260221_0030'!M61)</f>
        <v>2.3627012000000001</v>
      </c>
      <c r="W61" s="12">
        <f>(M61-'2024b_260221_0030'!M61)/'2024b_260221_0030'!M61</f>
        <v>0.42038025649641247</v>
      </c>
    </row>
    <row r="62" spans="1:23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148</v>
      </c>
      <c r="K62" t="s">
        <v>23</v>
      </c>
      <c r="L62">
        <v>367</v>
      </c>
      <c r="M62" s="4">
        <v>7.5866444</v>
      </c>
      <c r="N62" s="4">
        <v>228.84199023968512</v>
      </c>
      <c r="O62" s="4">
        <v>4.7921737756107675E-2</v>
      </c>
      <c r="P62" s="1" t="str">
        <f>HYPERLINK(".\sm_car_260612_0028\sm_car_260612_0028_061_Ca136TrN_MaWOT_DrSt_ode23t.png","figure")</f>
        <v>figure</v>
      </c>
      <c r="Q62" t="s">
        <v>15</v>
      </c>
      <c r="R62" t="b">
        <f>B62='2024b_260221_0030'!B62</f>
        <v>1</v>
      </c>
      <c r="T62">
        <f>(L62-'2024b_260221_0030'!L62)</f>
        <v>-13</v>
      </c>
      <c r="U62" s="12">
        <f>(L62-'2024b_260221_0030'!L62)/'2024b_260221_0030'!L62</f>
        <v>-3.4210526315789476E-2</v>
      </c>
      <c r="V62" s="4">
        <f>(M62-'2024b_260221_0030'!M62)</f>
        <v>1.9290213999999999</v>
      </c>
      <c r="W62" s="12">
        <f>(M62-'2024b_260221_0030'!M62)/'2024b_260221_0030'!M62</f>
        <v>0.34095969278971044</v>
      </c>
    </row>
    <row r="63" spans="1:23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148</v>
      </c>
      <c r="K63" t="s">
        <v>23</v>
      </c>
      <c r="L63">
        <v>519</v>
      </c>
      <c r="M63" s="4">
        <v>11.003391199999999</v>
      </c>
      <c r="N63" s="4">
        <v>70.608618815861931</v>
      </c>
      <c r="O63" s="4">
        <v>-0.52340846476378777</v>
      </c>
      <c r="P63" s="1" t="str">
        <f>HYPERLINK(".\sm_car_260612_0028\sm_car_260612_0028_062_Ca136TrN_MaLSS_DrSt_ode23t.png","figure")</f>
        <v>figure</v>
      </c>
      <c r="Q63" t="s">
        <v>15</v>
      </c>
      <c r="R63" t="b">
        <f>B63='2024b_260221_0030'!B63</f>
        <v>1</v>
      </c>
      <c r="T63">
        <f>(L63-'2024b_260221_0030'!L63)</f>
        <v>2</v>
      </c>
      <c r="U63" s="12">
        <f>(L63-'2024b_260221_0030'!L63)/'2024b_260221_0030'!L63</f>
        <v>3.8684719535783366E-3</v>
      </c>
      <c r="V63" s="4">
        <f>(M63-'2024b_260221_0030'!M63)</f>
        <v>4.3106627999999994</v>
      </c>
      <c r="W63" s="12">
        <f>(M63-'2024b_260221_0030'!M63)/'2024b_260221_0030'!M63</f>
        <v>0.64408153780751054</v>
      </c>
    </row>
    <row r="64" spans="1:23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148</v>
      </c>
      <c r="K64" t="s">
        <v>23</v>
      </c>
      <c r="L64">
        <v>330</v>
      </c>
      <c r="M64" s="4">
        <v>5.8895945999999997</v>
      </c>
      <c r="N64" s="4">
        <v>229.94797420659091</v>
      </c>
      <c r="O64" s="4">
        <v>0.13777795377562196</v>
      </c>
      <c r="P64" s="1" t="str">
        <f>HYPERLINK(".\sm_car_260612_0028\sm_car_260612_0028_063_Ca137TrN_MaWOT_DrSt_ode23t.png","figure")</f>
        <v>figure</v>
      </c>
      <c r="Q64" t="s">
        <v>15</v>
      </c>
      <c r="R64" t="b">
        <f>B64='2024b_260221_0030'!B64</f>
        <v>1</v>
      </c>
      <c r="T64">
        <f>(L64-'2024b_260221_0030'!L64)</f>
        <v>-2</v>
      </c>
      <c r="U64" s="12">
        <f>(L64-'2024b_260221_0030'!L64)/'2024b_260221_0030'!L64</f>
        <v>-6.024096385542169E-3</v>
      </c>
      <c r="V64" s="4">
        <f>(M64-'2024b_260221_0030'!M64)</f>
        <v>2.0432854999999996</v>
      </c>
      <c r="W64" s="12">
        <f>(M64-'2024b_260221_0030'!M64)/'2024b_260221_0030'!M64</f>
        <v>0.53123278625734982</v>
      </c>
    </row>
    <row r="65" spans="1:23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148</v>
      </c>
      <c r="K65" t="s">
        <v>23</v>
      </c>
      <c r="L65">
        <v>474</v>
      </c>
      <c r="M65" s="4">
        <v>6.7064852999999998</v>
      </c>
      <c r="N65" s="4">
        <v>70.870244846970778</v>
      </c>
      <c r="O65" s="4">
        <v>-0.5047364521263743</v>
      </c>
      <c r="P65" s="1" t="str">
        <f>HYPERLINK(".\sm_car_260612_0028\sm_car_260612_0028_064_Ca137TrN_MaLSS_DrSt_ode23t.png","figure")</f>
        <v>figure</v>
      </c>
      <c r="Q65" t="s">
        <v>15</v>
      </c>
      <c r="R65" t="b">
        <f>B65='2024b_260221_0030'!B65</f>
        <v>1</v>
      </c>
      <c r="T65">
        <f>(L65-'2024b_260221_0030'!L65)</f>
        <v>-20</v>
      </c>
      <c r="U65" s="12">
        <f>(L65-'2024b_260221_0030'!L65)/'2024b_260221_0030'!L65</f>
        <v>-4.048582995951417E-2</v>
      </c>
      <c r="V65" s="4">
        <f>(M65-'2024b_260221_0030'!M65)</f>
        <v>2.0566563999999996</v>
      </c>
      <c r="W65" s="12">
        <f>(M65-'2024b_260221_0030'!M65)/'2024b_260221_0030'!M65</f>
        <v>0.44230797395577276</v>
      </c>
    </row>
    <row r="66" spans="1:23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148</v>
      </c>
      <c r="K66" t="s">
        <v>23</v>
      </c>
      <c r="L66">
        <v>332</v>
      </c>
      <c r="M66" s="4">
        <v>8.3152413000000003</v>
      </c>
      <c r="N66" s="4">
        <v>230.05876567133805</v>
      </c>
      <c r="O66" s="4">
        <v>0.14738864367911098</v>
      </c>
      <c r="P66" s="1" t="str">
        <f>HYPERLINK(".\sm_car_260612_0028\sm_car_260612_0028_065_Ca138TrN_MaWOT_DrSt_ode23t.png","figure")</f>
        <v>figure</v>
      </c>
      <c r="Q66" t="s">
        <v>15</v>
      </c>
      <c r="R66" t="b">
        <f>B66='2024b_260221_0030'!B66</f>
        <v>1</v>
      </c>
      <c r="T66">
        <f>(L66-'2024b_260221_0030'!L66)</f>
        <v>-17</v>
      </c>
      <c r="U66" s="12">
        <f>(L66-'2024b_260221_0030'!L66)/'2024b_260221_0030'!L66</f>
        <v>-4.8710601719197708E-2</v>
      </c>
      <c r="V66" s="4">
        <f>(M66-'2024b_260221_0030'!M66)</f>
        <v>2.6365254</v>
      </c>
      <c r="W66" s="12">
        <f>(M66-'2024b_260221_0030'!M66)/'2024b_260221_0030'!M66</f>
        <v>0.46428196909797864</v>
      </c>
    </row>
    <row r="67" spans="1:23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148</v>
      </c>
      <c r="K67" t="s">
        <v>23</v>
      </c>
      <c r="L67">
        <v>480</v>
      </c>
      <c r="M67" s="4">
        <v>9.7339245999999999</v>
      </c>
      <c r="N67" s="4">
        <v>70.767388403341698</v>
      </c>
      <c r="O67" s="4">
        <v>-0.81576892462230555</v>
      </c>
      <c r="P67" s="1" t="str">
        <f>HYPERLINK(".\sm_car_260612_0028\sm_car_260612_0028_066_Ca138TrN_MaLSS_DrSt_ode23t.png","figure")</f>
        <v>figure</v>
      </c>
      <c r="Q67" t="s">
        <v>15</v>
      </c>
      <c r="R67" t="b">
        <f>B67='2024b_260221_0030'!B67</f>
        <v>1</v>
      </c>
      <c r="T67">
        <f>(L67-'2024b_260221_0030'!L67)</f>
        <v>-11</v>
      </c>
      <c r="U67" s="12">
        <f>(L67-'2024b_260221_0030'!L67)/'2024b_260221_0030'!L67</f>
        <v>-2.2403258655804479E-2</v>
      </c>
      <c r="V67" s="4">
        <f>(M67-'2024b_260221_0030'!M67)</f>
        <v>3.3683746999999995</v>
      </c>
      <c r="W67" s="12">
        <f>(M67-'2024b_260221_0030'!M67)/'2024b_260221_0030'!M67</f>
        <v>0.52915690755954947</v>
      </c>
    </row>
    <row r="68" spans="1:23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148</v>
      </c>
      <c r="K68" t="s">
        <v>23</v>
      </c>
      <c r="L68">
        <v>667</v>
      </c>
      <c r="M68" s="4">
        <v>36.629438100000002</v>
      </c>
      <c r="N68" s="4">
        <v>402.14875608505315</v>
      </c>
      <c r="O68" s="4">
        <v>1.6543055319915123</v>
      </c>
      <c r="P68" s="1" t="str">
        <f>HYPERLINK(".\sm_car_260612_0028\sm_car_260612_0028_067_Ca139TrN_MaWOT_DrSt_ode23t.png","figure")</f>
        <v>figure</v>
      </c>
      <c r="Q68" t="s">
        <v>15</v>
      </c>
      <c r="R68" t="b">
        <f>B68='2024b_260221_0030'!B68</f>
        <v>1</v>
      </c>
      <c r="T68">
        <f>(L68-'2024b_260221_0030'!L68)</f>
        <v>27</v>
      </c>
      <c r="U68" s="12">
        <f>(L68-'2024b_260221_0030'!L68)/'2024b_260221_0030'!L68</f>
        <v>4.2187500000000003E-2</v>
      </c>
      <c r="V68" s="4">
        <f>(M68-'2024b_260221_0030'!M68)</f>
        <v>10.650116400000002</v>
      </c>
      <c r="W68" s="12">
        <f>(M68-'2024b_260221_0030'!M68)/'2024b_260221_0030'!M68</f>
        <v>0.4099458993958261</v>
      </c>
    </row>
    <row r="69" spans="1:23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148</v>
      </c>
      <c r="K69" t="s">
        <v>23</v>
      </c>
      <c r="L69">
        <v>635</v>
      </c>
      <c r="M69" s="4">
        <v>22.911808700000002</v>
      </c>
      <c r="N69" s="4">
        <v>153.00784654144883</v>
      </c>
      <c r="O69" s="4">
        <v>-0.55087035860778144</v>
      </c>
      <c r="P69" s="1" t="str">
        <f>HYPERLINK(".\sm_car_260612_0028\sm_car_260612_0028_068_Ca139TrN_MaLSS_DrSt_ode23t.png","figure")</f>
        <v>figure</v>
      </c>
      <c r="Q69" t="s">
        <v>15</v>
      </c>
      <c r="R69" t="b">
        <f>B69='2024b_260221_0030'!B69</f>
        <v>1</v>
      </c>
      <c r="T69">
        <f>(L69-'2024b_260221_0030'!L69)</f>
        <v>7</v>
      </c>
      <c r="U69" s="12">
        <f>(L69-'2024b_260221_0030'!L69)/'2024b_260221_0030'!L69</f>
        <v>1.1146496815286623E-2</v>
      </c>
      <c r="V69" s="4">
        <f>(M69-'2024b_260221_0030'!M69)</f>
        <v>7.8528505000000024</v>
      </c>
      <c r="W69" s="12">
        <f>(M69-'2024b_260221_0030'!M69)/'2024b_260221_0030'!M69</f>
        <v>0.5214736899927116</v>
      </c>
    </row>
    <row r="70" spans="1:23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148</v>
      </c>
      <c r="K70" t="s">
        <v>23</v>
      </c>
      <c r="L70">
        <v>1958</v>
      </c>
      <c r="M70" s="4">
        <v>50.441957500000001</v>
      </c>
      <c r="N70" s="4">
        <v>402.25797898431944</v>
      </c>
      <c r="O70" s="4">
        <v>1.6543657704493904</v>
      </c>
      <c r="P70" s="1" t="str">
        <f>HYPERLINK(".\sm_car_260612_0028\sm_car_260612_0028_069_Ca141TrN_MaWOT_DrSt_ode23t.png","figure")</f>
        <v>figure</v>
      </c>
      <c r="Q70" t="s">
        <v>15</v>
      </c>
      <c r="R70" t="b">
        <f>B70='2024b_260221_0030'!B70</f>
        <v>1</v>
      </c>
      <c r="T70">
        <f>(L70-'2024b_260221_0030'!L70)</f>
        <v>-7</v>
      </c>
      <c r="U70" s="12">
        <f>(L70-'2024b_260221_0030'!L70)/'2024b_260221_0030'!L70</f>
        <v>-3.5623409669211198E-3</v>
      </c>
      <c r="V70" s="4">
        <f>(M70-'2024b_260221_0030'!M70)</f>
        <v>11.430230000000002</v>
      </c>
      <c r="W70" s="12">
        <f>(M70-'2024b_260221_0030'!M70)/'2024b_260221_0030'!M70</f>
        <v>0.29299471549933293</v>
      </c>
    </row>
    <row r="71" spans="1:23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148</v>
      </c>
      <c r="K71" t="s">
        <v>23</v>
      </c>
      <c r="L71">
        <v>1865</v>
      </c>
      <c r="M71" s="4">
        <v>34.632174300000003</v>
      </c>
      <c r="N71" s="4">
        <v>153.10407987129389</v>
      </c>
      <c r="O71" s="4">
        <v>-0.57400506337108792</v>
      </c>
      <c r="P71" s="1" t="str">
        <f>HYPERLINK(".\sm_car_260612_0028\sm_car_260612_0028_070_Ca141TrN_MaLSS_DrSt_ode23t.png","figure")</f>
        <v>figure</v>
      </c>
      <c r="Q71" t="s">
        <v>15</v>
      </c>
      <c r="R71" t="b">
        <f>B71='2024b_260221_0030'!B71</f>
        <v>1</v>
      </c>
      <c r="T71">
        <f>(L71-'2024b_260221_0030'!L71)</f>
        <v>1</v>
      </c>
      <c r="U71" s="12">
        <f>(L71-'2024b_260221_0030'!L71)/'2024b_260221_0030'!L71</f>
        <v>5.3648068669527897E-4</v>
      </c>
      <c r="V71" s="4">
        <f>(M71-'2024b_260221_0030'!M71)</f>
        <v>8.787263700000004</v>
      </c>
      <c r="W71" s="12">
        <f>(M71-'2024b_260221_0030'!M71)/'2024b_260221_0030'!M71</f>
        <v>0.33999977156044037</v>
      </c>
    </row>
    <row r="72" spans="1:23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148</v>
      </c>
      <c r="K72" t="s">
        <v>23</v>
      </c>
      <c r="L72">
        <v>341</v>
      </c>
      <c r="M72" s="4">
        <v>17.585320599999999</v>
      </c>
      <c r="N72" s="4">
        <v>62.425689904301052</v>
      </c>
      <c r="O72" s="4">
        <v>1.9529225150554445E-2</v>
      </c>
      <c r="P72" s="1" t="str">
        <f>HYPERLINK(".\sm_car_260612_0028\sm_car_260612_0028_071_Ca143TrN_MaWOT_DrSt_ode23t.png","figure")</f>
        <v>figure</v>
      </c>
      <c r="Q72" t="s">
        <v>15</v>
      </c>
      <c r="R72" t="b">
        <f>B72='2024b_260221_0030'!B72</f>
        <v>1</v>
      </c>
      <c r="T72">
        <f>(L72-'2024b_260221_0030'!L72)</f>
        <v>2</v>
      </c>
      <c r="U72" s="12">
        <f>(L72-'2024b_260221_0030'!L72)/'2024b_260221_0030'!L72</f>
        <v>5.8997050147492625E-3</v>
      </c>
      <c r="V72" s="4">
        <f>(M72-'2024b_260221_0030'!M72)</f>
        <v>3.7998238999999998</v>
      </c>
      <c r="W72" s="12">
        <f>(M72-'2024b_260221_0030'!M72)/'2024b_260221_0030'!M72</f>
        <v>0.27563924483040209</v>
      </c>
    </row>
    <row r="73" spans="1:23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148</v>
      </c>
      <c r="K73" t="s">
        <v>23</v>
      </c>
      <c r="L73">
        <v>470</v>
      </c>
      <c r="M73" s="4">
        <v>22.5101704</v>
      </c>
      <c r="N73" s="4">
        <v>24.931429092334909</v>
      </c>
      <c r="O73" s="4">
        <v>-5.2446166691571448E-2</v>
      </c>
      <c r="P73" s="1" t="str">
        <f>HYPERLINK(".\sm_car_260612_0028\sm_car_260612_0028_072_Ca143TrN_MaLSS_DrSt_ode23t.png","figure")</f>
        <v>figure</v>
      </c>
      <c r="Q73" t="s">
        <v>15</v>
      </c>
      <c r="R73" t="b">
        <f>B73='2024b_260221_0030'!B73</f>
        <v>1</v>
      </c>
      <c r="T73">
        <f>(L73-'2024b_260221_0030'!L73)</f>
        <v>15</v>
      </c>
      <c r="U73" s="12">
        <f>(L73-'2024b_260221_0030'!L73)/'2024b_260221_0030'!L73</f>
        <v>3.2967032967032968E-2</v>
      </c>
      <c r="V73" s="4">
        <f>(M73-'2024b_260221_0030'!M73)</f>
        <v>7.0260277999999996</v>
      </c>
      <c r="W73" s="12">
        <f>(M73-'2024b_260221_0030'!M73)/'2024b_260221_0030'!M73</f>
        <v>0.45375633520709113</v>
      </c>
    </row>
    <row r="74" spans="1:23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148</v>
      </c>
      <c r="K74" t="s">
        <v>23</v>
      </c>
      <c r="L74">
        <v>344</v>
      </c>
      <c r="M74" s="4">
        <v>12.6511283</v>
      </c>
      <c r="N74" s="4">
        <v>76.994841450647343</v>
      </c>
      <c r="O74" s="4">
        <v>0.24347653101459094</v>
      </c>
      <c r="P74" s="1" t="str">
        <f>HYPERLINK(".\sm_car_260612_0028\sm_car_260612_0028_073_Ca144TrN_MaWOT_DrSt_ode23t.png","figure")</f>
        <v>figure</v>
      </c>
      <c r="Q74" t="s">
        <v>15</v>
      </c>
      <c r="R74" t="b">
        <f>B74='2024b_260221_0030'!B74</f>
        <v>1</v>
      </c>
      <c r="T74">
        <f>(L74-'2024b_260221_0030'!L74)</f>
        <v>11</v>
      </c>
      <c r="U74" s="12">
        <f>(L74-'2024b_260221_0030'!L74)/'2024b_260221_0030'!L74</f>
        <v>3.3033033033033031E-2</v>
      </c>
      <c r="V74" s="4">
        <f>(M74-'2024b_260221_0030'!M74)</f>
        <v>2.3834993999999998</v>
      </c>
      <c r="W74" s="12">
        <f>(M74-'2024b_260221_0030'!M74)/'2024b_260221_0030'!M74</f>
        <v>0.23213727562748199</v>
      </c>
    </row>
    <row r="75" spans="1:23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148</v>
      </c>
      <c r="K75" t="s">
        <v>23</v>
      </c>
      <c r="L75">
        <v>485</v>
      </c>
      <c r="M75" s="4">
        <v>16.885393799999999</v>
      </c>
      <c r="N75" s="4">
        <v>35.470913098219157</v>
      </c>
      <c r="O75" s="4">
        <v>-3.1754908166512524E-2</v>
      </c>
      <c r="P75" s="1" t="str">
        <f>HYPERLINK(".\sm_car_260612_0028\sm_car_260612_0028_074_Ca144TrN_MaLSS_DrSt_ode23t.png","figure")</f>
        <v>figure</v>
      </c>
      <c r="Q75" t="s">
        <v>15</v>
      </c>
      <c r="R75" t="b">
        <f>B75='2024b_260221_0030'!B75</f>
        <v>1</v>
      </c>
      <c r="T75">
        <f>(L75-'2024b_260221_0030'!L75)</f>
        <v>19</v>
      </c>
      <c r="U75" s="12">
        <f>(L75-'2024b_260221_0030'!L75)/'2024b_260221_0030'!L75</f>
        <v>4.07725321888412E-2</v>
      </c>
      <c r="V75" s="4">
        <f>(M75-'2024b_260221_0030'!M75)</f>
        <v>5.1703573999999985</v>
      </c>
      <c r="W75" s="12">
        <f>(M75-'2024b_260221_0030'!M75)/'2024b_260221_0030'!M75</f>
        <v>0.44134369057530187</v>
      </c>
    </row>
    <row r="76" spans="1:23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148</v>
      </c>
      <c r="K76" t="s">
        <v>23</v>
      </c>
      <c r="L76">
        <v>2423</v>
      </c>
      <c r="M76" s="4">
        <v>33.059447499999997</v>
      </c>
      <c r="N76" s="4">
        <v>396.60108964632946</v>
      </c>
      <c r="O76" s="4">
        <v>-14.029895241360583</v>
      </c>
      <c r="P76" s="1" t="str">
        <f>HYPERLINK(".\sm_car_260612_0028\sm_car_260612_0028_075_Ca147TrN_MaWOT_DrSt_ode23t.png","figure")</f>
        <v>figure</v>
      </c>
      <c r="Q76" t="s">
        <v>15</v>
      </c>
      <c r="R76" t="b">
        <f>B76='2024b_260221_0030'!B76</f>
        <v>1</v>
      </c>
      <c r="T76">
        <f>(L76-'2024b_260221_0030'!L76)</f>
        <v>1</v>
      </c>
      <c r="U76" s="12">
        <f>(L76-'2024b_260221_0030'!L76)/'2024b_260221_0030'!L76</f>
        <v>4.1288191577208916E-4</v>
      </c>
      <c r="V76" s="4">
        <f>(M76-'2024b_260221_0030'!M76)</f>
        <v>7.2068865999999971</v>
      </c>
      <c r="W76" s="12">
        <f>(M76-'2024b_260221_0030'!M76)/'2024b_260221_0030'!M76</f>
        <v>0.27876876986681798</v>
      </c>
    </row>
    <row r="77" spans="1:23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148</v>
      </c>
      <c r="K77" t="s">
        <v>23</v>
      </c>
      <c r="L77">
        <v>1306</v>
      </c>
      <c r="M77" s="4">
        <v>20.769160899999999</v>
      </c>
      <c r="N77" s="4">
        <v>150.41040094356831</v>
      </c>
      <c r="O77" s="4">
        <v>-2.0861659176961682</v>
      </c>
      <c r="P77" s="1" t="str">
        <f>HYPERLINK(".\sm_car_260612_0028\sm_car_260612_0028_076_Ca147TrN_MaLSS_DrSt_ode23t.png","figure")</f>
        <v>figure</v>
      </c>
      <c r="Q77" t="s">
        <v>15</v>
      </c>
      <c r="R77" t="b">
        <f>B77='2024b_260221_0030'!B77</f>
        <v>1</v>
      </c>
      <c r="T77">
        <f>(L77-'2024b_260221_0030'!L77)</f>
        <v>-6</v>
      </c>
      <c r="U77" s="12">
        <f>(L77-'2024b_260221_0030'!L77)/'2024b_260221_0030'!L77</f>
        <v>-4.5731707317073168E-3</v>
      </c>
      <c r="V77" s="4">
        <f>(M77-'2024b_260221_0030'!M77)</f>
        <v>3.6391553999999999</v>
      </c>
      <c r="W77" s="12">
        <f>(M77-'2024b_260221_0030'!M77)/'2024b_260221_0030'!M77</f>
        <v>0.21244332933810209</v>
      </c>
    </row>
    <row r="78" spans="1:23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148</v>
      </c>
      <c r="K78" t="s">
        <v>23</v>
      </c>
      <c r="L78">
        <v>268</v>
      </c>
      <c r="M78" s="4">
        <v>7.6376388999999998</v>
      </c>
      <c r="N78" s="4">
        <v>135.64635108456901</v>
      </c>
      <c r="O78" s="4">
        <v>1.734073910455962E-3</v>
      </c>
      <c r="P78" s="1" t="str">
        <f>HYPERLINK(".\sm_car_260612_0028\sm_car_260612_0028_077_Ca215TrN_MaWOT_DrSt_ode23t.png","figure")</f>
        <v>figure</v>
      </c>
      <c r="Q78" t="s">
        <v>15</v>
      </c>
      <c r="R78" t="b">
        <f>B78='2024b_260221_0030'!B78</f>
        <v>1</v>
      </c>
      <c r="T78">
        <f>(L78-'2024b_260221_0030'!L78)</f>
        <v>-21</v>
      </c>
      <c r="U78" s="12">
        <f>(L78-'2024b_260221_0030'!L78)/'2024b_260221_0030'!L78</f>
        <v>-7.2664359861591699E-2</v>
      </c>
      <c r="V78" s="4">
        <f>(M78-'2024b_260221_0030'!M78)</f>
        <v>0.36194789999999966</v>
      </c>
      <c r="W78" s="12">
        <f>(M78-'2024b_260221_0030'!M78)/'2024b_260221_0030'!M78</f>
        <v>4.9747563496030774E-2</v>
      </c>
    </row>
    <row r="79" spans="1:23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148</v>
      </c>
      <c r="K79" t="s">
        <v>23</v>
      </c>
      <c r="L79">
        <v>424</v>
      </c>
      <c r="M79" s="4">
        <v>9.9116704999999996</v>
      </c>
      <c r="N79" s="4">
        <v>50.384969697075952</v>
      </c>
      <c r="O79" s="4">
        <v>-0.1145654662065273</v>
      </c>
      <c r="P79" s="1" t="str">
        <f>HYPERLINK(".\sm_car_260612_0028\sm_car_260612_0028_078_Ca215TrN_MaLSS_DrSt_ode23t.png","figure")</f>
        <v>figure</v>
      </c>
      <c r="Q79" t="s">
        <v>15</v>
      </c>
      <c r="R79" t="b">
        <f>B79='2024b_260221_0030'!B79</f>
        <v>1</v>
      </c>
      <c r="T79">
        <f>(L79-'2024b_260221_0030'!L79)</f>
        <v>-31</v>
      </c>
      <c r="U79" s="12">
        <f>(L79-'2024b_260221_0030'!L79)/'2024b_260221_0030'!L79</f>
        <v>-6.8131868131868126E-2</v>
      </c>
      <c r="V79" s="4">
        <f>(M79-'2024b_260221_0030'!M79)</f>
        <v>2.3822764999999997</v>
      </c>
      <c r="W79" s="12">
        <f>(M79-'2024b_260221_0030'!M79)/'2024b_260221_0030'!M79</f>
        <v>0.31639684415505415</v>
      </c>
    </row>
    <row r="80" spans="1:23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188</v>
      </c>
      <c r="H80" t="s">
        <v>21</v>
      </c>
      <c r="I80" t="s">
        <v>22</v>
      </c>
      <c r="J80" t="s">
        <v>148</v>
      </c>
      <c r="K80" t="s">
        <v>23</v>
      </c>
      <c r="L80">
        <v>345</v>
      </c>
      <c r="M80" s="4">
        <v>5.7397267000000003</v>
      </c>
      <c r="N80" s="4">
        <v>229.81315892812907</v>
      </c>
      <c r="O80" s="4">
        <v>0.17161902110920862</v>
      </c>
      <c r="P80" s="1" t="str">
        <f>HYPERLINK(".\sm_car_260612_0028\sm_car_260612_0028_079_Ca218TrN_MaWOT_DrSt_ode23t.png","figure")</f>
        <v>figure</v>
      </c>
      <c r="Q80" t="s">
        <v>15</v>
      </c>
      <c r="R80" t="b">
        <f>B80='2024b_260221_0030'!B80</f>
        <v>1</v>
      </c>
      <c r="T80">
        <f>(L80-'2024b_260221_0030'!L80)</f>
        <v>-18</v>
      </c>
      <c r="U80" s="12">
        <f>(L80-'2024b_260221_0030'!L80)/'2024b_260221_0030'!L80</f>
        <v>-4.9586776859504134E-2</v>
      </c>
      <c r="V80" s="4">
        <f>(M80-'2024b_260221_0030'!M80)</f>
        <v>0.77958840000000063</v>
      </c>
      <c r="W80" s="12">
        <f>(M80-'2024b_260221_0030'!M80)/'2024b_260221_0030'!M80</f>
        <v>0.15717069824444224</v>
      </c>
    </row>
    <row r="81" spans="1:23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188</v>
      </c>
      <c r="H81" t="s">
        <v>21</v>
      </c>
      <c r="I81" t="s">
        <v>24</v>
      </c>
      <c r="J81" t="s">
        <v>148</v>
      </c>
      <c r="K81" t="s">
        <v>23</v>
      </c>
      <c r="L81">
        <v>507</v>
      </c>
      <c r="M81" s="4">
        <v>7.3746745000000002</v>
      </c>
      <c r="N81" s="4">
        <v>70.784097429286476</v>
      </c>
      <c r="O81" s="4">
        <v>-0.53287233168468906</v>
      </c>
      <c r="P81" s="1" t="str">
        <f>HYPERLINK(".\sm_car_260612_0028\sm_car_260612_0028_080_Ca218TrN_MaLSS_DrSt_ode23t.png","figure")</f>
        <v>figure</v>
      </c>
      <c r="Q81" t="s">
        <v>15</v>
      </c>
      <c r="R81" t="b">
        <f>B81='2024b_260221_0030'!B81</f>
        <v>1</v>
      </c>
      <c r="T81">
        <f>(L81-'2024b_260221_0030'!L81)</f>
        <v>28</v>
      </c>
      <c r="U81" s="12">
        <f>(L81-'2024b_260221_0030'!L81)/'2024b_260221_0030'!L81</f>
        <v>5.845511482254697E-2</v>
      </c>
      <c r="V81" s="4">
        <f>(M81-'2024b_260221_0030'!M81)</f>
        <v>1.6297345000000005</v>
      </c>
      <c r="W81" s="12">
        <f>(M81-'2024b_260221_0030'!M81)/'2024b_260221_0030'!M81</f>
        <v>0.28368172687617288</v>
      </c>
    </row>
    <row r="82" spans="1:23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188</v>
      </c>
      <c r="H82" t="s">
        <v>21</v>
      </c>
      <c r="I82" t="s">
        <v>22</v>
      </c>
      <c r="J82" t="s">
        <v>148</v>
      </c>
      <c r="K82" t="s">
        <v>23</v>
      </c>
      <c r="L82">
        <v>390</v>
      </c>
      <c r="M82" s="4">
        <v>8.8401803999999995</v>
      </c>
      <c r="N82" s="4">
        <v>229.12204945515197</v>
      </c>
      <c r="O82" s="4">
        <v>0.1711745287696993</v>
      </c>
      <c r="P82" s="1" t="str">
        <f>HYPERLINK(".\sm_car_260612_0028\sm_car_260612_0028_081_Ca219TrN_MaWOT_DrSt_ode23t.png","figure")</f>
        <v>figure</v>
      </c>
      <c r="Q82" t="s">
        <v>15</v>
      </c>
      <c r="R82" t="b">
        <f>B82='2024b_260221_0030'!B82</f>
        <v>1</v>
      </c>
      <c r="T82">
        <f>(L82-'2024b_260221_0030'!L82)</f>
        <v>7</v>
      </c>
      <c r="U82" s="12">
        <f>(L82-'2024b_260221_0030'!L82)/'2024b_260221_0030'!L82</f>
        <v>1.8276762402088774E-2</v>
      </c>
      <c r="V82" s="4">
        <f>(M82-'2024b_260221_0030'!M82)</f>
        <v>1.9748825999999999</v>
      </c>
      <c r="W82" s="12">
        <f>(M82-'2024b_260221_0030'!M82)/'2024b_260221_0030'!M82</f>
        <v>0.28766160733770357</v>
      </c>
    </row>
    <row r="83" spans="1:23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188</v>
      </c>
      <c r="H83" t="s">
        <v>21</v>
      </c>
      <c r="I83" t="s">
        <v>24</v>
      </c>
      <c r="J83" t="s">
        <v>148</v>
      </c>
      <c r="K83" t="s">
        <v>23</v>
      </c>
      <c r="L83">
        <v>521</v>
      </c>
      <c r="M83" s="4">
        <v>10.3869338</v>
      </c>
      <c r="N83" s="4">
        <v>70.603742869404613</v>
      </c>
      <c r="O83" s="4">
        <v>-0.55706273333269962</v>
      </c>
      <c r="P83" s="1" t="str">
        <f>HYPERLINK(".\sm_car_260612_0028\sm_car_260612_0028_082_Ca219TrN_MaLSS_DrSt_ode23t.png","figure")</f>
        <v>figure</v>
      </c>
      <c r="Q83" t="s">
        <v>15</v>
      </c>
      <c r="R83" t="b">
        <f>B83='2024b_260221_0030'!B83</f>
        <v>1</v>
      </c>
      <c r="T83">
        <f>(L83-'2024b_260221_0030'!L83)</f>
        <v>7</v>
      </c>
      <c r="U83" s="12">
        <f>(L83-'2024b_260221_0030'!L83)/'2024b_260221_0030'!L83</f>
        <v>1.3618677042801557E-2</v>
      </c>
      <c r="V83" s="4">
        <f>(M83-'2024b_260221_0030'!M83)</f>
        <v>1.5097615999999991</v>
      </c>
      <c r="W83" s="12">
        <f>(M83-'2024b_260221_0030'!M83)/'2024b_260221_0030'!M83</f>
        <v>0.17007235705081841</v>
      </c>
    </row>
    <row r="84" spans="1:23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188</v>
      </c>
      <c r="H84" t="s">
        <v>21</v>
      </c>
      <c r="I84" t="s">
        <v>22</v>
      </c>
      <c r="J84" t="s">
        <v>148</v>
      </c>
      <c r="K84" t="s">
        <v>23</v>
      </c>
      <c r="L84">
        <v>898</v>
      </c>
      <c r="M84" s="4">
        <v>47.223476699999999</v>
      </c>
      <c r="N84" s="4">
        <v>223.3725266804052</v>
      </c>
      <c r="O84" s="4">
        <v>-1.1978114677332603</v>
      </c>
      <c r="P84" s="1" t="str">
        <f>HYPERLINK(".\sm_car_260612_0028\sm_car_260612_0028_083_Ca220TrN_MaWOT_DrSt_ode23t.png","figure")</f>
        <v>figure</v>
      </c>
      <c r="Q84" t="s">
        <v>15</v>
      </c>
      <c r="R84" t="b">
        <f>B84='2024b_260221_0030'!B84</f>
        <v>1</v>
      </c>
      <c r="T84">
        <f>(L84-'2024b_260221_0030'!L84)</f>
        <v>-9</v>
      </c>
      <c r="U84" s="12">
        <f>(L84-'2024b_260221_0030'!L84)/'2024b_260221_0030'!L84</f>
        <v>-9.9228224917309819E-3</v>
      </c>
      <c r="V84" s="4">
        <f>(M84-'2024b_260221_0030'!M84)</f>
        <v>9.2773655000000019</v>
      </c>
      <c r="W84" s="12">
        <f>(M84-'2024b_260221_0030'!M84)/'2024b_260221_0030'!M84</f>
        <v>0.24448791211047741</v>
      </c>
    </row>
    <row r="85" spans="1:23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188</v>
      </c>
      <c r="H85" t="s">
        <v>21</v>
      </c>
      <c r="I85" t="s">
        <v>24</v>
      </c>
      <c r="J85" t="s">
        <v>148</v>
      </c>
      <c r="K85" t="s">
        <v>23</v>
      </c>
      <c r="L85">
        <v>1084</v>
      </c>
      <c r="M85" s="4">
        <v>62.626748599999999</v>
      </c>
      <c r="N85" s="4">
        <v>69.327070664216762</v>
      </c>
      <c r="O85" s="4">
        <v>-1.4852275958257581</v>
      </c>
      <c r="P85" s="1" t="str">
        <f>HYPERLINK(".\sm_car_260612_0028\sm_car_260612_0028_084_Ca220TrN_MaLSS_DrSt_ode23t.png","figure")</f>
        <v>figure</v>
      </c>
      <c r="Q85" t="s">
        <v>15</v>
      </c>
      <c r="R85" t="b">
        <f>B85='2024b_260221_0030'!B85</f>
        <v>1</v>
      </c>
      <c r="T85">
        <f>(L85-'2024b_260221_0030'!L85)</f>
        <v>33</v>
      </c>
      <c r="U85" s="12">
        <f>(L85-'2024b_260221_0030'!L85)/'2024b_260221_0030'!L85</f>
        <v>3.1398667935299718E-2</v>
      </c>
      <c r="V85" s="4">
        <f>(M85-'2024b_260221_0030'!M85)</f>
        <v>13.785609999999998</v>
      </c>
      <c r="W85" s="12">
        <f>(M85-'2024b_260221_0030'!M85)/'2024b_260221_0030'!M85</f>
        <v>0.282254066861578</v>
      </c>
    </row>
    <row r="86" spans="1:23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148</v>
      </c>
      <c r="K86" t="s">
        <v>23</v>
      </c>
      <c r="L86">
        <v>460</v>
      </c>
      <c r="M86" s="4">
        <v>9.3227265999999993</v>
      </c>
      <c r="N86" s="4">
        <v>293.79411245454202</v>
      </c>
      <c r="O86" s="4">
        <v>-5.1846489817811072E-5</v>
      </c>
      <c r="P86" s="1" t="str">
        <f>HYPERLINK(".\sm_car_260612_0028\sm_car_260612_0028_085_Ca223TrN_MaWOT_DrSt_ode23t.png","figure")</f>
        <v>figure</v>
      </c>
      <c r="Q86" t="s">
        <v>15</v>
      </c>
      <c r="R86" t="b">
        <f>B86='2024b_260221_0030'!B86</f>
        <v>1</v>
      </c>
      <c r="T86">
        <f>(L86-'2024b_260221_0030'!L86)</f>
        <v>-11</v>
      </c>
      <c r="U86" s="12">
        <f>(L86-'2024b_260221_0030'!L86)/'2024b_260221_0030'!L86</f>
        <v>-2.3354564755838639E-2</v>
      </c>
      <c r="V86" s="4">
        <f>(M86-'2024b_260221_0030'!M86)</f>
        <v>1.7098262999999996</v>
      </c>
      <c r="W86" s="12">
        <f>(M86-'2024b_260221_0030'!M86)/'2024b_260221_0030'!M86</f>
        <v>0.22459591385953126</v>
      </c>
    </row>
    <row r="87" spans="1:23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148</v>
      </c>
      <c r="K87" t="s">
        <v>23</v>
      </c>
      <c r="L87">
        <v>634</v>
      </c>
      <c r="M87" s="4">
        <v>9.6522819999999996</v>
      </c>
      <c r="N87" s="4">
        <v>103.81976274715086</v>
      </c>
      <c r="O87" s="4">
        <v>-0.14055131333798809</v>
      </c>
      <c r="P87" s="1" t="str">
        <f>HYPERLINK(".\sm_car_260612_0028\sm_car_260612_0028_086_Ca223TrN_MaLSS_DrSt_ode23t.png","figure")</f>
        <v>figure</v>
      </c>
      <c r="Q87" t="s">
        <v>15</v>
      </c>
      <c r="R87" t="b">
        <f>B87='2024b_260221_0030'!B87</f>
        <v>1</v>
      </c>
      <c r="T87">
        <f>(L87-'2024b_260221_0030'!L87)</f>
        <v>-10</v>
      </c>
      <c r="U87" s="12">
        <f>(L87-'2024b_260221_0030'!L87)/'2024b_260221_0030'!L87</f>
        <v>-1.5527950310559006E-2</v>
      </c>
      <c r="V87" s="4">
        <f>(M87-'2024b_260221_0030'!M87)</f>
        <v>1.6800117999999999</v>
      </c>
      <c r="W87" s="12">
        <f>(M87-'2024b_260221_0030'!M87)/'2024b_260221_0030'!M87</f>
        <v>0.21073191924679122</v>
      </c>
    </row>
    <row r="88" spans="1:23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148</v>
      </c>
      <c r="K88" t="s">
        <v>23</v>
      </c>
      <c r="L88">
        <v>744</v>
      </c>
      <c r="M88" s="4">
        <v>30.953036000000001</v>
      </c>
      <c r="N88" s="4">
        <v>405.64041683546981</v>
      </c>
      <c r="O88" s="4">
        <v>-12.565111933791886</v>
      </c>
      <c r="P88" s="1" t="str">
        <f>HYPERLINK(".\sm_car_260612_0028\sm_car_260612_0028_087_Ca227TrN_MaWOT_DrSt_ode23t.png","figure")</f>
        <v>figure</v>
      </c>
      <c r="Q88" t="s">
        <v>15</v>
      </c>
      <c r="R88" t="b">
        <f>B88='2024b_260221_0030'!B88</f>
        <v>1</v>
      </c>
      <c r="T88">
        <f>(L88-'2024b_260221_0030'!L88)</f>
        <v>30</v>
      </c>
      <c r="U88" s="12">
        <f>(L88-'2024b_260221_0030'!L88)/'2024b_260221_0030'!L88</f>
        <v>4.2016806722689079E-2</v>
      </c>
      <c r="V88" s="4">
        <f>(M88-'2024b_260221_0030'!M88)</f>
        <v>7.8284939000000016</v>
      </c>
      <c r="W88" s="12">
        <f>(M88-'2024b_260221_0030'!M88)/'2024b_260221_0030'!M88</f>
        <v>0.33853616932808378</v>
      </c>
    </row>
    <row r="89" spans="1:23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148</v>
      </c>
      <c r="K89" t="s">
        <v>23</v>
      </c>
      <c r="L89">
        <v>719</v>
      </c>
      <c r="M89" s="4">
        <v>20.267907300000001</v>
      </c>
      <c r="N89" s="4">
        <v>154.55763844501493</v>
      </c>
      <c r="O89" s="4">
        <v>-2.8676637717863471</v>
      </c>
      <c r="P89" s="1" t="str">
        <f>HYPERLINK(".\sm_car_260612_0028\sm_car_260612_0028_088_Ca227TrN_MaLSS_DrSt_ode23t.png","figure")</f>
        <v>figure</v>
      </c>
      <c r="Q89" t="s">
        <v>15</v>
      </c>
      <c r="R89" t="b">
        <f>B89='2024b_260221_0030'!B89</f>
        <v>1</v>
      </c>
      <c r="T89">
        <f>(L89-'2024b_260221_0030'!L89)</f>
        <v>7</v>
      </c>
      <c r="U89" s="12">
        <f>(L89-'2024b_260221_0030'!L89)/'2024b_260221_0030'!L89</f>
        <v>9.8314606741573031E-3</v>
      </c>
      <c r="V89" s="4">
        <f>(M89-'2024b_260221_0030'!M89)</f>
        <v>4.4732831000000015</v>
      </c>
      <c r="W89" s="12">
        <f>(M89-'2024b_260221_0030'!M89)/'2024b_260221_0030'!M89</f>
        <v>0.28321554494471618</v>
      </c>
    </row>
    <row r="90" spans="1:23" x14ac:dyDescent="0.25">
      <c r="A90">
        <v>89</v>
      </c>
      <c r="B90">
        <v>237</v>
      </c>
      <c r="C90" t="s">
        <v>45</v>
      </c>
      <c r="D90" t="s">
        <v>17</v>
      </c>
      <c r="E90" t="s">
        <v>107</v>
      </c>
      <c r="F90" t="s">
        <v>19</v>
      </c>
      <c r="G90" t="s">
        <v>191</v>
      </c>
      <c r="H90" t="s">
        <v>21</v>
      </c>
      <c r="I90" t="s">
        <v>22</v>
      </c>
      <c r="J90" t="s">
        <v>148</v>
      </c>
      <c r="K90" t="s">
        <v>23</v>
      </c>
      <c r="L90">
        <v>648</v>
      </c>
      <c r="M90" s="4">
        <v>58.581474</v>
      </c>
      <c r="N90" s="4">
        <v>402.60155672621022</v>
      </c>
      <c r="O90" s="4">
        <v>1.641605902248862</v>
      </c>
      <c r="P90" s="1" t="str">
        <f>HYPERLINK(".\sm_car_260612_0028\sm_car_260612_0028_089_Ca237TrN_MaWOT_DrSt_ode23t.png","figure")</f>
        <v>figure</v>
      </c>
      <c r="Q90" t="s">
        <v>15</v>
      </c>
      <c r="R90" t="b">
        <f>B90='2024b_260221_0030'!B90</f>
        <v>1</v>
      </c>
      <c r="T90">
        <f>(L90-'2024b_260221_0030'!L90)</f>
        <v>16</v>
      </c>
      <c r="U90" s="12">
        <f>(L90-'2024b_260221_0030'!L90)/'2024b_260221_0030'!L90</f>
        <v>2.5316455696202531E-2</v>
      </c>
      <c r="V90" s="4">
        <f>(M90-'2024b_260221_0030'!M90)</f>
        <v>14.142624900000001</v>
      </c>
      <c r="W90" s="12">
        <f>(M90-'2024b_260221_0030'!M90)/'2024b_260221_0030'!M90</f>
        <v>0.31824912630331825</v>
      </c>
    </row>
    <row r="91" spans="1:23" x14ac:dyDescent="0.25">
      <c r="A91">
        <v>90</v>
      </c>
      <c r="B91">
        <v>237</v>
      </c>
      <c r="C91" t="s">
        <v>45</v>
      </c>
      <c r="D91" t="s">
        <v>17</v>
      </c>
      <c r="E91" t="s">
        <v>107</v>
      </c>
      <c r="F91" t="s">
        <v>19</v>
      </c>
      <c r="G91" t="s">
        <v>191</v>
      </c>
      <c r="H91" t="s">
        <v>21</v>
      </c>
      <c r="I91" t="s">
        <v>24</v>
      </c>
      <c r="J91" t="s">
        <v>148</v>
      </c>
      <c r="K91" t="s">
        <v>23</v>
      </c>
      <c r="L91">
        <v>638</v>
      </c>
      <c r="M91" s="4">
        <v>37.403949400000002</v>
      </c>
      <c r="N91" s="4">
        <v>153.54089554738925</v>
      </c>
      <c r="O91" s="4">
        <v>-0.32620637824318338</v>
      </c>
      <c r="P91" s="1" t="str">
        <f>HYPERLINK(".\sm_car_260612_0028\sm_car_260612_0028_090_Ca237TrN_MaLSS_DrSt_ode23t.png","figure")</f>
        <v>figure</v>
      </c>
      <c r="Q91" t="s">
        <v>15</v>
      </c>
      <c r="R91" t="b">
        <f>B91='2024b_260221_0030'!B91</f>
        <v>1</v>
      </c>
      <c r="T91">
        <f>(L91-'2024b_260221_0030'!L91)</f>
        <v>18</v>
      </c>
      <c r="U91" s="12">
        <f>(L91-'2024b_260221_0030'!L91)/'2024b_260221_0030'!L91</f>
        <v>2.903225806451613E-2</v>
      </c>
      <c r="V91" s="4">
        <f>(M91-'2024b_260221_0030'!M91)</f>
        <v>7.8772492000000014</v>
      </c>
      <c r="W91" s="12">
        <f>(M91-'2024b_260221_0030'!M91)/'2024b_260221_0030'!M91</f>
        <v>0.26678393273353318</v>
      </c>
    </row>
    <row r="92" spans="1:23" x14ac:dyDescent="0.25">
      <c r="A92">
        <v>91</v>
      </c>
      <c r="B92">
        <v>238</v>
      </c>
      <c r="C92" t="s">
        <v>45</v>
      </c>
      <c r="D92" t="s">
        <v>17</v>
      </c>
      <c r="E92" t="s">
        <v>107</v>
      </c>
      <c r="F92" t="s">
        <v>19</v>
      </c>
      <c r="G92" t="s">
        <v>192</v>
      </c>
      <c r="H92" t="s">
        <v>21</v>
      </c>
      <c r="I92" t="s">
        <v>22</v>
      </c>
      <c r="J92" t="s">
        <v>148</v>
      </c>
      <c r="K92" t="s">
        <v>23</v>
      </c>
      <c r="L92">
        <v>757</v>
      </c>
      <c r="M92" s="4">
        <v>75.132927600000002</v>
      </c>
      <c r="N92" s="4">
        <v>402.48151769743004</v>
      </c>
      <c r="O92" s="4">
        <v>1.6075853227473038</v>
      </c>
      <c r="P92" s="1" t="str">
        <f>HYPERLINK(".\sm_car_260612_0028\sm_car_260612_0028_091_Ca238TrN_MaWOT_DrSt_ode23t.png","figure")</f>
        <v>figure</v>
      </c>
      <c r="Q92" t="s">
        <v>15</v>
      </c>
      <c r="R92" t="b">
        <f>B92='2024b_260221_0030'!B92</f>
        <v>1</v>
      </c>
      <c r="T92">
        <f>(L92-'2024b_260221_0030'!L92)</f>
        <v>17</v>
      </c>
      <c r="U92" s="12">
        <f>(L92-'2024b_260221_0030'!L92)/'2024b_260221_0030'!L92</f>
        <v>2.2972972972972974E-2</v>
      </c>
      <c r="V92" s="4">
        <f>(M92-'2024b_260221_0030'!M92)</f>
        <v>14.5428833</v>
      </c>
      <c r="W92" s="12">
        <f>(M92-'2024b_260221_0030'!M92)/'2024b_260221_0030'!M92</f>
        <v>0.24002100457285849</v>
      </c>
    </row>
    <row r="93" spans="1:23" x14ac:dyDescent="0.25">
      <c r="A93">
        <v>92</v>
      </c>
      <c r="B93">
        <v>238</v>
      </c>
      <c r="C93" t="s">
        <v>45</v>
      </c>
      <c r="D93" t="s">
        <v>17</v>
      </c>
      <c r="E93" t="s">
        <v>107</v>
      </c>
      <c r="F93" t="s">
        <v>19</v>
      </c>
      <c r="G93" t="s">
        <v>192</v>
      </c>
      <c r="H93" t="s">
        <v>21</v>
      </c>
      <c r="I93" t="s">
        <v>24</v>
      </c>
      <c r="J93" t="s">
        <v>148</v>
      </c>
      <c r="K93" t="s">
        <v>23</v>
      </c>
      <c r="L93">
        <v>687</v>
      </c>
      <c r="M93" s="4">
        <v>49.2478056</v>
      </c>
      <c r="N93" s="4">
        <v>153.4199141473139</v>
      </c>
      <c r="O93" s="4">
        <v>-0.33874142711501382</v>
      </c>
      <c r="P93" s="1" t="str">
        <f>HYPERLINK(".\sm_car_260612_0028\sm_car_260612_0028_092_Ca238TrN_MaLSS_DrSt_ode23t.png","figure")</f>
        <v>figure</v>
      </c>
      <c r="Q93" t="s">
        <v>15</v>
      </c>
      <c r="R93" t="b">
        <f>B93='2024b_260221_0030'!B93</f>
        <v>1</v>
      </c>
      <c r="T93">
        <f>(L93-'2024b_260221_0030'!L93)</f>
        <v>1</v>
      </c>
      <c r="U93" s="12">
        <f>(L93-'2024b_260221_0030'!L93)/'2024b_260221_0030'!L93</f>
        <v>1.4577259475218659E-3</v>
      </c>
      <c r="V93" s="4">
        <f>(M93-'2024b_260221_0030'!M93)</f>
        <v>12.936871199999999</v>
      </c>
      <c r="W93" s="12">
        <f>(M93-'2024b_260221_0030'!M93)/'2024b_260221_0030'!M93</f>
        <v>0.356280316487807</v>
      </c>
    </row>
    <row r="94" spans="1:23" x14ac:dyDescent="0.25">
      <c r="A94">
        <v>93</v>
      </c>
      <c r="B94">
        <v>8</v>
      </c>
      <c r="C94" t="s">
        <v>16</v>
      </c>
      <c r="D94" t="s">
        <v>17</v>
      </c>
      <c r="E94" t="s">
        <v>49</v>
      </c>
      <c r="F94" t="s">
        <v>19</v>
      </c>
      <c r="G94" t="s">
        <v>188</v>
      </c>
      <c r="H94" t="s">
        <v>21</v>
      </c>
      <c r="I94" t="s">
        <v>22</v>
      </c>
      <c r="J94" t="s">
        <v>148</v>
      </c>
      <c r="K94" t="s">
        <v>23</v>
      </c>
      <c r="L94">
        <v>382</v>
      </c>
      <c r="M94" s="4">
        <v>13.6553805</v>
      </c>
      <c r="N94" s="4">
        <v>229.86289638092822</v>
      </c>
      <c r="O94" s="4">
        <v>-8.6453136492681461E-3</v>
      </c>
      <c r="P94" s="1" t="str">
        <f>HYPERLINK(".\sm_car_260612_0028\sm_car_260612_0028_093_Ca008TrN_MaWOT_DrSt_ode23t_1.png","figure")</f>
        <v>figure</v>
      </c>
      <c r="Q94" t="s">
        <v>15</v>
      </c>
      <c r="R94" t="b">
        <f>B94='2024b_260221_0030'!B94</f>
        <v>1</v>
      </c>
      <c r="T94">
        <f>(L94-'2024b_260221_0030'!L94)</f>
        <v>0</v>
      </c>
      <c r="U94" s="12">
        <f>(L94-'2024b_260221_0030'!L94)/'2024b_260221_0030'!L94</f>
        <v>0</v>
      </c>
      <c r="V94" s="4">
        <f>(M94-'2024b_260221_0030'!M94)</f>
        <v>2.9717795000000002</v>
      </c>
      <c r="W94" s="12">
        <f>(M94-'2024b_260221_0030'!M94)/'2024b_260221_0030'!M94</f>
        <v>0.27816271873125931</v>
      </c>
    </row>
    <row r="95" spans="1:23" x14ac:dyDescent="0.25">
      <c r="A95">
        <v>94</v>
      </c>
      <c r="B95">
        <v>8</v>
      </c>
      <c r="C95" t="s">
        <v>16</v>
      </c>
      <c r="D95" t="s">
        <v>17</v>
      </c>
      <c r="E95" t="s">
        <v>49</v>
      </c>
      <c r="F95" t="s">
        <v>19</v>
      </c>
      <c r="G95" t="s">
        <v>188</v>
      </c>
      <c r="H95" t="s">
        <v>21</v>
      </c>
      <c r="I95" t="s">
        <v>24</v>
      </c>
      <c r="J95" t="s">
        <v>148</v>
      </c>
      <c r="K95" t="s">
        <v>23</v>
      </c>
      <c r="L95">
        <v>542</v>
      </c>
      <c r="M95" s="4">
        <v>15.648077900000001</v>
      </c>
      <c r="N95" s="4">
        <v>70.879575559165261</v>
      </c>
      <c r="O95" s="4">
        <v>-0.53202774463117308</v>
      </c>
      <c r="P95" s="1" t="str">
        <f>HYPERLINK(".\sm_car_260612_0028\sm_car_260612_0028_094_Ca008TrN_MaLSS_DrSt_ode23t_1.png","figure")</f>
        <v>figure</v>
      </c>
      <c r="Q95" t="s">
        <v>15</v>
      </c>
      <c r="R95" t="b">
        <f>B95='2024b_260221_0030'!B95</f>
        <v>1</v>
      </c>
      <c r="T95">
        <f>(L95-'2024b_260221_0030'!L95)</f>
        <v>0</v>
      </c>
      <c r="U95" s="12">
        <f>(L95-'2024b_260221_0030'!L95)/'2024b_260221_0030'!L95</f>
        <v>0</v>
      </c>
      <c r="V95" s="4">
        <f>(M95-'2024b_260221_0030'!M95)</f>
        <v>2.9327304000000005</v>
      </c>
      <c r="W95" s="12">
        <f>(M95-'2024b_260221_0030'!M95)/'2024b_260221_0030'!M95</f>
        <v>0.23064492732109765</v>
      </c>
    </row>
    <row r="96" spans="1:23" x14ac:dyDescent="0.25">
      <c r="A96">
        <v>95</v>
      </c>
      <c r="B96">
        <v>13</v>
      </c>
      <c r="C96" t="s">
        <v>16</v>
      </c>
      <c r="D96" t="s">
        <v>17</v>
      </c>
      <c r="E96" t="s">
        <v>49</v>
      </c>
      <c r="F96" t="s">
        <v>28</v>
      </c>
      <c r="G96" t="s">
        <v>188</v>
      </c>
      <c r="H96" t="s">
        <v>21</v>
      </c>
      <c r="I96" t="s">
        <v>22</v>
      </c>
      <c r="J96" t="s">
        <v>148</v>
      </c>
      <c r="K96" t="s">
        <v>23</v>
      </c>
      <c r="L96">
        <v>843</v>
      </c>
      <c r="M96" s="4">
        <v>16.325364700000002</v>
      </c>
      <c r="N96" s="4">
        <v>229.05796620157668</v>
      </c>
      <c r="O96" s="4">
        <v>-1.6647626575770888E-2</v>
      </c>
      <c r="P96" s="1" t="str">
        <f>HYPERLINK(".\sm_car_260612_0028\sm_car_260612_0028_095_Ca013TrN_MaWOT_DrSt_ode23t_1.png","figure")</f>
        <v>figure</v>
      </c>
      <c r="Q96" t="s">
        <v>15</v>
      </c>
      <c r="R96" t="b">
        <f>B96='2024b_260221_0030'!B96</f>
        <v>1</v>
      </c>
      <c r="T96">
        <f>(L96-'2024b_260221_0030'!L96)</f>
        <v>-13</v>
      </c>
      <c r="U96" s="12">
        <f>(L96-'2024b_260221_0030'!L96)/'2024b_260221_0030'!L96</f>
        <v>-1.5186915887850467E-2</v>
      </c>
      <c r="V96" s="4">
        <f>(M96-'2024b_260221_0030'!M96)</f>
        <v>1.5941813000000007</v>
      </c>
      <c r="W96" s="12">
        <f>(M96-'2024b_260221_0030'!M96)/'2024b_260221_0030'!M96</f>
        <v>0.10821814220302224</v>
      </c>
    </row>
    <row r="97" spans="1:23" x14ac:dyDescent="0.25">
      <c r="A97">
        <v>96</v>
      </c>
      <c r="B97">
        <v>13</v>
      </c>
      <c r="C97" t="s">
        <v>16</v>
      </c>
      <c r="D97" t="s">
        <v>17</v>
      </c>
      <c r="E97" t="s">
        <v>49</v>
      </c>
      <c r="F97" t="s">
        <v>28</v>
      </c>
      <c r="G97" t="s">
        <v>188</v>
      </c>
      <c r="H97" t="s">
        <v>21</v>
      </c>
      <c r="I97" t="s">
        <v>24</v>
      </c>
      <c r="J97" t="s">
        <v>148</v>
      </c>
      <c r="K97" t="s">
        <v>23</v>
      </c>
      <c r="L97">
        <v>971</v>
      </c>
      <c r="M97" s="4">
        <v>17.907113599999999</v>
      </c>
      <c r="N97" s="4">
        <v>70.59066544753442</v>
      </c>
      <c r="O97" s="4">
        <v>-0.53332694105024181</v>
      </c>
      <c r="P97" s="1" t="str">
        <f>HYPERLINK(".\sm_car_260612_0028\sm_car_260612_0028_096_Ca013TrN_MaLSS_DrSt_ode23t_1.png","figure")</f>
        <v>figure</v>
      </c>
      <c r="Q97" t="s">
        <v>15</v>
      </c>
      <c r="R97" t="b">
        <f>B97='2024b_260221_0030'!B97</f>
        <v>1</v>
      </c>
      <c r="T97">
        <f>(L97-'2024b_260221_0030'!L97)</f>
        <v>-36</v>
      </c>
      <c r="U97" s="12">
        <f>(L97-'2024b_260221_0030'!L97)/'2024b_260221_0030'!L97</f>
        <v>-3.5749751737835157E-2</v>
      </c>
      <c r="V97" s="4">
        <f>(M97-'2024b_260221_0030'!M97)</f>
        <v>0.92844900000000052</v>
      </c>
      <c r="W97" s="12">
        <f>(M97-'2024b_260221_0030'!M97)/'2024b_260221_0030'!M97</f>
        <v>5.4683275856689022E-2</v>
      </c>
    </row>
    <row r="98" spans="1:23" x14ac:dyDescent="0.25">
      <c r="A98">
        <v>97</v>
      </c>
      <c r="B98">
        <v>120</v>
      </c>
      <c r="C98" t="s">
        <v>16</v>
      </c>
      <c r="D98" t="s">
        <v>35</v>
      </c>
      <c r="E98" t="s">
        <v>49</v>
      </c>
      <c r="F98" t="s">
        <v>19</v>
      </c>
      <c r="G98" t="s">
        <v>188</v>
      </c>
      <c r="H98" t="s">
        <v>21</v>
      </c>
      <c r="I98" t="s">
        <v>22</v>
      </c>
      <c r="J98" t="s">
        <v>148</v>
      </c>
      <c r="K98" t="s">
        <v>23</v>
      </c>
      <c r="L98">
        <v>384</v>
      </c>
      <c r="M98" s="4">
        <v>4.7219151000000004</v>
      </c>
      <c r="N98" s="4">
        <v>242.68444453743314</v>
      </c>
      <c r="O98" s="4">
        <v>0.23487762924843852</v>
      </c>
      <c r="P98" s="1" t="str">
        <f>HYPERLINK(".\sm_car_260612_0028\sm_car_260612_0028_097_Ca120TrN_MaWOT_DrSt_ode23t_1.png","figure")</f>
        <v>figure</v>
      </c>
      <c r="Q98" t="s">
        <v>15</v>
      </c>
      <c r="R98" t="b">
        <f>B98='2024b_260221_0030'!B98</f>
        <v>1</v>
      </c>
      <c r="T98">
        <f>(L98-'2024b_260221_0030'!L98)</f>
        <v>-6</v>
      </c>
      <c r="U98" s="12">
        <f>(L98-'2024b_260221_0030'!L98)/'2024b_260221_0030'!L98</f>
        <v>-1.5384615384615385E-2</v>
      </c>
      <c r="V98" s="4">
        <f>(M98-'2024b_260221_0030'!M98)</f>
        <v>0.89307230000000049</v>
      </c>
      <c r="W98" s="12">
        <f>(M98-'2024b_260221_0030'!M98)/'2024b_260221_0030'!M98</f>
        <v>0.23324862018362325</v>
      </c>
    </row>
    <row r="99" spans="1:23" x14ac:dyDescent="0.25">
      <c r="A99">
        <v>98</v>
      </c>
      <c r="B99">
        <v>120</v>
      </c>
      <c r="C99" t="s">
        <v>16</v>
      </c>
      <c r="D99" t="s">
        <v>35</v>
      </c>
      <c r="E99" t="s">
        <v>49</v>
      </c>
      <c r="F99" t="s">
        <v>19</v>
      </c>
      <c r="G99" t="s">
        <v>188</v>
      </c>
      <c r="H99" t="s">
        <v>21</v>
      </c>
      <c r="I99" t="s">
        <v>24</v>
      </c>
      <c r="J99" t="s">
        <v>148</v>
      </c>
      <c r="K99" t="s">
        <v>23</v>
      </c>
      <c r="L99">
        <v>504</v>
      </c>
      <c r="M99" s="4">
        <v>5.3811147000000004</v>
      </c>
      <c r="N99" s="4">
        <v>74.678837977136325</v>
      </c>
      <c r="O99" s="4">
        <v>-0.33436064416935024</v>
      </c>
      <c r="P99" s="1" t="str">
        <f>HYPERLINK(".\sm_car_260612_0028\sm_car_260612_0028_098_Ca120TrN_MaLSS_DrSt_ode23t_1.png","figure")</f>
        <v>figure</v>
      </c>
      <c r="Q99" t="s">
        <v>15</v>
      </c>
      <c r="R99" t="b">
        <f>B99='2024b_260221_0030'!B99</f>
        <v>1</v>
      </c>
      <c r="T99">
        <f>(L99-'2024b_260221_0030'!L99)</f>
        <v>-6</v>
      </c>
      <c r="U99" s="12">
        <f>(L99-'2024b_260221_0030'!L99)/'2024b_260221_0030'!L99</f>
        <v>-1.1764705882352941E-2</v>
      </c>
      <c r="V99" s="4">
        <f>(M99-'2024b_260221_0030'!M99)</f>
        <v>0.69985580000000081</v>
      </c>
      <c r="W99" s="12">
        <f>(M99-'2024b_260221_0030'!M99)/'2024b_260221_0030'!M99</f>
        <v>0.14950162230933239</v>
      </c>
    </row>
    <row r="100" spans="1:23" x14ac:dyDescent="0.25">
      <c r="A100">
        <v>99</v>
      </c>
      <c r="B100">
        <v>126</v>
      </c>
      <c r="C100" t="s">
        <v>16</v>
      </c>
      <c r="D100" t="s">
        <v>35</v>
      </c>
      <c r="E100" t="s">
        <v>49</v>
      </c>
      <c r="F100" t="s">
        <v>28</v>
      </c>
      <c r="G100" t="s">
        <v>188</v>
      </c>
      <c r="H100" t="s">
        <v>21</v>
      </c>
      <c r="I100" t="s">
        <v>22</v>
      </c>
      <c r="J100" t="s">
        <v>148</v>
      </c>
      <c r="K100" t="s">
        <v>23</v>
      </c>
      <c r="L100">
        <v>998</v>
      </c>
      <c r="M100" s="4">
        <v>7.3543843999999998</v>
      </c>
      <c r="N100" s="4">
        <v>241.45312859246144</v>
      </c>
      <c r="O100" s="4">
        <v>0.23236989862841209</v>
      </c>
      <c r="P100" s="1" t="str">
        <f>HYPERLINK(".\sm_car_260612_0028\sm_car_260612_0028_099_Ca126TrN_MaWOT_DrSt_ode23t_1.png","figure")</f>
        <v>figure</v>
      </c>
      <c r="Q100" t="s">
        <v>15</v>
      </c>
      <c r="R100" t="b">
        <f>B100='2024b_260221_0030'!B100</f>
        <v>1</v>
      </c>
      <c r="T100">
        <f>(L100-'2024b_260221_0030'!L100)</f>
        <v>4</v>
      </c>
      <c r="U100" s="12">
        <f>(L100-'2024b_260221_0030'!L100)/'2024b_260221_0030'!L100</f>
        <v>4.0241448692152921E-3</v>
      </c>
      <c r="V100" s="4">
        <f>(M100-'2024b_260221_0030'!M100)</f>
        <v>1.2570537999999996</v>
      </c>
      <c r="W100" s="12">
        <f>(M100-'2024b_260221_0030'!M100)/'2024b_260221_0030'!M100</f>
        <v>0.20616461242892087</v>
      </c>
    </row>
    <row r="101" spans="1:23" x14ac:dyDescent="0.25">
      <c r="A101">
        <v>100</v>
      </c>
      <c r="B101">
        <v>126</v>
      </c>
      <c r="C101" t="s">
        <v>16</v>
      </c>
      <c r="D101" t="s">
        <v>35</v>
      </c>
      <c r="E101" t="s">
        <v>49</v>
      </c>
      <c r="F101" t="s">
        <v>28</v>
      </c>
      <c r="G101" t="s">
        <v>188</v>
      </c>
      <c r="H101" t="s">
        <v>21</v>
      </c>
      <c r="I101" t="s">
        <v>24</v>
      </c>
      <c r="J101" t="s">
        <v>148</v>
      </c>
      <c r="K101" t="s">
        <v>23</v>
      </c>
      <c r="L101">
        <v>1120</v>
      </c>
      <c r="M101" s="4">
        <v>7.9175744999999997</v>
      </c>
      <c r="N101" s="4">
        <v>74.345131766626565</v>
      </c>
      <c r="O101" s="4">
        <v>-0.33644973815343654</v>
      </c>
      <c r="P101" s="1" t="str">
        <f>HYPERLINK(".\sm_car_260612_0028\sm_car_260612_0028_100_Ca126TrN_MaLSS_DrSt_ode23t_1.png","figure")</f>
        <v>figure</v>
      </c>
      <c r="Q101" t="s">
        <v>15</v>
      </c>
      <c r="R101" t="b">
        <f>B101='2024b_260221_0030'!B101</f>
        <v>1</v>
      </c>
      <c r="T101">
        <f>(L101-'2024b_260221_0030'!L101)</f>
        <v>-6</v>
      </c>
      <c r="U101" s="12">
        <f>(L101-'2024b_260221_0030'!L101)/'2024b_260221_0030'!L101</f>
        <v>-5.3285968028419185E-3</v>
      </c>
      <c r="V101" s="4">
        <f>(M101-'2024b_260221_0030'!M101)</f>
        <v>1.4421739999999996</v>
      </c>
      <c r="W101" s="12">
        <f>(M101-'2024b_260221_0030'!M101)/'2024b_260221_0030'!M101</f>
        <v>0.22271579958645021</v>
      </c>
    </row>
    <row r="102" spans="1:23" x14ac:dyDescent="0.25">
      <c r="A102">
        <v>101</v>
      </c>
      <c r="B102">
        <v>127</v>
      </c>
      <c r="C102" t="s">
        <v>16</v>
      </c>
      <c r="D102" t="s">
        <v>35</v>
      </c>
      <c r="E102" t="s">
        <v>49</v>
      </c>
      <c r="F102" t="s">
        <v>28</v>
      </c>
      <c r="G102" t="s">
        <v>188</v>
      </c>
      <c r="H102" t="s">
        <v>21</v>
      </c>
      <c r="I102" t="s">
        <v>22</v>
      </c>
      <c r="J102" t="s">
        <v>148</v>
      </c>
      <c r="K102" t="s">
        <v>23</v>
      </c>
      <c r="L102">
        <v>1040</v>
      </c>
      <c r="M102" s="4">
        <v>7.9020495999999998</v>
      </c>
      <c r="N102" s="4">
        <v>240.9927305592324</v>
      </c>
      <c r="O102" s="4">
        <v>0.23078792246653734</v>
      </c>
      <c r="P102" s="1" t="str">
        <f>HYPERLINK(".\sm_car_260612_0028\sm_car_260612_0028_101_Ca127TrN_MaWOT_DrSt_ode23t_1.png","figure")</f>
        <v>figure</v>
      </c>
      <c r="Q102" t="s">
        <v>15</v>
      </c>
      <c r="R102" t="b">
        <f>B102='2024b_260221_0030'!B102</f>
        <v>1</v>
      </c>
      <c r="T102">
        <f>(L102-'2024b_260221_0030'!L102)</f>
        <v>-1</v>
      </c>
      <c r="U102" s="12">
        <f>(L102-'2024b_260221_0030'!L102)/'2024b_260221_0030'!L102</f>
        <v>-9.6061479346781938E-4</v>
      </c>
      <c r="V102" s="4">
        <f>(M102-'2024b_260221_0030'!M102)</f>
        <v>1.808662</v>
      </c>
      <c r="W102" s="12">
        <f>(M102-'2024b_260221_0030'!M102)/'2024b_260221_0030'!M102</f>
        <v>0.29682372413007174</v>
      </c>
    </row>
    <row r="103" spans="1:23" x14ac:dyDescent="0.25">
      <c r="A103">
        <v>102</v>
      </c>
      <c r="B103">
        <v>127</v>
      </c>
      <c r="C103" t="s">
        <v>16</v>
      </c>
      <c r="D103" t="s">
        <v>35</v>
      </c>
      <c r="E103" t="s">
        <v>49</v>
      </c>
      <c r="F103" t="s">
        <v>28</v>
      </c>
      <c r="G103" t="s">
        <v>188</v>
      </c>
      <c r="H103" t="s">
        <v>21</v>
      </c>
      <c r="I103" t="s">
        <v>24</v>
      </c>
      <c r="J103" t="s">
        <v>148</v>
      </c>
      <c r="K103" t="s">
        <v>23</v>
      </c>
      <c r="L103">
        <v>1179</v>
      </c>
      <c r="M103" s="4">
        <v>8.7080836999999995</v>
      </c>
      <c r="N103" s="4">
        <v>74.199028233709242</v>
      </c>
      <c r="O103" s="4">
        <v>-0.33556345310235797</v>
      </c>
      <c r="P103" s="1" t="str">
        <f>HYPERLINK(".\sm_car_260612_0028\sm_car_260612_0028_102_Ca127TrN_MaLSS_DrSt_ode23t_1.png","figure")</f>
        <v>figure</v>
      </c>
      <c r="Q103" t="s">
        <v>15</v>
      </c>
      <c r="R103" t="b">
        <f>B103='2024b_260221_0030'!B103</f>
        <v>1</v>
      </c>
      <c r="T103">
        <f>(L103-'2024b_260221_0030'!L103)</f>
        <v>19</v>
      </c>
      <c r="U103" s="12">
        <f>(L103-'2024b_260221_0030'!L103)/'2024b_260221_0030'!L103</f>
        <v>1.6379310344827588E-2</v>
      </c>
      <c r="V103" s="4">
        <f>(M103-'2024b_260221_0030'!M103)</f>
        <v>1.5148347999999991</v>
      </c>
      <c r="W103" s="12">
        <f>(M103-'2024b_260221_0030'!M103)/'2024b_260221_0030'!M103</f>
        <v>0.21059118363052876</v>
      </c>
    </row>
    <row r="104" spans="1:23" x14ac:dyDescent="0.25">
      <c r="A104">
        <v>103</v>
      </c>
      <c r="B104">
        <v>145</v>
      </c>
      <c r="C104" t="s">
        <v>46</v>
      </c>
      <c r="D104" t="s">
        <v>17</v>
      </c>
      <c r="E104" t="s">
        <v>50</v>
      </c>
      <c r="F104" t="s">
        <v>19</v>
      </c>
      <c r="G104" t="s">
        <v>26</v>
      </c>
      <c r="H104" t="s">
        <v>21</v>
      </c>
      <c r="I104" t="s">
        <v>22</v>
      </c>
      <c r="J104" t="s">
        <v>148</v>
      </c>
      <c r="K104" t="s">
        <v>23</v>
      </c>
      <c r="L104">
        <v>353</v>
      </c>
      <c r="M104" s="4">
        <v>17.918479900000001</v>
      </c>
      <c r="N104" s="4">
        <v>62.399080719229602</v>
      </c>
      <c r="O104" s="4">
        <v>1.9098261566904209E-2</v>
      </c>
      <c r="P104" s="1" t="str">
        <f>HYPERLINK(".\sm_car_260612_0028\sm_car_260612_0028_103_Ca145TrN_MaWOT_DrSt_ode23t_1.png","figure")</f>
        <v>figure</v>
      </c>
      <c r="Q104" t="s">
        <v>15</v>
      </c>
      <c r="R104" t="b">
        <f>B104='2024b_260221_0030'!B104</f>
        <v>1</v>
      </c>
      <c r="T104">
        <f>(L104-'2024b_260221_0030'!L104)</f>
        <v>0</v>
      </c>
      <c r="U104" s="12">
        <f>(L104-'2024b_260221_0030'!L104)/'2024b_260221_0030'!L104</f>
        <v>0</v>
      </c>
      <c r="V104" s="4">
        <f>(M104-'2024b_260221_0030'!M104)</f>
        <v>3.5084661000000015</v>
      </c>
      <c r="W104" s="12">
        <f>(M104-'2024b_260221_0030'!M104)/'2024b_260221_0030'!M104</f>
        <v>0.24347416655492735</v>
      </c>
    </row>
    <row r="105" spans="1:23" x14ac:dyDescent="0.25">
      <c r="A105">
        <v>104</v>
      </c>
      <c r="B105">
        <v>145</v>
      </c>
      <c r="C105" t="s">
        <v>46</v>
      </c>
      <c r="D105" t="s">
        <v>17</v>
      </c>
      <c r="E105" t="s">
        <v>50</v>
      </c>
      <c r="F105" t="s">
        <v>19</v>
      </c>
      <c r="G105" t="s">
        <v>26</v>
      </c>
      <c r="H105" t="s">
        <v>21</v>
      </c>
      <c r="I105" t="s">
        <v>24</v>
      </c>
      <c r="J105" t="s">
        <v>148</v>
      </c>
      <c r="K105" t="s">
        <v>23</v>
      </c>
      <c r="L105">
        <v>477</v>
      </c>
      <c r="M105" s="4">
        <v>23.570226399999999</v>
      </c>
      <c r="N105" s="4">
        <v>24.926902762877102</v>
      </c>
      <c r="O105" s="4">
        <v>-4.9659853639739363E-2</v>
      </c>
      <c r="P105" s="1" t="str">
        <f>HYPERLINK(".\sm_car_260612_0028\sm_car_260612_0028_104_Ca145TrN_MaLSS_DrSt_ode23t_1.png","figure")</f>
        <v>figure</v>
      </c>
      <c r="Q105" t="s">
        <v>15</v>
      </c>
      <c r="R105" t="b">
        <f>B105='2024b_260221_0030'!B105</f>
        <v>1</v>
      </c>
      <c r="T105">
        <f>(L105-'2024b_260221_0030'!L105)</f>
        <v>0</v>
      </c>
      <c r="U105" s="12">
        <f>(L105-'2024b_260221_0030'!L105)/'2024b_260221_0030'!L105</f>
        <v>0</v>
      </c>
      <c r="V105" s="4">
        <f>(M105-'2024b_260221_0030'!M105)</f>
        <v>3.8478782000000002</v>
      </c>
      <c r="W105" s="12">
        <f>(M105-'2024b_260221_0030'!M105)/'2024b_260221_0030'!M105</f>
        <v>0.19510243714285505</v>
      </c>
    </row>
    <row r="106" spans="1:23" x14ac:dyDescent="0.25">
      <c r="A106">
        <v>105</v>
      </c>
      <c r="B106">
        <v>184</v>
      </c>
      <c r="C106" t="s">
        <v>105</v>
      </c>
      <c r="D106" t="s">
        <v>120</v>
      </c>
      <c r="E106" t="s">
        <v>49</v>
      </c>
      <c r="F106" t="s">
        <v>19</v>
      </c>
      <c r="G106" t="s">
        <v>20</v>
      </c>
      <c r="H106" t="s">
        <v>21</v>
      </c>
      <c r="I106" t="s">
        <v>22</v>
      </c>
      <c r="J106" t="s">
        <v>148</v>
      </c>
      <c r="K106" t="s">
        <v>23</v>
      </c>
      <c r="L106">
        <v>291</v>
      </c>
      <c r="M106" s="4">
        <v>19.9092047</v>
      </c>
      <c r="N106" s="4">
        <v>294.74646973530611</v>
      </c>
      <c r="O106" s="4">
        <v>-1.4570427344742578E-4</v>
      </c>
      <c r="P106" s="1" t="str">
        <f>HYPERLINK(".\sm_car_260612_0028\sm_car_260612_0028_105_Ca184TrN_MaWOT_DrSt_ode23t_1.png","figure")</f>
        <v>figure</v>
      </c>
      <c r="Q106" t="s">
        <v>15</v>
      </c>
      <c r="R106" t="b">
        <f>B106='2024b_260221_0030'!B106</f>
        <v>1</v>
      </c>
      <c r="T106">
        <f>(L106-'2024b_260221_0030'!L106)</f>
        <v>-1</v>
      </c>
      <c r="U106" s="12">
        <f>(L106-'2024b_260221_0030'!L106)/'2024b_260221_0030'!L106</f>
        <v>-3.4246575342465752E-3</v>
      </c>
      <c r="V106" s="4">
        <f>(M106-'2024b_260221_0030'!M106)</f>
        <v>4.1938399000000004</v>
      </c>
      <c r="W106" s="12">
        <f>(M106-'2024b_260221_0030'!M106)/'2024b_260221_0030'!M106</f>
        <v>0.26686239571097964</v>
      </c>
    </row>
    <row r="107" spans="1:23" x14ac:dyDescent="0.25">
      <c r="A107">
        <v>106</v>
      </c>
      <c r="B107">
        <v>184</v>
      </c>
      <c r="C107" t="s">
        <v>105</v>
      </c>
      <c r="D107" t="s">
        <v>120</v>
      </c>
      <c r="E107" t="s">
        <v>49</v>
      </c>
      <c r="F107" t="s">
        <v>19</v>
      </c>
      <c r="G107" t="s">
        <v>20</v>
      </c>
      <c r="H107" t="s">
        <v>21</v>
      </c>
      <c r="I107" t="s">
        <v>24</v>
      </c>
      <c r="J107" t="s">
        <v>148</v>
      </c>
      <c r="K107" t="s">
        <v>23</v>
      </c>
      <c r="L107">
        <v>451</v>
      </c>
      <c r="M107" s="4">
        <v>16.5138347</v>
      </c>
      <c r="N107" s="4">
        <v>103.58507120162176</v>
      </c>
      <c r="O107" s="4">
        <v>-0.21171510350244102</v>
      </c>
      <c r="P107" s="1" t="str">
        <f>HYPERLINK(".\sm_car_260612_0028\sm_car_260612_0028_106_Ca184TrN_MaLSS_DrSt_ode23t_1.png","figure")</f>
        <v>figure</v>
      </c>
      <c r="Q107" t="s">
        <v>15</v>
      </c>
      <c r="R107" t="b">
        <f>B107='2024b_260221_0030'!B107</f>
        <v>1</v>
      </c>
      <c r="T107">
        <f>(L107-'2024b_260221_0030'!L107)</f>
        <v>-4</v>
      </c>
      <c r="U107" s="12">
        <f>(L107-'2024b_260221_0030'!L107)/'2024b_260221_0030'!L107</f>
        <v>-8.7912087912087912E-3</v>
      </c>
      <c r="V107" s="4">
        <f>(M107-'2024b_260221_0030'!M107)</f>
        <v>4.3742750000000008</v>
      </c>
      <c r="W107" s="12">
        <f>(M107-'2024b_260221_0030'!M107)/'2024b_260221_0030'!M107</f>
        <v>0.3603322614740303</v>
      </c>
    </row>
    <row r="108" spans="1:23" x14ac:dyDescent="0.25">
      <c r="A108">
        <v>107</v>
      </c>
      <c r="B108">
        <v>217</v>
      </c>
      <c r="C108" t="s">
        <v>45</v>
      </c>
      <c r="D108" t="s">
        <v>17</v>
      </c>
      <c r="E108" t="s">
        <v>107</v>
      </c>
      <c r="F108" t="s">
        <v>119</v>
      </c>
      <c r="G108" t="s">
        <v>26</v>
      </c>
      <c r="H108" t="s">
        <v>21</v>
      </c>
      <c r="I108" t="s">
        <v>22</v>
      </c>
      <c r="J108" t="s">
        <v>148</v>
      </c>
      <c r="K108" t="s">
        <v>23</v>
      </c>
      <c r="L108">
        <v>700</v>
      </c>
      <c r="M108" s="4">
        <v>36.358908900000003</v>
      </c>
      <c r="N108" s="4">
        <v>165.32909919008193</v>
      </c>
      <c r="O108" s="4">
        <v>0.26595782899636206</v>
      </c>
      <c r="P108" s="1" t="str">
        <f>HYPERLINK(".\sm_car_260612_0028\sm_car_260612_0028_107_Ca217TrN_MaWOT_DrSt_ode23t_1.png","figure")</f>
        <v>figure</v>
      </c>
      <c r="Q108" t="s">
        <v>15</v>
      </c>
      <c r="R108" t="b">
        <f>B108='2024b_260221_0030'!B108</f>
        <v>1</v>
      </c>
      <c r="T108">
        <f>(L108-'2024b_260221_0030'!L108)</f>
        <v>2</v>
      </c>
      <c r="U108" s="12">
        <f>(L108-'2024b_260221_0030'!L108)/'2024b_260221_0030'!L108</f>
        <v>2.8653295128939827E-3</v>
      </c>
      <c r="V108" s="4">
        <f>(M108-'2024b_260221_0030'!M108)</f>
        <v>5.6380352000000045</v>
      </c>
      <c r="W108" s="12">
        <f>(M108-'2024b_260221_0030'!M108)/'2024b_260221_0030'!M108</f>
        <v>0.18352457208923731</v>
      </c>
    </row>
    <row r="109" spans="1:23" x14ac:dyDescent="0.25">
      <c r="A109">
        <v>108</v>
      </c>
      <c r="B109">
        <v>217</v>
      </c>
      <c r="C109" t="s">
        <v>45</v>
      </c>
      <c r="D109" t="s">
        <v>17</v>
      </c>
      <c r="E109" t="s">
        <v>107</v>
      </c>
      <c r="F109" t="s">
        <v>119</v>
      </c>
      <c r="G109" t="s">
        <v>26</v>
      </c>
      <c r="H109" t="s">
        <v>21</v>
      </c>
      <c r="I109" t="s">
        <v>24</v>
      </c>
      <c r="J109" t="s">
        <v>148</v>
      </c>
      <c r="K109" t="s">
        <v>23</v>
      </c>
      <c r="L109">
        <v>822</v>
      </c>
      <c r="M109" s="4">
        <v>46.825548699999999</v>
      </c>
      <c r="N109" s="4">
        <v>69.531316392821338</v>
      </c>
      <c r="O109" s="4">
        <v>-0.18142050993403994</v>
      </c>
      <c r="P109" s="1" t="str">
        <f>HYPERLINK(".\sm_car_260612_0028\sm_car_260612_0028_108_Ca217TrN_MaLSS_DrSt_ode23t_1.png","figure")</f>
        <v>figure</v>
      </c>
      <c r="Q109" t="s">
        <v>15</v>
      </c>
      <c r="R109" t="b">
        <f>B109='2024b_260221_0030'!B109</f>
        <v>1</v>
      </c>
      <c r="T109">
        <f>(L109-'2024b_260221_0030'!L109)</f>
        <v>-27</v>
      </c>
      <c r="U109" s="12">
        <f>(L109-'2024b_260221_0030'!L109)/'2024b_260221_0030'!L109</f>
        <v>-3.1802120141342753E-2</v>
      </c>
      <c r="V109" s="4">
        <f>(M109-'2024b_260221_0030'!M109)</f>
        <v>5.3788730999999999</v>
      </c>
      <c r="W109" s="12">
        <f>(M109-'2024b_260221_0030'!M109)/'2024b_260221_0030'!M109</f>
        <v>0.12977815523520539</v>
      </c>
    </row>
    <row r="110" spans="1:23" x14ac:dyDescent="0.25">
      <c r="A110">
        <v>109</v>
      </c>
      <c r="B110">
        <v>12</v>
      </c>
      <c r="C110" t="s">
        <v>16</v>
      </c>
      <c r="D110" t="s">
        <v>17</v>
      </c>
      <c r="E110" t="s">
        <v>49</v>
      </c>
      <c r="F110" t="s">
        <v>28</v>
      </c>
      <c r="G110" t="s">
        <v>188</v>
      </c>
      <c r="H110" t="s">
        <v>21</v>
      </c>
      <c r="I110" t="s">
        <v>53</v>
      </c>
      <c r="J110" t="s">
        <v>148</v>
      </c>
      <c r="K110" t="s">
        <v>23</v>
      </c>
      <c r="L110">
        <v>858</v>
      </c>
      <c r="M110" s="4">
        <v>42.850221400000002</v>
      </c>
      <c r="N110" s="4">
        <v>255.40100459305967</v>
      </c>
      <c r="O110" s="4">
        <v>4.0184801809714621E-2</v>
      </c>
      <c r="P110" s="1" t="str">
        <f>HYPERLINK(".\sm_car_260612_0028\sm_car_260612_0028_109_Ca012TrN_MaDLC_DrSt_ode23t_1.png","figure")</f>
        <v>figure</v>
      </c>
      <c r="Q110" t="s">
        <v>15</v>
      </c>
      <c r="R110" t="b">
        <f>B110='2024b_260221_0030'!B110</f>
        <v>1</v>
      </c>
      <c r="T110">
        <f>(L110-'2024b_260221_0030'!L110)</f>
        <v>-1</v>
      </c>
      <c r="U110" s="12">
        <f>(L110-'2024b_260221_0030'!L110)/'2024b_260221_0030'!L110</f>
        <v>-1.1641443538998836E-3</v>
      </c>
      <c r="V110" s="4">
        <f>(M110-'2024b_260221_0030'!M110)</f>
        <v>31.287765200000003</v>
      </c>
      <c r="W110" s="12">
        <f>(M110-'2024b_260221_0030'!M110)/'2024b_260221_0030'!M110</f>
        <v>2.7059791327036553</v>
      </c>
    </row>
    <row r="111" spans="1:23" x14ac:dyDescent="0.25">
      <c r="A111">
        <v>110</v>
      </c>
      <c r="B111">
        <v>12</v>
      </c>
      <c r="C111" t="s">
        <v>16</v>
      </c>
      <c r="D111" t="s">
        <v>17</v>
      </c>
      <c r="E111" t="s">
        <v>49</v>
      </c>
      <c r="F111" t="s">
        <v>28</v>
      </c>
      <c r="G111" t="s">
        <v>188</v>
      </c>
      <c r="H111" t="s">
        <v>21</v>
      </c>
      <c r="I111" t="s">
        <v>54</v>
      </c>
      <c r="J111" t="s">
        <v>148</v>
      </c>
      <c r="K111" t="s">
        <v>23</v>
      </c>
      <c r="L111">
        <v>916</v>
      </c>
      <c r="M111" s="4">
        <v>26.251414</v>
      </c>
      <c r="N111" s="4">
        <v>74.404918415831432</v>
      </c>
      <c r="O111" s="4">
        <v>0.70231951516716529</v>
      </c>
      <c r="P111" s="1" t="str">
        <f>HYPERLINK(".\sm_car_260612_0028\sm_car_260612_0028_110_Ca012TrN_MaIPA_DrSt_ode23t_1.png","figure")</f>
        <v>figure</v>
      </c>
      <c r="Q111" t="s">
        <v>15</v>
      </c>
      <c r="R111" t="b">
        <f>B111='2024b_260221_0030'!B111</f>
        <v>1</v>
      </c>
      <c r="S111" s="6"/>
      <c r="T111">
        <f>(L111-'2024b_260221_0030'!L111)</f>
        <v>24</v>
      </c>
      <c r="U111" s="12">
        <f>(L111-'2024b_260221_0030'!L111)/'2024b_260221_0030'!L111</f>
        <v>2.6905829596412557E-2</v>
      </c>
      <c r="V111" s="4">
        <f>(M111-'2024b_260221_0030'!M111)</f>
        <v>11.906677200000001</v>
      </c>
      <c r="W111" s="12">
        <f>(M111-'2024b_260221_0030'!M111)/'2024b_260221_0030'!M111</f>
        <v>0.83003803875997229</v>
      </c>
    </row>
    <row r="112" spans="1:23" x14ac:dyDescent="0.25">
      <c r="A112">
        <v>111</v>
      </c>
      <c r="B112">
        <v>142</v>
      </c>
      <c r="C112" t="s">
        <v>45</v>
      </c>
      <c r="D112" t="s">
        <v>17</v>
      </c>
      <c r="E112" t="s">
        <v>49</v>
      </c>
      <c r="F112" t="s">
        <v>28</v>
      </c>
      <c r="G112" t="s">
        <v>26</v>
      </c>
      <c r="H112" t="s">
        <v>21</v>
      </c>
      <c r="I112" t="s">
        <v>53</v>
      </c>
      <c r="J112" t="s">
        <v>148</v>
      </c>
      <c r="K112" t="s">
        <v>23</v>
      </c>
      <c r="L112">
        <v>968</v>
      </c>
      <c r="M112" s="4">
        <v>43.661765500000001</v>
      </c>
      <c r="N112" s="4">
        <v>257.17290663651687</v>
      </c>
      <c r="O112" s="4">
        <v>-5.7871238420030835E-3</v>
      </c>
      <c r="P112" s="1" t="str">
        <f>HYPERLINK(".\sm_car_260612_0028\sm_car_260612_0028_111_Ca142TrN_MaDLC_DrSt_ode23t_1.png","figure")</f>
        <v>figure</v>
      </c>
      <c r="Q112" t="s">
        <v>15</v>
      </c>
      <c r="R112" t="b">
        <f>B112='2024b_260221_0030'!B112</f>
        <v>1</v>
      </c>
      <c r="T112">
        <f>(L112-'2024b_260221_0030'!L112)</f>
        <v>-2</v>
      </c>
      <c r="U112" s="12">
        <f>(L112-'2024b_260221_0030'!L112)/'2024b_260221_0030'!L112</f>
        <v>-2.0618556701030928E-3</v>
      </c>
      <c r="V112" s="4">
        <f>(M112-'2024b_260221_0030'!M112)</f>
        <v>27.705813599999999</v>
      </c>
      <c r="W112" s="12">
        <f>(M112-'2024b_260221_0030'!M112)/'2024b_260221_0030'!M112</f>
        <v>1.7363936525780075</v>
      </c>
    </row>
    <row r="113" spans="1:23" x14ac:dyDescent="0.25">
      <c r="A113">
        <v>112</v>
      </c>
      <c r="B113">
        <v>142</v>
      </c>
      <c r="C113" t="s">
        <v>45</v>
      </c>
      <c r="D113" t="s">
        <v>17</v>
      </c>
      <c r="E113" t="s">
        <v>49</v>
      </c>
      <c r="F113" t="s">
        <v>28</v>
      </c>
      <c r="G113" t="s">
        <v>26</v>
      </c>
      <c r="H113" t="s">
        <v>21</v>
      </c>
      <c r="I113" t="s">
        <v>54</v>
      </c>
      <c r="J113" t="s">
        <v>148</v>
      </c>
      <c r="K113" t="s">
        <v>23</v>
      </c>
      <c r="L113">
        <v>1324</v>
      </c>
      <c r="M113" s="4">
        <v>118.7205802</v>
      </c>
      <c r="N113" s="4">
        <v>82.585229111914657</v>
      </c>
      <c r="O113" s="4">
        <v>0.65404053716127442</v>
      </c>
      <c r="P113" s="1" t="str">
        <f>HYPERLINK(".\sm_car_260612_0028\sm_car_260612_0028_112_Ca142TrN_MaIPA_DrSt_ode23t_1.png","figure")</f>
        <v>figure</v>
      </c>
      <c r="Q113" t="s">
        <v>15</v>
      </c>
      <c r="R113" t="b">
        <f>B113='2024b_260221_0030'!B113</f>
        <v>1</v>
      </c>
      <c r="S113" s="6"/>
      <c r="T113">
        <f>(L113-'2024b_260221_0030'!L113)</f>
        <v>-1783</v>
      </c>
      <c r="U113" s="12">
        <f>(L113-'2024b_260221_0030'!L113)/'2024b_260221_0030'!L113</f>
        <v>-0.57386546507885416</v>
      </c>
      <c r="V113" s="4">
        <f>(M113-'2024b_260221_0030'!M113)</f>
        <v>-52.464026999999987</v>
      </c>
      <c r="W113" s="12">
        <f>(M113-'2024b_260221_0030'!M113)/'2024b_260221_0030'!M113</f>
        <v>-0.30647631149864268</v>
      </c>
    </row>
    <row r="114" spans="1:23" x14ac:dyDescent="0.25">
      <c r="A114">
        <v>113</v>
      </c>
      <c r="B114">
        <v>145</v>
      </c>
      <c r="C114" t="s">
        <v>46</v>
      </c>
      <c r="D114" t="s">
        <v>17</v>
      </c>
      <c r="E114" t="s">
        <v>50</v>
      </c>
      <c r="F114" t="s">
        <v>19</v>
      </c>
      <c r="G114" t="s">
        <v>26</v>
      </c>
      <c r="H114" t="s">
        <v>21</v>
      </c>
      <c r="I114" t="s">
        <v>53</v>
      </c>
      <c r="J114" t="s">
        <v>148</v>
      </c>
      <c r="K114" t="s">
        <v>23</v>
      </c>
      <c r="L114">
        <v>464</v>
      </c>
      <c r="M114" s="4">
        <v>29.677383500000001</v>
      </c>
      <c r="N114" s="4">
        <v>253.89788928119884</v>
      </c>
      <c r="O114" s="4">
        <v>7.4999592997252229E-2</v>
      </c>
      <c r="P114" s="1" t="str">
        <f>HYPERLINK(".\sm_car_260612_0028\sm_car_260612_0028_113_Ca145TrN_MaDLC_DrSt_ode23t_1.png","figure")</f>
        <v>figure</v>
      </c>
      <c r="Q114" t="s">
        <v>15</v>
      </c>
      <c r="R114" t="b">
        <f>B114='2024b_260221_0030'!B114</f>
        <v>1</v>
      </c>
      <c r="T114">
        <f>(L114-'2024b_260221_0030'!L114)</f>
        <v>0</v>
      </c>
      <c r="U114" s="12">
        <f>(L114-'2024b_260221_0030'!L114)/'2024b_260221_0030'!L114</f>
        <v>0</v>
      </c>
      <c r="V114" s="4">
        <f>(M114-'2024b_260221_0030'!M114)</f>
        <v>12.736989300000001</v>
      </c>
      <c r="W114" s="12">
        <f>(M114-'2024b_260221_0030'!M114)/'2024b_260221_0030'!M114</f>
        <v>0.75187089211890956</v>
      </c>
    </row>
    <row r="115" spans="1:23" x14ac:dyDescent="0.25">
      <c r="A115">
        <v>114</v>
      </c>
      <c r="B115">
        <v>145</v>
      </c>
      <c r="C115" t="s">
        <v>46</v>
      </c>
      <c r="D115" t="s">
        <v>17</v>
      </c>
      <c r="E115" t="s">
        <v>50</v>
      </c>
      <c r="F115" t="s">
        <v>19</v>
      </c>
      <c r="G115" t="s">
        <v>26</v>
      </c>
      <c r="H115" t="s">
        <v>21</v>
      </c>
      <c r="I115" t="s">
        <v>54</v>
      </c>
      <c r="J115" t="s">
        <v>148</v>
      </c>
      <c r="K115" t="s">
        <v>23</v>
      </c>
      <c r="L115">
        <v>307</v>
      </c>
      <c r="M115" s="4">
        <v>32.214610499999999</v>
      </c>
      <c r="N115" s="4">
        <v>27.998881334011159</v>
      </c>
      <c r="O115" s="4">
        <v>1.5718214641137665E-2</v>
      </c>
      <c r="P115" s="1" t="str">
        <f>HYPERLINK(".\sm_car_260612_0028\sm_car_260612_0028_114_Ca145TrN_MaIPA_DrSt_ode23t_1.png","figure")</f>
        <v>figure</v>
      </c>
      <c r="Q115" t="s">
        <v>15</v>
      </c>
      <c r="R115" t="b">
        <f>B115='2024b_260221_0030'!B115</f>
        <v>1</v>
      </c>
      <c r="S115" s="6"/>
      <c r="T115">
        <f>(L115-'2024b_260221_0030'!L115)</f>
        <v>0</v>
      </c>
      <c r="U115" s="12">
        <f>(L115-'2024b_260221_0030'!L115)/'2024b_260221_0030'!L115</f>
        <v>0</v>
      </c>
      <c r="V115" s="4">
        <f>(M115-'2024b_260221_0030'!M115)</f>
        <v>19.351821699999999</v>
      </c>
      <c r="W115" s="12">
        <f>(M115-'2024b_260221_0030'!M115)/'2024b_260221_0030'!M115</f>
        <v>1.5044810266961701</v>
      </c>
    </row>
    <row r="116" spans="1:23" x14ac:dyDescent="0.25">
      <c r="A116">
        <v>115</v>
      </c>
      <c r="B116">
        <v>184</v>
      </c>
      <c r="C116" t="s">
        <v>105</v>
      </c>
      <c r="D116" t="s">
        <v>120</v>
      </c>
      <c r="E116" t="s">
        <v>49</v>
      </c>
      <c r="F116" t="s">
        <v>19</v>
      </c>
      <c r="G116" t="s">
        <v>20</v>
      </c>
      <c r="H116" t="s">
        <v>21</v>
      </c>
      <c r="I116" t="s">
        <v>53</v>
      </c>
      <c r="J116" t="s">
        <v>148</v>
      </c>
      <c r="K116" t="s">
        <v>23</v>
      </c>
      <c r="L116">
        <v>383</v>
      </c>
      <c r="M116" s="4">
        <v>34.975087100000003</v>
      </c>
      <c r="N116" s="4">
        <v>253.56712213477283</v>
      </c>
      <c r="O116" s="4">
        <v>1.1316161180240591E-2</v>
      </c>
      <c r="P116" s="1" t="str">
        <f>HYPERLINK(".\sm_car_260612_0028\sm_car_260612_0028_115_Ca184TrN_MaDLC_DrSt_ode23t_1.png","figure")</f>
        <v>figure</v>
      </c>
      <c r="Q116" t="s">
        <v>15</v>
      </c>
      <c r="R116" t="b">
        <f>B116='2024b_260221_0030'!B116</f>
        <v>1</v>
      </c>
      <c r="T116">
        <f>(L116-'2024b_260221_0030'!L116)</f>
        <v>7</v>
      </c>
      <c r="U116" s="12">
        <f>(L116-'2024b_260221_0030'!L116)/'2024b_260221_0030'!L116</f>
        <v>1.8617021276595744E-2</v>
      </c>
      <c r="V116" s="4">
        <f>(M116-'2024b_260221_0030'!M116)</f>
        <v>23.499182600000005</v>
      </c>
      <c r="W116" s="12">
        <f>(M116-'2024b_260221_0030'!M116)/'2024b_260221_0030'!M116</f>
        <v>2.0476976433535157</v>
      </c>
    </row>
    <row r="117" spans="1:23" x14ac:dyDescent="0.25">
      <c r="A117">
        <v>116</v>
      </c>
      <c r="B117">
        <v>184</v>
      </c>
      <c r="C117" t="s">
        <v>105</v>
      </c>
      <c r="D117" t="s">
        <v>120</v>
      </c>
      <c r="E117" t="s">
        <v>49</v>
      </c>
      <c r="F117" t="s">
        <v>19</v>
      </c>
      <c r="G117" t="s">
        <v>20</v>
      </c>
      <c r="H117" t="s">
        <v>21</v>
      </c>
      <c r="I117" t="s">
        <v>54</v>
      </c>
      <c r="J117" t="s">
        <v>148</v>
      </c>
      <c r="K117" t="s">
        <v>23</v>
      </c>
      <c r="L117">
        <v>321</v>
      </c>
      <c r="M117" s="4">
        <v>39.896844700000003</v>
      </c>
      <c r="N117" s="4">
        <v>55.279528556092167</v>
      </c>
      <c r="O117" s="4">
        <v>6.5719118617946111E-3</v>
      </c>
      <c r="P117" s="1" t="str">
        <f>HYPERLINK(".\sm_car_260612_0028\sm_car_260612_0028_116_Ca184TrN_MaIPA_DrSt_ode23t_1.png","figure")</f>
        <v>figure</v>
      </c>
      <c r="Q117" t="s">
        <v>15</v>
      </c>
      <c r="R117" t="b">
        <f>B117='2024b_260221_0030'!B117</f>
        <v>1</v>
      </c>
      <c r="S117" s="6"/>
      <c r="T117">
        <f>(L117-'2024b_260221_0030'!L117)</f>
        <v>4</v>
      </c>
      <c r="U117" s="12">
        <f>(L117-'2024b_260221_0030'!L117)/'2024b_260221_0030'!L117</f>
        <v>1.2618296529968454E-2</v>
      </c>
      <c r="V117" s="4">
        <f>(M117-'2024b_260221_0030'!M117)</f>
        <v>25.708706800000002</v>
      </c>
      <c r="W117" s="12">
        <f>(M117-'2024b_260221_0030'!M117)/'2024b_260221_0030'!M117</f>
        <v>1.8119859689269022</v>
      </c>
    </row>
    <row r="118" spans="1:23" x14ac:dyDescent="0.25">
      <c r="A118">
        <v>117</v>
      </c>
      <c r="B118">
        <v>204</v>
      </c>
      <c r="C118" t="s">
        <v>105</v>
      </c>
      <c r="D118" t="s">
        <v>106</v>
      </c>
      <c r="E118" t="s">
        <v>18</v>
      </c>
      <c r="F118" t="s">
        <v>19</v>
      </c>
      <c r="G118" t="s">
        <v>20</v>
      </c>
      <c r="H118" t="s">
        <v>21</v>
      </c>
      <c r="I118" t="s">
        <v>53</v>
      </c>
      <c r="J118" t="s">
        <v>148</v>
      </c>
      <c r="K118" t="s">
        <v>23</v>
      </c>
      <c r="L118">
        <v>1828</v>
      </c>
      <c r="M118" s="4">
        <v>96.311866100000003</v>
      </c>
      <c r="N118" s="4">
        <v>254.41154763444962</v>
      </c>
      <c r="O118" s="4">
        <v>1.8567527511646809E-2</v>
      </c>
      <c r="P118" s="1" t="str">
        <f>HYPERLINK(".\sm_car_260612_0028\sm_car_260612_0028_117_Ca204TrN_MaDLC_DrSt_ode23t_1.png","figure")</f>
        <v>figure</v>
      </c>
      <c r="Q118" t="s">
        <v>15</v>
      </c>
      <c r="R118" t="b">
        <f>B118='2024b_260221_0030'!B118</f>
        <v>1</v>
      </c>
      <c r="T118">
        <f>(L118-'2024b_260221_0030'!L118)</f>
        <v>38</v>
      </c>
      <c r="U118" s="12">
        <f>(L118-'2024b_260221_0030'!L118)/'2024b_260221_0030'!L118</f>
        <v>2.1229050279329607E-2</v>
      </c>
      <c r="V118" s="4">
        <f>(M118-'2024b_260221_0030'!M118)</f>
        <v>68.179238999999995</v>
      </c>
      <c r="W118" s="12">
        <f>(M118-'2024b_260221_0030'!M118)/'2024b_260221_0030'!M118</f>
        <v>2.4234935030294413</v>
      </c>
    </row>
    <row r="119" spans="1:23" x14ac:dyDescent="0.25">
      <c r="A119">
        <v>118</v>
      </c>
      <c r="B119">
        <v>204</v>
      </c>
      <c r="C119" t="s">
        <v>105</v>
      </c>
      <c r="D119" t="s">
        <v>106</v>
      </c>
      <c r="E119" t="s">
        <v>18</v>
      </c>
      <c r="F119" t="s">
        <v>19</v>
      </c>
      <c r="G119" t="s">
        <v>20</v>
      </c>
      <c r="H119" t="s">
        <v>21</v>
      </c>
      <c r="I119" t="s">
        <v>54</v>
      </c>
      <c r="J119" t="s">
        <v>148</v>
      </c>
      <c r="K119" t="s">
        <v>23</v>
      </c>
      <c r="L119">
        <v>689</v>
      </c>
      <c r="M119" s="4">
        <v>27.322988500000001</v>
      </c>
      <c r="N119" s="4">
        <v>26.037122672845488</v>
      </c>
      <c r="O119" s="4">
        <v>9.6389907040024796E-3</v>
      </c>
      <c r="P119" s="1" t="str">
        <f>HYPERLINK(".\sm_car_260612_0028\sm_car_260612_0028_118_Ca204TrN_MaIPA_DrSt_ode23t_1.png","figure")</f>
        <v>figure</v>
      </c>
      <c r="Q119" t="s">
        <v>15</v>
      </c>
      <c r="R119" t="b">
        <f>B119='2024b_260221_0030'!B119</f>
        <v>1</v>
      </c>
      <c r="S119" s="6"/>
      <c r="T119">
        <f>(L119-'2024b_260221_0030'!L119)</f>
        <v>-15</v>
      </c>
      <c r="U119" s="12">
        <f>(L119-'2024b_260221_0030'!L119)/'2024b_260221_0030'!L119</f>
        <v>-2.130681818181818E-2</v>
      </c>
      <c r="V119" s="4">
        <f>(M119-'2024b_260221_0030'!M119)</f>
        <v>13.568417500000001</v>
      </c>
      <c r="W119" s="12">
        <f>(M119-'2024b_260221_0030'!M119)/'2024b_260221_0030'!M119</f>
        <v>0.98646606280922899</v>
      </c>
    </row>
    <row r="120" spans="1:23" x14ac:dyDescent="0.25">
      <c r="A120">
        <v>119</v>
      </c>
      <c r="B120">
        <v>12</v>
      </c>
      <c r="C120" t="s">
        <v>16</v>
      </c>
      <c r="D120" t="s">
        <v>17</v>
      </c>
      <c r="E120" t="s">
        <v>49</v>
      </c>
      <c r="F120" t="s">
        <v>28</v>
      </c>
      <c r="G120" t="s">
        <v>188</v>
      </c>
      <c r="H120" t="s">
        <v>21</v>
      </c>
      <c r="I120" t="s">
        <v>55</v>
      </c>
      <c r="J120" t="s">
        <v>148</v>
      </c>
      <c r="K120" t="s">
        <v>23</v>
      </c>
      <c r="L120">
        <v>2594</v>
      </c>
      <c r="M120" s="4">
        <v>29.982253400000001</v>
      </c>
      <c r="N120" s="4">
        <v>-2.1171440658034377E-2</v>
      </c>
      <c r="O120" s="4">
        <v>-0.64586818268630974</v>
      </c>
      <c r="P120" s="1" t="str">
        <f>HYPERLINK(".\sm_car_260612_0028\sm_car_260612_0028_119_Ca012TrN_MaMPK_DrSt_ode23t_1.png","figure")</f>
        <v>figure</v>
      </c>
      <c r="Q120" t="s">
        <v>15</v>
      </c>
      <c r="R120" t="b">
        <f>B120='2024b_260221_0030'!B120</f>
        <v>1</v>
      </c>
      <c r="T120">
        <f>(L120-'2024b_260221_0030'!L120)</f>
        <v>15</v>
      </c>
      <c r="U120" s="12">
        <f>(L120-'2024b_260221_0030'!L120)/'2024b_260221_0030'!L120</f>
        <v>5.8162078324932144E-3</v>
      </c>
      <c r="V120" s="4">
        <f>(M120-'2024b_260221_0030'!M120)</f>
        <v>2.9684257000000009</v>
      </c>
      <c r="W120" s="12">
        <f>(M120-'2024b_260221_0030'!M120)/'2024b_260221_0030'!M120</f>
        <v>0.1098854162011258</v>
      </c>
    </row>
    <row r="121" spans="1:23" x14ac:dyDescent="0.25">
      <c r="A121">
        <v>120</v>
      </c>
      <c r="B121">
        <v>12</v>
      </c>
      <c r="C121" t="s">
        <v>16</v>
      </c>
      <c r="D121" t="s">
        <v>17</v>
      </c>
      <c r="E121" t="s">
        <v>49</v>
      </c>
      <c r="F121" t="s">
        <v>28</v>
      </c>
      <c r="G121" t="s">
        <v>188</v>
      </c>
      <c r="H121" t="s">
        <v>21</v>
      </c>
      <c r="I121" t="s">
        <v>55</v>
      </c>
      <c r="J121" t="s">
        <v>149</v>
      </c>
      <c r="K121" t="s">
        <v>23</v>
      </c>
      <c r="L121">
        <v>2397</v>
      </c>
      <c r="M121" s="4">
        <v>31.754243800000001</v>
      </c>
      <c r="N121" s="4">
        <v>-7.8143925396163272E-3</v>
      </c>
      <c r="O121" s="4">
        <v>-3.7985193133890358E-2</v>
      </c>
      <c r="P121" s="1" t="str">
        <f>HYPERLINK(".\sm_car_260612_0028\sm_car_260612_0028_120_Ca012TrN_MaMPK_DrSt_ode23t_1.png","figure")</f>
        <v>figure</v>
      </c>
      <c r="Q121" t="s">
        <v>15</v>
      </c>
      <c r="R121" t="b">
        <f>B121='2024b_260221_0030'!B121</f>
        <v>1</v>
      </c>
      <c r="T121">
        <f>(L121-'2024b_260221_0030'!L121)</f>
        <v>-4</v>
      </c>
      <c r="U121" s="12">
        <f>(L121-'2024b_260221_0030'!L121)/'2024b_260221_0030'!L121</f>
        <v>-1.6659725114535611E-3</v>
      </c>
      <c r="V121" s="4">
        <f>(M121-'2024b_260221_0030'!M121)</f>
        <v>6.357846600000002</v>
      </c>
      <c r="W121" s="12">
        <f>(M121-'2024b_260221_0030'!M121)/'2024b_260221_0030'!M121</f>
        <v>0.25034443074468854</v>
      </c>
    </row>
    <row r="122" spans="1:23" x14ac:dyDescent="0.25">
      <c r="A122">
        <v>121</v>
      </c>
      <c r="B122">
        <v>12</v>
      </c>
      <c r="C122" t="s">
        <v>16</v>
      </c>
      <c r="D122" t="s">
        <v>17</v>
      </c>
      <c r="E122" t="s">
        <v>49</v>
      </c>
      <c r="F122" t="s">
        <v>28</v>
      </c>
      <c r="G122" t="s">
        <v>188</v>
      </c>
      <c r="H122" t="s">
        <v>21</v>
      </c>
      <c r="I122" t="s">
        <v>56</v>
      </c>
      <c r="J122" t="s">
        <v>148</v>
      </c>
      <c r="K122" t="s">
        <v>23</v>
      </c>
      <c r="L122">
        <v>2411</v>
      </c>
      <c r="M122" s="4">
        <v>29.353366999999999</v>
      </c>
      <c r="N122" s="4">
        <v>0.78928529538621461</v>
      </c>
      <c r="O122" s="4">
        <v>-0.33088773312856579</v>
      </c>
      <c r="P122" s="1" t="str">
        <f>HYPERLINK(".\sm_car_260612_0028\sm_car_260612_0028_121_Ca012TrN_MaMPC_DrSt_ode23t_1.png","figure")</f>
        <v>figure</v>
      </c>
      <c r="Q122" t="s">
        <v>15</v>
      </c>
      <c r="R122" t="b">
        <f>B122='2024b_260221_0030'!B122</f>
        <v>1</v>
      </c>
      <c r="T122">
        <f>(L122-'2024b_260221_0030'!L122)</f>
        <v>-3</v>
      </c>
      <c r="U122" s="12">
        <f>(L122-'2024b_260221_0030'!L122)/'2024b_260221_0030'!L122</f>
        <v>-1.2427506213753107E-3</v>
      </c>
      <c r="V122" s="4">
        <f>(M122-'2024b_260221_0030'!M122)</f>
        <v>4.7280715999999998</v>
      </c>
      <c r="W122" s="12">
        <f>(M122-'2024b_260221_0030'!M122)/'2024b_260221_0030'!M122</f>
        <v>0.19200060438665845</v>
      </c>
    </row>
    <row r="123" spans="1:23" x14ac:dyDescent="0.25">
      <c r="A123">
        <v>122</v>
      </c>
      <c r="B123">
        <v>12</v>
      </c>
      <c r="C123" t="s">
        <v>16</v>
      </c>
      <c r="D123" t="s">
        <v>17</v>
      </c>
      <c r="E123" t="s">
        <v>49</v>
      </c>
      <c r="F123" t="s">
        <v>28</v>
      </c>
      <c r="G123" t="s">
        <v>188</v>
      </c>
      <c r="H123" t="s">
        <v>21</v>
      </c>
      <c r="I123" t="s">
        <v>56</v>
      </c>
      <c r="J123" t="s">
        <v>149</v>
      </c>
      <c r="K123" t="s">
        <v>23</v>
      </c>
      <c r="L123">
        <v>2269</v>
      </c>
      <c r="M123" s="4">
        <v>28.7914499</v>
      </c>
      <c r="N123" s="4">
        <v>0.78735194970830591</v>
      </c>
      <c r="O123" s="4">
        <v>0.10487188968766162</v>
      </c>
      <c r="P123" s="1" t="str">
        <f>HYPERLINK(".\sm_car_260612_0028\sm_car_260612_0028_122_Ca012TrN_MaMPC_DrSt_ode23t_1.png","figure")</f>
        <v>figure</v>
      </c>
      <c r="Q123" t="s">
        <v>15</v>
      </c>
      <c r="R123" t="b">
        <f>B123='2024b_260221_0030'!B123</f>
        <v>1</v>
      </c>
      <c r="T123">
        <f>(L123-'2024b_260221_0030'!L123)</f>
        <v>28</v>
      </c>
      <c r="U123" s="12">
        <f>(L123-'2024b_260221_0030'!L123)/'2024b_260221_0030'!L123</f>
        <v>1.249442213297635E-2</v>
      </c>
      <c r="V123" s="4">
        <f>(M123-'2024b_260221_0030'!M123)</f>
        <v>4.6246256999999993</v>
      </c>
      <c r="W123" s="12">
        <f>(M123-'2024b_260221_0030'!M123)/'2024b_260221_0030'!M123</f>
        <v>0.19136257464892714</v>
      </c>
    </row>
    <row r="124" spans="1:23" x14ac:dyDescent="0.25">
      <c r="A124">
        <v>123</v>
      </c>
      <c r="B124">
        <v>142</v>
      </c>
      <c r="C124" t="s">
        <v>45</v>
      </c>
      <c r="D124" t="s">
        <v>17</v>
      </c>
      <c r="E124" t="s">
        <v>49</v>
      </c>
      <c r="F124" t="s">
        <v>28</v>
      </c>
      <c r="G124" t="s">
        <v>26</v>
      </c>
      <c r="H124" t="s">
        <v>21</v>
      </c>
      <c r="I124" t="s">
        <v>55</v>
      </c>
      <c r="J124" t="s">
        <v>148</v>
      </c>
      <c r="K124" t="s">
        <v>23</v>
      </c>
      <c r="L124">
        <v>2548</v>
      </c>
      <c r="M124" s="4">
        <v>45.489826399999998</v>
      </c>
      <c r="N124" s="4">
        <v>-6.1491916203897656E-3</v>
      </c>
      <c r="O124" s="4">
        <v>-0.55895779064148143</v>
      </c>
      <c r="P124" s="1" t="str">
        <f>HYPERLINK(".\sm_car_260612_0028\sm_car_260612_0028_123_Ca142TrN_MaMPK_DrSt_ode23t_1.png","figure")</f>
        <v>figure</v>
      </c>
      <c r="Q124" t="s">
        <v>15</v>
      </c>
      <c r="R124" t="b">
        <f>B124='2024b_260221_0030'!B124</f>
        <v>1</v>
      </c>
      <c r="T124">
        <f>(L124-'2024b_260221_0030'!L124)</f>
        <v>32</v>
      </c>
      <c r="U124" s="12">
        <f>(L124-'2024b_260221_0030'!L124)/'2024b_260221_0030'!L124</f>
        <v>1.2718600953895072E-2</v>
      </c>
      <c r="V124" s="4">
        <f>(M124-'2024b_260221_0030'!M124)</f>
        <v>12.648818299999995</v>
      </c>
      <c r="W124" s="12">
        <f>(M124-'2024b_260221_0030'!M124)/'2024b_260221_0030'!M124</f>
        <v>0.38515316769462976</v>
      </c>
    </row>
    <row r="125" spans="1:23" x14ac:dyDescent="0.25">
      <c r="A125">
        <v>124</v>
      </c>
      <c r="B125">
        <v>142</v>
      </c>
      <c r="C125" t="s">
        <v>45</v>
      </c>
      <c r="D125" t="s">
        <v>17</v>
      </c>
      <c r="E125" t="s">
        <v>49</v>
      </c>
      <c r="F125" t="s">
        <v>28</v>
      </c>
      <c r="G125" t="s">
        <v>26</v>
      </c>
      <c r="H125" t="s">
        <v>21</v>
      </c>
      <c r="I125" t="s">
        <v>55</v>
      </c>
      <c r="J125" t="s">
        <v>149</v>
      </c>
      <c r="K125" t="s">
        <v>23</v>
      </c>
      <c r="L125">
        <v>2900</v>
      </c>
      <c r="M125" s="4">
        <v>33.781716199999998</v>
      </c>
      <c r="N125" s="4">
        <v>-9.9752636943101908E-3</v>
      </c>
      <c r="O125" s="4">
        <v>-8.0988762390722238E-2</v>
      </c>
      <c r="P125" s="1" t="str">
        <f>HYPERLINK(".\sm_car_260612_0028\sm_car_260612_0028_124_Ca142TrN_MaMPK_DrSt_ode23t_1.png","figure")</f>
        <v>figure</v>
      </c>
      <c r="Q125" t="s">
        <v>15</v>
      </c>
      <c r="R125" t="b">
        <f>B125='2024b_260221_0030'!B125</f>
        <v>1</v>
      </c>
      <c r="T125">
        <f>(L125-'2024b_260221_0030'!L125)</f>
        <v>25</v>
      </c>
      <c r="U125" s="12">
        <f>(L125-'2024b_260221_0030'!L125)/'2024b_260221_0030'!L125</f>
        <v>8.6956521739130436E-3</v>
      </c>
      <c r="V125" s="4">
        <f>(M125-'2024b_260221_0030'!M125)</f>
        <v>1.8115888999999967</v>
      </c>
      <c r="W125" s="12">
        <f>(M125-'2024b_260221_0030'!M125)/'2024b_260221_0030'!M125</f>
        <v>5.6665051189833601E-2</v>
      </c>
    </row>
    <row r="126" spans="1:23" x14ac:dyDescent="0.25">
      <c r="A126">
        <v>125</v>
      </c>
      <c r="B126">
        <v>142</v>
      </c>
      <c r="C126" t="s">
        <v>45</v>
      </c>
      <c r="D126" t="s">
        <v>17</v>
      </c>
      <c r="E126" t="s">
        <v>49</v>
      </c>
      <c r="F126" t="s">
        <v>28</v>
      </c>
      <c r="G126" t="s">
        <v>26</v>
      </c>
      <c r="H126" t="s">
        <v>21</v>
      </c>
      <c r="I126" t="s">
        <v>56</v>
      </c>
      <c r="J126" t="s">
        <v>148</v>
      </c>
      <c r="K126" t="s">
        <v>23</v>
      </c>
      <c r="L126">
        <v>2386</v>
      </c>
      <c r="M126" s="4">
        <v>37.949690799999999</v>
      </c>
      <c r="N126" s="4">
        <v>0.78845503125807781</v>
      </c>
      <c r="O126" s="4">
        <v>-0.37165937530056142</v>
      </c>
      <c r="P126" s="1" t="str">
        <f>HYPERLINK(".\sm_car_260612_0028\sm_car_260612_0028_125_Ca142TrN_MaMPC_DrSt_ode23t_1.png","figure")</f>
        <v>figure</v>
      </c>
      <c r="Q126" t="s">
        <v>15</v>
      </c>
      <c r="R126" t="b">
        <f>B126='2024b_260221_0030'!B126</f>
        <v>1</v>
      </c>
      <c r="T126">
        <f>(L126-'2024b_260221_0030'!L126)</f>
        <v>7</v>
      </c>
      <c r="U126" s="12">
        <f>(L126-'2024b_260221_0030'!L126)/'2024b_260221_0030'!L126</f>
        <v>2.9424127784783522E-3</v>
      </c>
      <c r="V126" s="4">
        <f>(M126-'2024b_260221_0030'!M126)</f>
        <v>3.1484184999999982</v>
      </c>
      <c r="W126" s="12">
        <f>(M126-'2024b_260221_0030'!M126)/'2024b_260221_0030'!M126</f>
        <v>9.0468488417878856E-2</v>
      </c>
    </row>
    <row r="127" spans="1:23" x14ac:dyDescent="0.25">
      <c r="A127">
        <v>126</v>
      </c>
      <c r="B127">
        <v>142</v>
      </c>
      <c r="C127" t="s">
        <v>45</v>
      </c>
      <c r="D127" t="s">
        <v>17</v>
      </c>
      <c r="E127" t="s">
        <v>49</v>
      </c>
      <c r="F127" t="s">
        <v>28</v>
      </c>
      <c r="G127" t="s">
        <v>26</v>
      </c>
      <c r="H127" t="s">
        <v>21</v>
      </c>
      <c r="I127" t="s">
        <v>56</v>
      </c>
      <c r="J127" t="s">
        <v>149</v>
      </c>
      <c r="K127" t="s">
        <v>23</v>
      </c>
      <c r="L127">
        <v>2761</v>
      </c>
      <c r="M127" s="4">
        <v>35.299880100000003</v>
      </c>
      <c r="N127" s="4">
        <v>0.78836986115315888</v>
      </c>
      <c r="O127" s="4">
        <v>1.7003511635552731E-2</v>
      </c>
      <c r="P127" s="1" t="str">
        <f>HYPERLINK(".\sm_car_260612_0028\sm_car_260612_0028_126_Ca142TrN_MaMPC_DrSt_ode23t_1.png","figure")</f>
        <v>figure</v>
      </c>
      <c r="Q127" t="s">
        <v>15</v>
      </c>
      <c r="R127" t="b">
        <f>B127='2024b_260221_0030'!B127</f>
        <v>1</v>
      </c>
      <c r="T127">
        <f>(L127-'2024b_260221_0030'!L127)</f>
        <v>-24</v>
      </c>
      <c r="U127" s="12">
        <f>(L127-'2024b_260221_0030'!L127)/'2024b_260221_0030'!L127</f>
        <v>-8.6175942549371626E-3</v>
      </c>
      <c r="V127" s="4">
        <f>(M127-'2024b_260221_0030'!M127)</f>
        <v>-4.1398446999999976</v>
      </c>
      <c r="W127" s="12">
        <f>(M127-'2024b_260221_0030'!M127)/'2024b_260221_0030'!M127</f>
        <v>-0.10496636883226927</v>
      </c>
    </row>
    <row r="128" spans="1:23" x14ac:dyDescent="0.25">
      <c r="A128">
        <v>127</v>
      </c>
      <c r="B128">
        <v>116</v>
      </c>
      <c r="C128" t="s">
        <v>16</v>
      </c>
      <c r="D128" t="s">
        <v>35</v>
      </c>
      <c r="E128" t="s">
        <v>18</v>
      </c>
      <c r="F128" t="s">
        <v>28</v>
      </c>
      <c r="G128" t="s">
        <v>188</v>
      </c>
      <c r="H128" t="s">
        <v>21</v>
      </c>
      <c r="I128" t="s">
        <v>55</v>
      </c>
      <c r="J128" t="s">
        <v>148</v>
      </c>
      <c r="K128" t="s">
        <v>23</v>
      </c>
      <c r="L128">
        <v>2838</v>
      </c>
      <c r="M128" s="4">
        <v>12.2567506</v>
      </c>
      <c r="N128" s="4">
        <v>-1.8622435721342173E-2</v>
      </c>
      <c r="O128" s="4">
        <v>-0.54250334213586648</v>
      </c>
      <c r="P128" s="1" t="str">
        <f>HYPERLINK(".\sm_car_260612_0028\sm_car_260612_0028_127_Ca116TrN_MaMPK_DrSt_ode23t_1.png","figure")</f>
        <v>figure</v>
      </c>
      <c r="Q128" t="s">
        <v>15</v>
      </c>
      <c r="R128" t="b">
        <f>B128='2024b_260221_0030'!B128</f>
        <v>1</v>
      </c>
      <c r="T128">
        <f>(L128-'2024b_260221_0030'!L128)</f>
        <v>-6</v>
      </c>
      <c r="U128" s="12">
        <f>(L128-'2024b_260221_0030'!L128)/'2024b_260221_0030'!L128</f>
        <v>-2.1097046413502108E-3</v>
      </c>
      <c r="V128" s="4">
        <f>(M128-'2024b_260221_0030'!M128)</f>
        <v>-0.36232670000000056</v>
      </c>
      <c r="W128" s="12">
        <f>(M128-'2024b_260221_0030'!M128)/'2024b_260221_0030'!M128</f>
        <v>-2.8712614352556547E-2</v>
      </c>
    </row>
    <row r="129" spans="1:23" x14ac:dyDescent="0.25">
      <c r="A129">
        <v>128</v>
      </c>
      <c r="B129">
        <v>116</v>
      </c>
      <c r="C129" t="s">
        <v>16</v>
      </c>
      <c r="D129" t="s">
        <v>35</v>
      </c>
      <c r="E129" t="s">
        <v>18</v>
      </c>
      <c r="F129" t="s">
        <v>28</v>
      </c>
      <c r="G129" t="s">
        <v>188</v>
      </c>
      <c r="H129" t="s">
        <v>21</v>
      </c>
      <c r="I129" t="s">
        <v>55</v>
      </c>
      <c r="J129" t="s">
        <v>149</v>
      </c>
      <c r="K129" t="s">
        <v>23</v>
      </c>
      <c r="L129">
        <v>2748</v>
      </c>
      <c r="M129" s="4">
        <v>11.9028128</v>
      </c>
      <c r="N129" s="4">
        <v>-1.9429225189244559E-2</v>
      </c>
      <c r="O129" s="4">
        <v>-0.53562834070852061</v>
      </c>
      <c r="P129" s="1" t="str">
        <f>HYPERLINK(".\sm_car_260612_0028\sm_car_260612_0028_128_Ca116TrN_MaMPK_DrSt_ode23t_1.png","figure")</f>
        <v>figure</v>
      </c>
      <c r="Q129" t="s">
        <v>15</v>
      </c>
      <c r="R129" t="b">
        <f>B129='2024b_260221_0030'!B129</f>
        <v>1</v>
      </c>
      <c r="T129">
        <f>(L129-'2024b_260221_0030'!L129)</f>
        <v>-27</v>
      </c>
      <c r="U129" s="12">
        <f>(L129-'2024b_260221_0030'!L129)/'2024b_260221_0030'!L129</f>
        <v>-9.7297297297297292E-3</v>
      </c>
      <c r="V129" s="4">
        <f>(M129-'2024b_260221_0030'!M129)</f>
        <v>-1.1202871999999999</v>
      </c>
      <c r="W129" s="12">
        <f>(M129-'2024b_260221_0030'!M129)/'2024b_260221_0030'!M129</f>
        <v>-8.6023082061874673E-2</v>
      </c>
    </row>
    <row r="130" spans="1:23" x14ac:dyDescent="0.25">
      <c r="A130">
        <v>129</v>
      </c>
      <c r="B130">
        <v>116</v>
      </c>
      <c r="C130" t="s">
        <v>16</v>
      </c>
      <c r="D130" t="s">
        <v>35</v>
      </c>
      <c r="E130" t="s">
        <v>18</v>
      </c>
      <c r="F130" t="s">
        <v>28</v>
      </c>
      <c r="G130" t="s">
        <v>188</v>
      </c>
      <c r="H130" t="s">
        <v>21</v>
      </c>
      <c r="I130" t="s">
        <v>56</v>
      </c>
      <c r="J130" t="s">
        <v>148</v>
      </c>
      <c r="K130" t="s">
        <v>23</v>
      </c>
      <c r="L130">
        <v>2722</v>
      </c>
      <c r="M130" s="4">
        <v>11.632389</v>
      </c>
      <c r="N130" s="4">
        <v>0.77278698195634199</v>
      </c>
      <c r="O130" s="4">
        <v>-0.36264547959846405</v>
      </c>
      <c r="P130" s="1" t="str">
        <f>HYPERLINK(".\sm_car_260612_0028\sm_car_260612_0028_129_Ca116TrN_MaMPC_DrSt_ode23t_1.png","figure")</f>
        <v>figure</v>
      </c>
      <c r="Q130" t="s">
        <v>15</v>
      </c>
      <c r="R130" t="b">
        <f>B130='2024b_260221_0030'!B130</f>
        <v>1</v>
      </c>
      <c r="T130">
        <f>(L130-'2024b_260221_0030'!L130)</f>
        <v>-7</v>
      </c>
      <c r="U130" s="12">
        <f>(L130-'2024b_260221_0030'!L130)/'2024b_260221_0030'!L130</f>
        <v>-2.565042139978014E-3</v>
      </c>
      <c r="V130" s="4">
        <f>(M130-'2024b_260221_0030'!M130)</f>
        <v>-0.15290230000000093</v>
      </c>
      <c r="W130" s="12">
        <f>(M130-'2024b_260221_0030'!M130)/'2024b_260221_0030'!M130</f>
        <v>-1.297399411756593E-2</v>
      </c>
    </row>
    <row r="131" spans="1:23" x14ac:dyDescent="0.25">
      <c r="A131">
        <v>130</v>
      </c>
      <c r="B131">
        <v>116</v>
      </c>
      <c r="C131" t="s">
        <v>16</v>
      </c>
      <c r="D131" t="s">
        <v>35</v>
      </c>
      <c r="E131" t="s">
        <v>18</v>
      </c>
      <c r="F131" t="s">
        <v>28</v>
      </c>
      <c r="G131" t="s">
        <v>188</v>
      </c>
      <c r="H131" t="s">
        <v>21</v>
      </c>
      <c r="I131" t="s">
        <v>56</v>
      </c>
      <c r="J131" t="s">
        <v>149</v>
      </c>
      <c r="K131" t="s">
        <v>23</v>
      </c>
      <c r="L131">
        <v>2608</v>
      </c>
      <c r="M131" s="4">
        <v>11.468563700000001</v>
      </c>
      <c r="N131" s="4">
        <v>0.78512686596492109</v>
      </c>
      <c r="O131" s="4">
        <v>0.44067580967379483</v>
      </c>
      <c r="P131" s="1" t="str">
        <f>HYPERLINK(".\sm_car_260612_0028\sm_car_260612_0028_130_Ca116TrN_MaMPC_DrSt_ode23t_1.png","figure")</f>
        <v>figure</v>
      </c>
      <c r="Q131" t="s">
        <v>15</v>
      </c>
      <c r="R131" t="b">
        <f>B131='2024b_260221_0030'!B131</f>
        <v>1</v>
      </c>
      <c r="T131">
        <f>(L131-'2024b_260221_0030'!L131)</f>
        <v>-2</v>
      </c>
      <c r="U131" s="12">
        <f>(L131-'2024b_260221_0030'!L131)/'2024b_260221_0030'!L131</f>
        <v>-7.6628352490421458E-4</v>
      </c>
      <c r="V131" s="4">
        <f>(M131-'2024b_260221_0030'!M131)</f>
        <v>-0.30994119999999903</v>
      </c>
      <c r="W131" s="12">
        <f>(M131-'2024b_260221_0030'!M131)/'2024b_260221_0030'!M131</f>
        <v>-2.6314137713692256E-2</v>
      </c>
    </row>
    <row r="132" spans="1:23" x14ac:dyDescent="0.25">
      <c r="A132">
        <v>131</v>
      </c>
      <c r="B132">
        <v>143</v>
      </c>
      <c r="C132" t="s">
        <v>46</v>
      </c>
      <c r="D132" t="s">
        <v>17</v>
      </c>
      <c r="E132" t="s">
        <v>47</v>
      </c>
      <c r="F132" t="s">
        <v>19</v>
      </c>
      <c r="G132" t="s">
        <v>26</v>
      </c>
      <c r="H132" t="s">
        <v>21</v>
      </c>
      <c r="I132" t="s">
        <v>55</v>
      </c>
      <c r="J132" t="s">
        <v>148</v>
      </c>
      <c r="K132" t="s">
        <v>23</v>
      </c>
      <c r="L132">
        <v>2446</v>
      </c>
      <c r="M132" s="4">
        <v>49.887480099999998</v>
      </c>
      <c r="N132" s="4">
        <v>8.7723116759506892E-4</v>
      </c>
      <c r="O132" s="4">
        <v>-0.40385323425565295</v>
      </c>
      <c r="P132" s="1" t="str">
        <f>HYPERLINK(".\sm_car_260612_0028\sm_car_260612_0028_131_Ca143TrN_MaMPK_DrSt_ode23t_1.png","figure")</f>
        <v>figure</v>
      </c>
      <c r="Q132" t="s">
        <v>15</v>
      </c>
      <c r="R132" t="b">
        <f>B132='2024b_260221_0030'!B132</f>
        <v>1</v>
      </c>
      <c r="T132">
        <f>(L132-'2024b_260221_0030'!L132)</f>
        <v>0</v>
      </c>
      <c r="U132" s="12">
        <f>(L132-'2024b_260221_0030'!L132)/'2024b_260221_0030'!L132</f>
        <v>0</v>
      </c>
      <c r="V132" s="4">
        <f>(M132-'2024b_260221_0030'!M132)</f>
        <v>1.1605631999999986</v>
      </c>
      <c r="W132" s="12">
        <f>(M132-'2024b_260221_0030'!M132)/'2024b_260221_0030'!M132</f>
        <v>2.3817702285202424E-2</v>
      </c>
    </row>
    <row r="133" spans="1:23" x14ac:dyDescent="0.25">
      <c r="A133">
        <v>132</v>
      </c>
      <c r="B133">
        <v>143</v>
      </c>
      <c r="C133" t="s">
        <v>46</v>
      </c>
      <c r="D133" t="s">
        <v>17</v>
      </c>
      <c r="E133" t="s">
        <v>47</v>
      </c>
      <c r="F133" t="s">
        <v>19</v>
      </c>
      <c r="G133" t="s">
        <v>26</v>
      </c>
      <c r="H133" t="s">
        <v>21</v>
      </c>
      <c r="I133" t="s">
        <v>55</v>
      </c>
      <c r="J133" t="s">
        <v>149</v>
      </c>
      <c r="K133" t="s">
        <v>23</v>
      </c>
      <c r="L133">
        <v>2204</v>
      </c>
      <c r="M133" s="4">
        <v>46.779373499999998</v>
      </c>
      <c r="N133" s="4">
        <v>-1.1336251382628129E-2</v>
      </c>
      <c r="O133" s="4">
        <v>-9.0061627724928636E-2</v>
      </c>
      <c r="P133" s="1" t="str">
        <f>HYPERLINK(".\sm_car_260612_0028\sm_car_260612_0028_132_Ca143TrN_MaMPK_DrSt_ode23t_1.png","figure")</f>
        <v>figure</v>
      </c>
      <c r="Q133" t="s">
        <v>15</v>
      </c>
      <c r="R133" t="b">
        <f>B133='2024b_260221_0030'!B133</f>
        <v>1</v>
      </c>
      <c r="T133">
        <f>(L133-'2024b_260221_0030'!L133)</f>
        <v>0</v>
      </c>
      <c r="U133" s="12">
        <f>(L133-'2024b_260221_0030'!L133)/'2024b_260221_0030'!L133</f>
        <v>0</v>
      </c>
      <c r="V133" s="4">
        <f>(M133-'2024b_260221_0030'!M133)</f>
        <v>2.146236199999997</v>
      </c>
      <c r="W133" s="12">
        <f>(M133-'2024b_260221_0030'!M133)/'2024b_260221_0030'!M133</f>
        <v>4.8086160414271328E-2</v>
      </c>
    </row>
    <row r="134" spans="1:23" x14ac:dyDescent="0.25">
      <c r="A134">
        <v>133</v>
      </c>
      <c r="B134">
        <v>143</v>
      </c>
      <c r="C134" t="s">
        <v>46</v>
      </c>
      <c r="D134" t="s">
        <v>17</v>
      </c>
      <c r="E134" t="s">
        <v>47</v>
      </c>
      <c r="F134" t="s">
        <v>19</v>
      </c>
      <c r="G134" t="s">
        <v>26</v>
      </c>
      <c r="H134" t="s">
        <v>21</v>
      </c>
      <c r="I134" t="s">
        <v>56</v>
      </c>
      <c r="J134" t="s">
        <v>148</v>
      </c>
      <c r="K134" t="s">
        <v>23</v>
      </c>
      <c r="L134">
        <v>2361</v>
      </c>
      <c r="M134" s="4">
        <v>52.069340199999999</v>
      </c>
      <c r="N134" s="4">
        <v>0.75555819239843558</v>
      </c>
      <c r="O134" s="4">
        <v>-0.27232873221484516</v>
      </c>
      <c r="P134" s="1" t="str">
        <f>HYPERLINK(".\sm_car_260612_0028\sm_car_260612_0028_133_Ca143TrN_MaMPC_DrSt_ode23t_1.png","figure")</f>
        <v>figure</v>
      </c>
      <c r="Q134" t="s">
        <v>15</v>
      </c>
      <c r="R134" t="b">
        <f>B134='2024b_260221_0030'!B134</f>
        <v>1</v>
      </c>
      <c r="T134">
        <f>(L134-'2024b_260221_0030'!L134)</f>
        <v>0</v>
      </c>
      <c r="U134" s="12">
        <f>(L134-'2024b_260221_0030'!L134)/'2024b_260221_0030'!L134</f>
        <v>0</v>
      </c>
      <c r="V134" s="4">
        <f>(M134-'2024b_260221_0030'!M134)</f>
        <v>1.8008106999999995</v>
      </c>
      <c r="W134" s="12">
        <f>(M134-'2024b_260221_0030'!M134)/'2024b_260221_0030'!M134</f>
        <v>3.5823818956152269E-2</v>
      </c>
    </row>
    <row r="135" spans="1:23" x14ac:dyDescent="0.25">
      <c r="A135">
        <v>134</v>
      </c>
      <c r="B135">
        <v>143</v>
      </c>
      <c r="C135" t="s">
        <v>46</v>
      </c>
      <c r="D135" t="s">
        <v>17</v>
      </c>
      <c r="E135" t="s">
        <v>47</v>
      </c>
      <c r="F135" t="s">
        <v>19</v>
      </c>
      <c r="G135" t="s">
        <v>26</v>
      </c>
      <c r="H135" t="s">
        <v>21</v>
      </c>
      <c r="I135" t="s">
        <v>56</v>
      </c>
      <c r="J135" t="s">
        <v>149</v>
      </c>
      <c r="K135" t="s">
        <v>23</v>
      </c>
      <c r="L135">
        <v>2123</v>
      </c>
      <c r="M135" s="4">
        <v>50.899530599999999</v>
      </c>
      <c r="N135" s="4">
        <v>0.78685958202550665</v>
      </c>
      <c r="O135" s="4">
        <v>-0.15518440758868812</v>
      </c>
      <c r="P135" s="1" t="str">
        <f>HYPERLINK(".\sm_car_260612_0028\sm_car_260612_0028_134_Ca143TrN_MaMPC_DrSt_ode23t_1.png","figure")</f>
        <v>figure</v>
      </c>
      <c r="Q135" t="s">
        <v>15</v>
      </c>
      <c r="R135" t="b">
        <f>B135='2024b_260221_0030'!B135</f>
        <v>1</v>
      </c>
      <c r="T135">
        <f>(L135-'2024b_260221_0030'!L135)</f>
        <v>0</v>
      </c>
      <c r="U135" s="12">
        <f>(L135-'2024b_260221_0030'!L135)/'2024b_260221_0030'!L135</f>
        <v>0</v>
      </c>
      <c r="V135" s="4">
        <f>(M135-'2024b_260221_0030'!M135)</f>
        <v>0.34296080000000018</v>
      </c>
      <c r="W135" s="12">
        <f>(M135-'2024b_260221_0030'!M135)/'2024b_260221_0030'!M135</f>
        <v>6.7837039054813447E-3</v>
      </c>
    </row>
    <row r="136" spans="1:23" x14ac:dyDescent="0.25">
      <c r="A136">
        <v>135</v>
      </c>
      <c r="B136">
        <v>166</v>
      </c>
      <c r="C136" t="s">
        <v>45</v>
      </c>
      <c r="D136" t="s">
        <v>57</v>
      </c>
      <c r="E136" t="s">
        <v>18</v>
      </c>
      <c r="F136" t="s">
        <v>19</v>
      </c>
      <c r="G136" t="s">
        <v>26</v>
      </c>
      <c r="H136" t="s">
        <v>21</v>
      </c>
      <c r="I136" t="s">
        <v>55</v>
      </c>
      <c r="J136" t="s">
        <v>148</v>
      </c>
      <c r="K136" t="s">
        <v>23</v>
      </c>
      <c r="L136">
        <v>3178</v>
      </c>
      <c r="M136" s="4">
        <v>52.3872936</v>
      </c>
      <c r="N136" s="4">
        <v>-1.7585448986862914E-2</v>
      </c>
      <c r="O136" s="4">
        <v>-0.57016084223722818</v>
      </c>
      <c r="P136" s="1" t="str">
        <f>HYPERLINK(".\sm_car_260612_0028\sm_car_260612_0028_135_Ca166TrN_MaMPK_DrSt_ode23t_1.png","figure")</f>
        <v>figure</v>
      </c>
      <c r="Q136" t="s">
        <v>15</v>
      </c>
      <c r="R136" t="b">
        <f>B136='2024b_260221_0030'!B136</f>
        <v>1</v>
      </c>
      <c r="T136">
        <f>(L136-'2024b_260221_0030'!L136)</f>
        <v>10</v>
      </c>
      <c r="U136" s="12">
        <f>(L136-'2024b_260221_0030'!L136)/'2024b_260221_0030'!L136</f>
        <v>3.1565656565656565E-3</v>
      </c>
      <c r="V136" s="4">
        <f>(M136-'2024b_260221_0030'!M136)</f>
        <v>1.4101616000000021</v>
      </c>
      <c r="W136" s="12">
        <f>(M136-'2024b_260221_0030'!M136)/'2024b_260221_0030'!M136</f>
        <v>2.7662631157829794E-2</v>
      </c>
    </row>
    <row r="137" spans="1:23" x14ac:dyDescent="0.25">
      <c r="A137">
        <v>136</v>
      </c>
      <c r="B137">
        <v>166</v>
      </c>
      <c r="C137" t="s">
        <v>45</v>
      </c>
      <c r="D137" t="s">
        <v>57</v>
      </c>
      <c r="E137" t="s">
        <v>18</v>
      </c>
      <c r="F137" t="s">
        <v>19</v>
      </c>
      <c r="G137" t="s">
        <v>26</v>
      </c>
      <c r="H137" t="s">
        <v>21</v>
      </c>
      <c r="I137" t="s">
        <v>55</v>
      </c>
      <c r="J137" t="s">
        <v>149</v>
      </c>
      <c r="K137" t="s">
        <v>23</v>
      </c>
      <c r="L137">
        <v>3705</v>
      </c>
      <c r="M137" s="4">
        <v>53.2653502</v>
      </c>
      <c r="N137" s="4">
        <v>-1.0459660011230637E-2</v>
      </c>
      <c r="O137" s="4">
        <v>-8.5104946449721108E-2</v>
      </c>
      <c r="P137" s="1" t="str">
        <f>HYPERLINK(".\sm_car_260612_0028\sm_car_260612_0028_136_Ca166TrN_MaMPK_DrSt_ode23t_1.png","figure")</f>
        <v>figure</v>
      </c>
      <c r="Q137" t="s">
        <v>15</v>
      </c>
      <c r="R137" t="b">
        <f>B137='2024b_260221_0030'!B137</f>
        <v>1</v>
      </c>
      <c r="T137">
        <f>(L137-'2024b_260221_0030'!L137)</f>
        <v>-27</v>
      </c>
      <c r="U137" s="12">
        <f>(L137-'2024b_260221_0030'!L137)/'2024b_260221_0030'!L137</f>
        <v>-7.2347266881028936E-3</v>
      </c>
      <c r="V137" s="4">
        <f>(M137-'2024b_260221_0030'!M137)</f>
        <v>0.27541060000000073</v>
      </c>
      <c r="W137" s="12">
        <f>(M137-'2024b_260221_0030'!M137)/'2024b_260221_0030'!M137</f>
        <v>5.1974129821427597E-3</v>
      </c>
    </row>
    <row r="138" spans="1:23" x14ac:dyDescent="0.25">
      <c r="A138">
        <v>137</v>
      </c>
      <c r="B138">
        <v>166</v>
      </c>
      <c r="C138" t="s">
        <v>45</v>
      </c>
      <c r="D138" t="s">
        <v>57</v>
      </c>
      <c r="E138" t="s">
        <v>18</v>
      </c>
      <c r="F138" t="s">
        <v>19</v>
      </c>
      <c r="G138" t="s">
        <v>26</v>
      </c>
      <c r="H138" t="s">
        <v>21</v>
      </c>
      <c r="I138" t="s">
        <v>56</v>
      </c>
      <c r="J138" t="s">
        <v>148</v>
      </c>
      <c r="K138" t="s">
        <v>23</v>
      </c>
      <c r="L138">
        <v>2956</v>
      </c>
      <c r="M138" s="4">
        <v>48.034622400000003</v>
      </c>
      <c r="N138" s="4">
        <v>0.78896453220692919</v>
      </c>
      <c r="O138" s="4">
        <v>-0.36294489904326649</v>
      </c>
      <c r="P138" s="1" t="str">
        <f>HYPERLINK(".\sm_car_260612_0028\sm_car_260612_0028_137_Ca166TrN_MaMPC_DrSt_ode23t_1.png","figure")</f>
        <v>figure</v>
      </c>
      <c r="Q138" t="s">
        <v>15</v>
      </c>
      <c r="R138" t="b">
        <f>B138='2024b_260221_0030'!B138</f>
        <v>1</v>
      </c>
      <c r="T138">
        <f>(L138-'2024b_260221_0030'!L138)</f>
        <v>-34</v>
      </c>
      <c r="U138" s="12">
        <f>(L138-'2024b_260221_0030'!L138)/'2024b_260221_0030'!L138</f>
        <v>-1.137123745819398E-2</v>
      </c>
      <c r="V138" s="4">
        <f>(M138-'2024b_260221_0030'!M138)</f>
        <v>-5.9957219999999936</v>
      </c>
      <c r="W138" s="12">
        <f>(M138-'2024b_260221_0030'!M138)/'2024b_260221_0030'!M138</f>
        <v>-0.11096953141020501</v>
      </c>
    </row>
    <row r="139" spans="1:23" x14ac:dyDescent="0.25">
      <c r="A139">
        <v>138</v>
      </c>
      <c r="B139">
        <v>166</v>
      </c>
      <c r="C139" t="s">
        <v>45</v>
      </c>
      <c r="D139" t="s">
        <v>57</v>
      </c>
      <c r="E139" t="s">
        <v>18</v>
      </c>
      <c r="F139" t="s">
        <v>19</v>
      </c>
      <c r="G139" t="s">
        <v>26</v>
      </c>
      <c r="H139" t="s">
        <v>21</v>
      </c>
      <c r="I139" t="s">
        <v>56</v>
      </c>
      <c r="J139" t="s">
        <v>149</v>
      </c>
      <c r="K139" t="s">
        <v>23</v>
      </c>
      <c r="L139">
        <v>3448</v>
      </c>
      <c r="M139" s="4">
        <v>49.716038900000001</v>
      </c>
      <c r="N139" s="4">
        <v>0.78912778471898193</v>
      </c>
      <c r="O139" s="4">
        <v>2.4068321399322742E-2</v>
      </c>
      <c r="P139" s="1" t="str">
        <f>HYPERLINK(".\sm_car_260612_0028\sm_car_260612_0028_138_Ca166TrN_MaMPC_DrSt_ode23t_1.png","figure")</f>
        <v>figure</v>
      </c>
      <c r="Q139" t="s">
        <v>15</v>
      </c>
      <c r="R139" t="b">
        <f>B139='2024b_260221_0030'!B139</f>
        <v>1</v>
      </c>
      <c r="T139">
        <f>(L139-'2024b_260221_0030'!L139)</f>
        <v>9</v>
      </c>
      <c r="U139" s="12">
        <f>(L139-'2024b_260221_0030'!L139)/'2024b_260221_0030'!L139</f>
        <v>2.6170398371619659E-3</v>
      </c>
      <c r="V139" s="4">
        <f>(M139-'2024b_260221_0030'!M139)</f>
        <v>-1.4250929999999968</v>
      </c>
      <c r="W139" s="12">
        <f>(M139-'2024b_260221_0030'!M139)/'2024b_260221_0030'!M139</f>
        <v>-2.7865886949600287E-2</v>
      </c>
    </row>
    <row r="140" spans="1:23" x14ac:dyDescent="0.25">
      <c r="A140">
        <v>139</v>
      </c>
      <c r="B140">
        <v>169</v>
      </c>
      <c r="C140" t="s">
        <v>45</v>
      </c>
      <c r="D140" t="s">
        <v>58</v>
      </c>
      <c r="E140" t="s">
        <v>49</v>
      </c>
      <c r="F140" t="s">
        <v>19</v>
      </c>
      <c r="G140" t="s">
        <v>26</v>
      </c>
      <c r="H140" t="s">
        <v>21</v>
      </c>
      <c r="I140" t="s">
        <v>55</v>
      </c>
      <c r="J140" t="s">
        <v>148</v>
      </c>
      <c r="K140" t="s">
        <v>23</v>
      </c>
      <c r="L140">
        <v>3179</v>
      </c>
      <c r="M140" s="4">
        <v>50.329835699999997</v>
      </c>
      <c r="N140" s="4">
        <v>-1.9109556856405197E-2</v>
      </c>
      <c r="O140" s="4">
        <v>-0.57088527551769253</v>
      </c>
      <c r="P140" s="1" t="str">
        <f>HYPERLINK(".\sm_car_260612_0028\sm_car_260612_0028_139_Ca169TrN_MaMPK_DrSt_ode23t_1.png","figure")</f>
        <v>figure</v>
      </c>
      <c r="Q140" t="s">
        <v>15</v>
      </c>
      <c r="R140" t="b">
        <f>B140='2024b_260221_0030'!B140</f>
        <v>1</v>
      </c>
      <c r="T140">
        <f>(L140-'2024b_260221_0030'!L140)</f>
        <v>0</v>
      </c>
      <c r="U140" s="12">
        <f>(L140-'2024b_260221_0030'!L140)/'2024b_260221_0030'!L140</f>
        <v>0</v>
      </c>
      <c r="V140" s="4">
        <f>(M140-'2024b_260221_0030'!M140)</f>
        <v>0.91480509999999526</v>
      </c>
      <c r="W140" s="12">
        <f>(M140-'2024b_260221_0030'!M140)/'2024b_260221_0030'!M140</f>
        <v>1.8512689133091325E-2</v>
      </c>
    </row>
    <row r="141" spans="1:23" x14ac:dyDescent="0.25">
      <c r="A141">
        <v>140</v>
      </c>
      <c r="B141">
        <v>169</v>
      </c>
      <c r="C141" t="s">
        <v>45</v>
      </c>
      <c r="D141" t="s">
        <v>58</v>
      </c>
      <c r="E141" t="s">
        <v>49</v>
      </c>
      <c r="F141" t="s">
        <v>19</v>
      </c>
      <c r="G141" t="s">
        <v>26</v>
      </c>
      <c r="H141" t="s">
        <v>21</v>
      </c>
      <c r="I141" t="s">
        <v>55</v>
      </c>
      <c r="J141" t="s">
        <v>149</v>
      </c>
      <c r="K141" t="s">
        <v>23</v>
      </c>
      <c r="L141">
        <v>3729</v>
      </c>
      <c r="M141" s="4">
        <v>52.015337799999998</v>
      </c>
      <c r="N141" s="4">
        <v>-1.014035450458696E-2</v>
      </c>
      <c r="O141" s="4">
        <v>-8.4951396445932345E-2</v>
      </c>
      <c r="P141" s="1" t="str">
        <f>HYPERLINK(".\sm_car_260612_0028\sm_car_260612_0028_140_Ca169TrN_MaMPK_DrSt_ode23t_1.png","figure")</f>
        <v>figure</v>
      </c>
      <c r="Q141" t="s">
        <v>15</v>
      </c>
      <c r="R141" t="b">
        <f>B141='2024b_260221_0030'!B141</f>
        <v>1</v>
      </c>
      <c r="T141">
        <f>(L141-'2024b_260221_0030'!L141)</f>
        <v>-24</v>
      </c>
      <c r="U141" s="12">
        <f>(L141-'2024b_260221_0030'!L141)/'2024b_260221_0030'!L141</f>
        <v>-6.3948840927258192E-3</v>
      </c>
      <c r="V141" s="4">
        <f>(M141-'2024b_260221_0030'!M141)</f>
        <v>-0.63465800000000172</v>
      </c>
      <c r="W141" s="12">
        <f>(M141-'2024b_260221_0030'!M141)/'2024b_260221_0030'!M141</f>
        <v>-1.2054283962545003E-2</v>
      </c>
    </row>
    <row r="142" spans="1:23" x14ac:dyDescent="0.25">
      <c r="A142">
        <v>141</v>
      </c>
      <c r="B142">
        <v>169</v>
      </c>
      <c r="C142" t="s">
        <v>45</v>
      </c>
      <c r="D142" t="s">
        <v>58</v>
      </c>
      <c r="E142" t="s">
        <v>49</v>
      </c>
      <c r="F142" t="s">
        <v>19</v>
      </c>
      <c r="G142" t="s">
        <v>26</v>
      </c>
      <c r="H142" t="s">
        <v>21</v>
      </c>
      <c r="I142" t="s">
        <v>56</v>
      </c>
      <c r="J142" t="s">
        <v>148</v>
      </c>
      <c r="K142" t="s">
        <v>23</v>
      </c>
      <c r="L142">
        <v>2927</v>
      </c>
      <c r="M142" s="4">
        <v>45.796943499999998</v>
      </c>
      <c r="N142" s="4">
        <v>0.78880745252682161</v>
      </c>
      <c r="O142" s="4">
        <v>-0.36233642812554939</v>
      </c>
      <c r="P142" s="1" t="str">
        <f>HYPERLINK(".\sm_car_260612_0028\sm_car_260612_0028_141_Ca169TrN_MaMPC_DrSt_ode23t_1.png","figure")</f>
        <v>figure</v>
      </c>
      <c r="Q142" t="s">
        <v>15</v>
      </c>
      <c r="R142" t="b">
        <f>B142='2024b_260221_0030'!B142</f>
        <v>1</v>
      </c>
      <c r="T142">
        <f>(L142-'2024b_260221_0030'!L142)</f>
        <v>4</v>
      </c>
      <c r="U142" s="12">
        <f>(L142-'2024b_260221_0030'!L142)/'2024b_260221_0030'!L142</f>
        <v>1.3684570646595963E-3</v>
      </c>
      <c r="V142" s="4">
        <f>(M142-'2024b_260221_0030'!M142)</f>
        <v>0.19585839999999877</v>
      </c>
      <c r="W142" s="12">
        <f>(M142-'2024b_260221_0030'!M142)/'2024b_260221_0030'!M142</f>
        <v>4.2950381459233907E-3</v>
      </c>
    </row>
    <row r="143" spans="1:23" x14ac:dyDescent="0.25">
      <c r="A143">
        <v>142</v>
      </c>
      <c r="B143">
        <v>169</v>
      </c>
      <c r="C143" t="s">
        <v>45</v>
      </c>
      <c r="D143" t="s">
        <v>58</v>
      </c>
      <c r="E143" t="s">
        <v>49</v>
      </c>
      <c r="F143" t="s">
        <v>19</v>
      </c>
      <c r="G143" t="s">
        <v>26</v>
      </c>
      <c r="H143" t="s">
        <v>21</v>
      </c>
      <c r="I143" t="s">
        <v>56</v>
      </c>
      <c r="J143" t="s">
        <v>149</v>
      </c>
      <c r="K143" t="s">
        <v>23</v>
      </c>
      <c r="L143">
        <v>3406</v>
      </c>
      <c r="M143" s="4">
        <v>48.453275599999998</v>
      </c>
      <c r="N143" s="4">
        <v>0.78588769913512202</v>
      </c>
      <c r="O143" s="4">
        <v>2.5208413240961364E-2</v>
      </c>
      <c r="P143" s="1" t="str">
        <f>HYPERLINK(".\sm_car_260612_0028\sm_car_260612_0028_142_Ca169TrN_MaMPC_DrSt_ode23t_1.png","figure")</f>
        <v>figure</v>
      </c>
      <c r="Q143" t="s">
        <v>15</v>
      </c>
      <c r="R143" t="b">
        <f>B143='2024b_260221_0030'!B143</f>
        <v>1</v>
      </c>
      <c r="T143">
        <f>(L143-'2024b_260221_0030'!L143)</f>
        <v>10</v>
      </c>
      <c r="U143" s="12">
        <f>(L143-'2024b_260221_0030'!L143)/'2024b_260221_0030'!L143</f>
        <v>2.9446407538280331E-3</v>
      </c>
      <c r="V143" s="4">
        <f>(M143-'2024b_260221_0030'!M143)</f>
        <v>0.6812833999999981</v>
      </c>
      <c r="W143" s="12">
        <f>(M143-'2024b_260221_0030'!M143)/'2024b_260221_0030'!M143</f>
        <v>1.4261146932030146E-2</v>
      </c>
    </row>
    <row r="144" spans="1:23" x14ac:dyDescent="0.25">
      <c r="A144">
        <v>143</v>
      </c>
      <c r="B144">
        <v>184</v>
      </c>
      <c r="C144" t="s">
        <v>105</v>
      </c>
      <c r="D144" t="s">
        <v>120</v>
      </c>
      <c r="E144" t="s">
        <v>49</v>
      </c>
      <c r="F144" t="s">
        <v>19</v>
      </c>
      <c r="G144" t="s">
        <v>20</v>
      </c>
      <c r="H144" t="s">
        <v>21</v>
      </c>
      <c r="I144" t="s">
        <v>55</v>
      </c>
      <c r="J144" t="s">
        <v>148</v>
      </c>
      <c r="K144" t="s">
        <v>23</v>
      </c>
      <c r="L144">
        <v>2227</v>
      </c>
      <c r="M144" s="4">
        <v>53.224704000000003</v>
      </c>
      <c r="N144" s="4">
        <v>-2.2972285074280355E-2</v>
      </c>
      <c r="O144" s="4">
        <v>-0.74275555606248056</v>
      </c>
      <c r="P144" s="1" t="str">
        <f>HYPERLINK(".\sm_car_260612_0028\sm_car_260612_0028_143_Ca184TrN_MaMPK_DrSt_ode23t_1.png","figure")</f>
        <v>figure</v>
      </c>
      <c r="Q144" t="s">
        <v>15</v>
      </c>
      <c r="R144" t="b">
        <f>B144='2024b_260221_0030'!B144</f>
        <v>1</v>
      </c>
      <c r="T144">
        <f>(L144-'2024b_260221_0030'!L144)</f>
        <v>-1</v>
      </c>
      <c r="U144" s="12">
        <f>(L144-'2024b_260221_0030'!L144)/'2024b_260221_0030'!L144</f>
        <v>-4.4883303411131061E-4</v>
      </c>
      <c r="V144" s="4">
        <f>(M144-'2024b_260221_0030'!M144)</f>
        <v>-0.78704229999999598</v>
      </c>
      <c r="W144" s="12">
        <f>(M144-'2024b_260221_0030'!M144)/'2024b_260221_0030'!M144</f>
        <v>-1.4571687714529534E-2</v>
      </c>
    </row>
    <row r="145" spans="1:23" x14ac:dyDescent="0.25">
      <c r="A145">
        <v>144</v>
      </c>
      <c r="B145">
        <v>184</v>
      </c>
      <c r="C145" t="s">
        <v>105</v>
      </c>
      <c r="D145" t="s">
        <v>120</v>
      </c>
      <c r="E145" t="s">
        <v>49</v>
      </c>
      <c r="F145" t="s">
        <v>19</v>
      </c>
      <c r="G145" t="s">
        <v>20</v>
      </c>
      <c r="H145" t="s">
        <v>21</v>
      </c>
      <c r="I145" t="s">
        <v>55</v>
      </c>
      <c r="J145" t="s">
        <v>149</v>
      </c>
      <c r="K145" t="s">
        <v>23</v>
      </c>
      <c r="L145">
        <v>2309</v>
      </c>
      <c r="M145" s="4">
        <v>55.813466499999997</v>
      </c>
      <c r="N145" s="4">
        <v>-9.7115186893210609E-3</v>
      </c>
      <c r="O145" s="4">
        <v>-2.997595799822193E-2</v>
      </c>
      <c r="P145" s="1" t="str">
        <f>HYPERLINK(".\sm_car_260612_0028\sm_car_260612_0028_144_Ca184TrN_MaMPK_DrSt_ode23t_1.png","figure")</f>
        <v>figure</v>
      </c>
      <c r="Q145" t="s">
        <v>15</v>
      </c>
      <c r="R145" t="b">
        <f>B145='2024b_260221_0030'!B145</f>
        <v>1</v>
      </c>
      <c r="T145">
        <f>(L145-'2024b_260221_0030'!L145)</f>
        <v>-4</v>
      </c>
      <c r="U145" s="12">
        <f>(L145-'2024b_260221_0030'!L145)/'2024b_260221_0030'!L145</f>
        <v>-1.7293558149589277E-3</v>
      </c>
      <c r="V145" s="4">
        <f>(M145-'2024b_260221_0030'!M145)</f>
        <v>0.42629129999999549</v>
      </c>
      <c r="W145" s="12">
        <f>(M145-'2024b_260221_0030'!M145)/'2024b_260221_0030'!M145</f>
        <v>7.6965705230620874E-3</v>
      </c>
    </row>
    <row r="146" spans="1:23" x14ac:dyDescent="0.25">
      <c r="A146">
        <v>145</v>
      </c>
      <c r="B146">
        <v>184</v>
      </c>
      <c r="C146" t="s">
        <v>105</v>
      </c>
      <c r="D146" t="s">
        <v>120</v>
      </c>
      <c r="E146" t="s">
        <v>49</v>
      </c>
      <c r="F146" t="s">
        <v>19</v>
      </c>
      <c r="G146" t="s">
        <v>20</v>
      </c>
      <c r="H146" t="s">
        <v>21</v>
      </c>
      <c r="I146" t="s">
        <v>56</v>
      </c>
      <c r="J146" t="s">
        <v>148</v>
      </c>
      <c r="K146" t="s">
        <v>23</v>
      </c>
      <c r="L146">
        <v>2060</v>
      </c>
      <c r="M146" s="4">
        <v>51.047271799999997</v>
      </c>
      <c r="N146" s="4">
        <v>0.78740642121275251</v>
      </c>
      <c r="O146" s="4">
        <v>-0.33805111009068478</v>
      </c>
      <c r="P146" s="1" t="str">
        <f>HYPERLINK(".\sm_car_260612_0028\sm_car_260612_0028_145_Ca184TrN_MaMPC_DrSt_ode23t_1.png","figure")</f>
        <v>figure</v>
      </c>
      <c r="Q146" t="s">
        <v>15</v>
      </c>
      <c r="R146" t="b">
        <f>B146='2024b_260221_0030'!B146</f>
        <v>1</v>
      </c>
      <c r="T146">
        <f>(L146-'2024b_260221_0030'!L146)</f>
        <v>-5</v>
      </c>
      <c r="U146" s="12">
        <f>(L146-'2024b_260221_0030'!L146)/'2024b_260221_0030'!L146</f>
        <v>-2.4213075060532689E-3</v>
      </c>
      <c r="V146" s="4">
        <f>(M146-'2024b_260221_0030'!M146)</f>
        <v>-2.229093000000006</v>
      </c>
      <c r="W146" s="12">
        <f>(M146-'2024b_260221_0030'!M146)/'2024b_260221_0030'!M146</f>
        <v>-4.1840185762824528E-2</v>
      </c>
    </row>
    <row r="147" spans="1:23" x14ac:dyDescent="0.25">
      <c r="A147">
        <v>146</v>
      </c>
      <c r="B147">
        <v>184</v>
      </c>
      <c r="C147" t="s">
        <v>105</v>
      </c>
      <c r="D147" t="s">
        <v>120</v>
      </c>
      <c r="E147" t="s">
        <v>49</v>
      </c>
      <c r="F147" t="s">
        <v>19</v>
      </c>
      <c r="G147" t="s">
        <v>20</v>
      </c>
      <c r="H147" t="s">
        <v>21</v>
      </c>
      <c r="I147" t="s">
        <v>56</v>
      </c>
      <c r="J147" t="s">
        <v>149</v>
      </c>
      <c r="K147" t="s">
        <v>23</v>
      </c>
      <c r="L147">
        <v>2044</v>
      </c>
      <c r="M147" s="4">
        <v>55.378825999999997</v>
      </c>
      <c r="N147" s="4">
        <v>0.75881524208450379</v>
      </c>
      <c r="O147" s="4">
        <v>-8.2144984597842752E-2</v>
      </c>
      <c r="P147" s="1" t="str">
        <f>HYPERLINK(".\sm_car_260612_0028\sm_car_260612_0028_146_Ca184TrN_MaMPC_DrSt_ode23t_1.png","figure")</f>
        <v>figure</v>
      </c>
      <c r="Q147" t="s">
        <v>15</v>
      </c>
      <c r="R147" t="b">
        <f>B147='2024b_260221_0030'!B147</f>
        <v>1</v>
      </c>
      <c r="T147">
        <f>(L147-'2024b_260221_0030'!L147)</f>
        <v>-1</v>
      </c>
      <c r="U147" s="12">
        <f>(L147-'2024b_260221_0030'!L147)/'2024b_260221_0030'!L147</f>
        <v>-4.8899755501222489E-4</v>
      </c>
      <c r="V147" s="4">
        <f>(M147-'2024b_260221_0030'!M147)</f>
        <v>2.1383993999999973</v>
      </c>
      <c r="W147" s="12">
        <f>(M147-'2024b_260221_0030'!M147)/'2024b_260221_0030'!M147</f>
        <v>4.0164956153826113E-2</v>
      </c>
    </row>
    <row r="148" spans="1:23" x14ac:dyDescent="0.25">
      <c r="A148">
        <v>147</v>
      </c>
      <c r="B148">
        <v>195</v>
      </c>
      <c r="C148" t="s">
        <v>45</v>
      </c>
      <c r="D148" t="s">
        <v>58</v>
      </c>
      <c r="E148" t="s">
        <v>107</v>
      </c>
      <c r="F148" t="s">
        <v>19</v>
      </c>
      <c r="G148" t="s">
        <v>26</v>
      </c>
      <c r="H148" t="s">
        <v>21</v>
      </c>
      <c r="I148" t="s">
        <v>55</v>
      </c>
      <c r="J148" t="s">
        <v>148</v>
      </c>
      <c r="K148" t="s">
        <v>23</v>
      </c>
      <c r="L148">
        <v>3158</v>
      </c>
      <c r="M148" s="4">
        <v>45.307451299999997</v>
      </c>
      <c r="N148" s="4">
        <v>-1.8754554674852847E-2</v>
      </c>
      <c r="O148" s="4">
        <v>-0.57089875981636318</v>
      </c>
      <c r="P148" s="1" t="str">
        <f>HYPERLINK(".\sm_car_260612_0028\sm_car_260612_0028_147_Ca195TrN_MaMPK_DrSt_ode23t_1.png","figure")</f>
        <v>figure</v>
      </c>
      <c r="Q148" t="s">
        <v>15</v>
      </c>
      <c r="R148" t="b">
        <f>B148='2024b_260221_0030'!B148</f>
        <v>1</v>
      </c>
      <c r="T148">
        <f>(L148-'2024b_260221_0030'!L148)</f>
        <v>-7</v>
      </c>
      <c r="U148" s="12">
        <f>(L148-'2024b_260221_0030'!L148)/'2024b_260221_0030'!L148</f>
        <v>-2.2116903633491313E-3</v>
      </c>
      <c r="V148" s="4">
        <f>(M148-'2024b_260221_0030'!M148)</f>
        <v>-0.72028180000000219</v>
      </c>
      <c r="W148" s="12">
        <f>(M148-'2024b_260221_0030'!M148)/'2024b_260221_0030'!M148</f>
        <v>-1.5648865401107537E-2</v>
      </c>
    </row>
    <row r="149" spans="1:23" x14ac:dyDescent="0.25">
      <c r="A149">
        <v>148</v>
      </c>
      <c r="B149">
        <v>195</v>
      </c>
      <c r="C149" t="s">
        <v>45</v>
      </c>
      <c r="D149" t="s">
        <v>58</v>
      </c>
      <c r="E149" t="s">
        <v>107</v>
      </c>
      <c r="F149" t="s">
        <v>19</v>
      </c>
      <c r="G149" t="s">
        <v>26</v>
      </c>
      <c r="H149" t="s">
        <v>21</v>
      </c>
      <c r="I149" t="s">
        <v>55</v>
      </c>
      <c r="J149" t="s">
        <v>149</v>
      </c>
      <c r="K149" t="s">
        <v>23</v>
      </c>
      <c r="L149">
        <v>3706</v>
      </c>
      <c r="M149" s="4">
        <v>47.792772399999997</v>
      </c>
      <c r="N149" s="4">
        <v>-1.1037405265443584E-2</v>
      </c>
      <c r="O149" s="4">
        <v>-8.5016095754011381E-2</v>
      </c>
      <c r="P149" s="1" t="str">
        <f>HYPERLINK(".\sm_car_260612_0028\sm_car_260612_0028_148_Ca195TrN_MaMPK_DrSt_ode23t_1.png","figure")</f>
        <v>figure</v>
      </c>
      <c r="Q149" t="s">
        <v>15</v>
      </c>
      <c r="R149" t="b">
        <f>B149='2024b_260221_0030'!B149</f>
        <v>1</v>
      </c>
      <c r="T149">
        <f>(L149-'2024b_260221_0030'!L149)</f>
        <v>-56</v>
      </c>
      <c r="U149" s="12">
        <f>(L149-'2024b_260221_0030'!L149)/'2024b_260221_0030'!L149</f>
        <v>-1.4885699096225412E-2</v>
      </c>
      <c r="V149" s="4">
        <f>(M149-'2024b_260221_0030'!M149)</f>
        <v>-1.1277807000000024</v>
      </c>
      <c r="W149" s="12">
        <f>(M149-'2024b_260221_0030'!M149)/'2024b_260221_0030'!M149</f>
        <v>-2.305331049088246E-2</v>
      </c>
    </row>
    <row r="150" spans="1:23" x14ac:dyDescent="0.25">
      <c r="A150">
        <v>149</v>
      </c>
      <c r="B150">
        <v>195</v>
      </c>
      <c r="C150" t="s">
        <v>45</v>
      </c>
      <c r="D150" t="s">
        <v>58</v>
      </c>
      <c r="E150" t="s">
        <v>107</v>
      </c>
      <c r="F150" t="s">
        <v>19</v>
      </c>
      <c r="G150" t="s">
        <v>26</v>
      </c>
      <c r="H150" t="s">
        <v>21</v>
      </c>
      <c r="I150" t="s">
        <v>56</v>
      </c>
      <c r="J150" t="s">
        <v>148</v>
      </c>
      <c r="K150" t="s">
        <v>23</v>
      </c>
      <c r="L150">
        <v>2939</v>
      </c>
      <c r="M150" s="4">
        <v>42.482938400000002</v>
      </c>
      <c r="N150" s="4">
        <v>0.78843585213029499</v>
      </c>
      <c r="O150" s="4">
        <v>-0.36240336992448552</v>
      </c>
      <c r="P150" s="1" t="str">
        <f>HYPERLINK(".\sm_car_260612_0028\sm_car_260612_0028_149_Ca195TrN_MaMPC_DrSt_ode23t_1.png","figure")</f>
        <v>figure</v>
      </c>
      <c r="Q150" t="s">
        <v>15</v>
      </c>
      <c r="R150" t="b">
        <f>B150='2024b_260221_0030'!B150</f>
        <v>1</v>
      </c>
      <c r="T150">
        <f>(L150-'2024b_260221_0030'!L150)</f>
        <v>14</v>
      </c>
      <c r="U150" s="12">
        <f>(L150-'2024b_260221_0030'!L150)/'2024b_260221_0030'!L150</f>
        <v>4.7863247863247863E-3</v>
      </c>
      <c r="V150" s="4">
        <f>(M150-'2024b_260221_0030'!M150)</f>
        <v>0.14622450000000242</v>
      </c>
      <c r="W150" s="12">
        <f>(M150-'2024b_260221_0030'!M150)/'2024b_260221_0030'!M150</f>
        <v>3.4538462372253795E-3</v>
      </c>
    </row>
    <row r="151" spans="1:23" x14ac:dyDescent="0.25">
      <c r="A151">
        <v>150</v>
      </c>
      <c r="B151">
        <v>195</v>
      </c>
      <c r="C151" t="s">
        <v>45</v>
      </c>
      <c r="D151" t="s">
        <v>58</v>
      </c>
      <c r="E151" t="s">
        <v>107</v>
      </c>
      <c r="F151" t="s">
        <v>19</v>
      </c>
      <c r="G151" t="s">
        <v>26</v>
      </c>
      <c r="H151" t="s">
        <v>21</v>
      </c>
      <c r="I151" t="s">
        <v>56</v>
      </c>
      <c r="J151" t="s">
        <v>149</v>
      </c>
      <c r="K151" t="s">
        <v>23</v>
      </c>
      <c r="L151">
        <v>3394</v>
      </c>
      <c r="M151" s="4">
        <v>41.590360400000002</v>
      </c>
      <c r="N151" s="4">
        <v>0.77613011366275764</v>
      </c>
      <c r="O151" s="4">
        <v>2.5357549979391505E-2</v>
      </c>
      <c r="P151" s="1" t="str">
        <f>HYPERLINK(".\sm_car_260612_0028\sm_car_260612_0028_150_Ca195TrN_MaMPC_DrSt_ode23t_1.png","figure")</f>
        <v>figure</v>
      </c>
      <c r="Q151" t="s">
        <v>15</v>
      </c>
      <c r="R151" t="b">
        <f>B151='2024b_260221_0030'!B151</f>
        <v>1</v>
      </c>
      <c r="T151">
        <f>(L151-'2024b_260221_0030'!L151)</f>
        <v>27</v>
      </c>
      <c r="U151" s="12">
        <f>(L151-'2024b_260221_0030'!L151)/'2024b_260221_0030'!L151</f>
        <v>8.0190080190080185E-3</v>
      </c>
      <c r="V151" s="4">
        <f>(M151-'2024b_260221_0030'!M151)</f>
        <v>-4.3436991999999961</v>
      </c>
      <c r="W151" s="12">
        <f>(M151-'2024b_260221_0030'!M151)/'2024b_260221_0030'!M151</f>
        <v>-9.4563799451333419E-2</v>
      </c>
    </row>
    <row r="152" spans="1:23" x14ac:dyDescent="0.25">
      <c r="A152">
        <v>151</v>
      </c>
      <c r="B152">
        <v>198</v>
      </c>
      <c r="C152" t="s">
        <v>105</v>
      </c>
      <c r="D152" t="s">
        <v>120</v>
      </c>
      <c r="E152" t="s">
        <v>107</v>
      </c>
      <c r="F152" t="s">
        <v>19</v>
      </c>
      <c r="G152" t="s">
        <v>20</v>
      </c>
      <c r="H152" t="s">
        <v>21</v>
      </c>
      <c r="I152" t="s">
        <v>55</v>
      </c>
      <c r="J152" t="s">
        <v>148</v>
      </c>
      <c r="K152" t="s">
        <v>23</v>
      </c>
      <c r="L152">
        <v>2278</v>
      </c>
      <c r="M152" s="4">
        <v>34.154071000000002</v>
      </c>
      <c r="N152" s="4">
        <v>-8.5735388843032195E-3</v>
      </c>
      <c r="O152" s="4">
        <v>-0.7430773875855452</v>
      </c>
      <c r="P152" s="1" t="str">
        <f>HYPERLINK(".\sm_car_260612_0028\sm_car_260612_0028_151_Ca198TrN_MaMPK_DrSt_ode23t_1.png","figure")</f>
        <v>figure</v>
      </c>
      <c r="Q152" t="s">
        <v>15</v>
      </c>
      <c r="R152" t="b">
        <f>B152='2024b_260221_0030'!B152</f>
        <v>1</v>
      </c>
      <c r="T152">
        <f>(L152-'2024b_260221_0030'!L152)</f>
        <v>-28</v>
      </c>
      <c r="U152" s="12">
        <f>(L152-'2024b_260221_0030'!L152)/'2024b_260221_0030'!L152</f>
        <v>-1.2142237640936688E-2</v>
      </c>
      <c r="V152" s="4">
        <f>(M152-'2024b_260221_0030'!M152)</f>
        <v>1.3321664999999996</v>
      </c>
      <c r="W152" s="12">
        <f>(M152-'2024b_260221_0030'!M152)/'2024b_260221_0030'!M152</f>
        <v>4.0587727016267429E-2</v>
      </c>
    </row>
    <row r="153" spans="1:23" x14ac:dyDescent="0.25">
      <c r="A153">
        <v>152</v>
      </c>
      <c r="B153">
        <v>198</v>
      </c>
      <c r="C153" t="s">
        <v>105</v>
      </c>
      <c r="D153" t="s">
        <v>120</v>
      </c>
      <c r="E153" t="s">
        <v>107</v>
      </c>
      <c r="F153" t="s">
        <v>19</v>
      </c>
      <c r="G153" t="s">
        <v>20</v>
      </c>
      <c r="H153" t="s">
        <v>21</v>
      </c>
      <c r="I153" t="s">
        <v>55</v>
      </c>
      <c r="J153" t="s">
        <v>149</v>
      </c>
      <c r="K153" t="s">
        <v>23</v>
      </c>
      <c r="L153">
        <v>2550</v>
      </c>
      <c r="M153" s="4">
        <v>36.431354900000002</v>
      </c>
      <c r="N153" s="4">
        <v>-8.4844534785731007E-3</v>
      </c>
      <c r="O153" s="4">
        <v>-3.0452399384162741E-2</v>
      </c>
      <c r="P153" s="1" t="str">
        <f>HYPERLINK(".\sm_car_260612_0028\sm_car_260612_0028_152_Ca198TrN_MaMPK_DrSt_ode23t_1.png","figure")</f>
        <v>figure</v>
      </c>
      <c r="Q153" t="s">
        <v>15</v>
      </c>
      <c r="R153" t="b">
        <f>B153='2024b_260221_0030'!B153</f>
        <v>1</v>
      </c>
      <c r="T153">
        <f>(L153-'2024b_260221_0030'!L153)</f>
        <v>-31</v>
      </c>
      <c r="U153" s="12">
        <f>(L153-'2024b_260221_0030'!L153)/'2024b_260221_0030'!L153</f>
        <v>-1.2010848508330105E-2</v>
      </c>
      <c r="V153" s="4">
        <f>(M153-'2024b_260221_0030'!M153)</f>
        <v>-1.1083475000000007</v>
      </c>
      <c r="W153" s="12">
        <f>(M153-'2024b_260221_0030'!M153)/'2024b_260221_0030'!M153</f>
        <v>-2.9524674654852902E-2</v>
      </c>
    </row>
    <row r="154" spans="1:23" x14ac:dyDescent="0.25">
      <c r="A154">
        <v>153</v>
      </c>
      <c r="B154">
        <v>198</v>
      </c>
      <c r="C154" t="s">
        <v>105</v>
      </c>
      <c r="D154" t="s">
        <v>120</v>
      </c>
      <c r="E154" t="s">
        <v>107</v>
      </c>
      <c r="F154" t="s">
        <v>19</v>
      </c>
      <c r="G154" t="s">
        <v>20</v>
      </c>
      <c r="H154" t="s">
        <v>21</v>
      </c>
      <c r="I154" t="s">
        <v>56</v>
      </c>
      <c r="J154" t="s">
        <v>148</v>
      </c>
      <c r="K154" t="s">
        <v>23</v>
      </c>
      <c r="L154">
        <v>2088</v>
      </c>
      <c r="M154" s="4">
        <v>33.013296099999998</v>
      </c>
      <c r="N154" s="4">
        <v>0.78665783735535832</v>
      </c>
      <c r="O154" s="4">
        <v>-0.3379542418854885</v>
      </c>
      <c r="P154" s="1" t="str">
        <f>HYPERLINK(".\sm_car_260612_0028\sm_car_260612_0028_153_Ca198TrN_MaMPC_DrSt_ode23t_1.png","figure")</f>
        <v>figure</v>
      </c>
      <c r="Q154" t="s">
        <v>15</v>
      </c>
      <c r="R154" t="b">
        <f>B154='2024b_260221_0030'!B154</f>
        <v>1</v>
      </c>
      <c r="T154">
        <f>(L154-'2024b_260221_0030'!L154)</f>
        <v>12</v>
      </c>
      <c r="U154" s="12">
        <f>(L154-'2024b_260221_0030'!L154)/'2024b_260221_0030'!L154</f>
        <v>5.7803468208092483E-3</v>
      </c>
      <c r="V154" s="4">
        <f>(M154-'2024b_260221_0030'!M154)</f>
        <v>0.39960479999999876</v>
      </c>
      <c r="W154" s="12">
        <f>(M154-'2024b_260221_0030'!M154)/'2024b_260221_0030'!M154</f>
        <v>1.2252670092575468E-2</v>
      </c>
    </row>
    <row r="155" spans="1:23" x14ac:dyDescent="0.25">
      <c r="A155">
        <v>154</v>
      </c>
      <c r="B155">
        <v>198</v>
      </c>
      <c r="C155" t="s">
        <v>105</v>
      </c>
      <c r="D155" t="s">
        <v>120</v>
      </c>
      <c r="E155" t="s">
        <v>107</v>
      </c>
      <c r="F155" t="s">
        <v>19</v>
      </c>
      <c r="G155" t="s">
        <v>20</v>
      </c>
      <c r="H155" t="s">
        <v>21</v>
      </c>
      <c r="I155" t="s">
        <v>56</v>
      </c>
      <c r="J155" t="s">
        <v>149</v>
      </c>
      <c r="K155" t="s">
        <v>23</v>
      </c>
      <c r="L155">
        <v>2149</v>
      </c>
      <c r="M155" s="4">
        <v>32.9254891</v>
      </c>
      <c r="N155" s="4">
        <v>0.77998998413238141</v>
      </c>
      <c r="O155" s="4">
        <v>-8.2058491760213209E-2</v>
      </c>
      <c r="P155" s="1" t="str">
        <f>HYPERLINK(".\sm_car_260612_0028\sm_car_260612_0028_154_Ca198TrN_MaMPC_DrSt_ode23t_1.png","figure")</f>
        <v>figure</v>
      </c>
      <c r="Q155" t="s">
        <v>15</v>
      </c>
      <c r="R155" t="b">
        <f>B155='2024b_260221_0030'!B155</f>
        <v>1</v>
      </c>
      <c r="T155">
        <f>(L155-'2024b_260221_0030'!L155)</f>
        <v>-20</v>
      </c>
      <c r="U155" s="12">
        <f>(L155-'2024b_260221_0030'!L155)/'2024b_260221_0030'!L155</f>
        <v>-9.2208390963577688E-3</v>
      </c>
      <c r="V155" s="4">
        <f>(M155-'2024b_260221_0030'!M155)</f>
        <v>-0.6711133000000018</v>
      </c>
      <c r="W155" s="12">
        <f>(M155-'2024b_260221_0030'!M155)/'2024b_260221_0030'!M155</f>
        <v>-1.9975630035732474E-2</v>
      </c>
    </row>
    <row r="156" spans="1:23" x14ac:dyDescent="0.25">
      <c r="A156">
        <v>155</v>
      </c>
      <c r="B156">
        <v>151</v>
      </c>
      <c r="C156" t="s">
        <v>16</v>
      </c>
      <c r="D156" t="s">
        <v>17</v>
      </c>
      <c r="E156" t="s">
        <v>18</v>
      </c>
      <c r="F156" t="s">
        <v>19</v>
      </c>
      <c r="G156" t="s">
        <v>59</v>
      </c>
      <c r="H156" t="s">
        <v>21</v>
      </c>
      <c r="I156" t="s">
        <v>24</v>
      </c>
      <c r="J156" t="s">
        <v>148</v>
      </c>
      <c r="K156" t="s">
        <v>23</v>
      </c>
      <c r="L156">
        <v>503</v>
      </c>
      <c r="M156" s="4">
        <v>12.743453199999999</v>
      </c>
      <c r="N156" s="4">
        <v>72.158573474040494</v>
      </c>
      <c r="O156" s="4">
        <v>-0.79112498998053571</v>
      </c>
      <c r="P156" s="1" t="str">
        <f>HYPERLINK(".\sm_car_260612_0028\sm_car_260612_0028_155_Ca151TrN_MaLSS_DrSt_ode23t_1.png","figure")</f>
        <v>figure</v>
      </c>
      <c r="Q156" t="s">
        <v>15</v>
      </c>
      <c r="R156" t="b">
        <f>B156='2024b_260221_0030'!B156</f>
        <v>1</v>
      </c>
      <c r="T156">
        <f>(L156-'2024b_260221_0030'!L156)</f>
        <v>0</v>
      </c>
      <c r="U156" s="12">
        <f>(L156-'2024b_260221_0030'!L156)/'2024b_260221_0030'!L156</f>
        <v>0</v>
      </c>
      <c r="V156" s="4">
        <f>(M156-'2024b_260221_0030'!M156)</f>
        <v>0.72366089999999872</v>
      </c>
      <c r="W156" s="12">
        <f>(M156-'2024b_260221_0030'!M156)/'2024b_260221_0030'!M156</f>
        <v>6.0205774104765408E-2</v>
      </c>
    </row>
    <row r="157" spans="1:23" x14ac:dyDescent="0.25">
      <c r="A157">
        <v>156</v>
      </c>
      <c r="B157">
        <v>152</v>
      </c>
      <c r="C157" t="s">
        <v>16</v>
      </c>
      <c r="D157" t="s">
        <v>17</v>
      </c>
      <c r="E157" t="s">
        <v>18</v>
      </c>
      <c r="F157" t="s">
        <v>19</v>
      </c>
      <c r="G157" t="s">
        <v>60</v>
      </c>
      <c r="H157" t="s">
        <v>21</v>
      </c>
      <c r="I157" t="s">
        <v>24</v>
      </c>
      <c r="J157" t="s">
        <v>148</v>
      </c>
      <c r="K157" t="s">
        <v>23</v>
      </c>
      <c r="L157">
        <v>529</v>
      </c>
      <c r="M157" s="4">
        <v>14.4442036</v>
      </c>
      <c r="N157" s="4">
        <v>70.582489448570342</v>
      </c>
      <c r="O157" s="4">
        <v>-0.52552702890225911</v>
      </c>
      <c r="P157" s="1" t="str">
        <f>HYPERLINK(".\sm_car_260612_0028\sm_car_260612_0028_156_Ca152TrN_MaLSS_DrSt_ode23t_1.png","figure")</f>
        <v>figure</v>
      </c>
      <c r="Q157" t="s">
        <v>15</v>
      </c>
      <c r="R157" t="b">
        <f>B157='2024b_260221_0030'!B157</f>
        <v>1</v>
      </c>
      <c r="T157">
        <f>(L157-'2024b_260221_0030'!L157)</f>
        <v>0</v>
      </c>
      <c r="U157" s="12">
        <f>(L157-'2024b_260221_0030'!L157)/'2024b_260221_0030'!L157</f>
        <v>0</v>
      </c>
      <c r="V157" s="4">
        <f>(M157-'2024b_260221_0030'!M157)</f>
        <v>0.47678329999999924</v>
      </c>
      <c r="W157" s="12">
        <f>(M157-'2024b_260221_0030'!M157)/'2024b_260221_0030'!M157</f>
        <v>3.4135387191004715E-2</v>
      </c>
    </row>
    <row r="158" spans="1:23" x14ac:dyDescent="0.25">
      <c r="A158">
        <v>157</v>
      </c>
      <c r="B158">
        <v>153</v>
      </c>
      <c r="C158" t="s">
        <v>16</v>
      </c>
      <c r="D158" t="s">
        <v>17</v>
      </c>
      <c r="E158" t="s">
        <v>18</v>
      </c>
      <c r="F158" t="s">
        <v>19</v>
      </c>
      <c r="G158" t="s">
        <v>61</v>
      </c>
      <c r="H158" t="s">
        <v>21</v>
      </c>
      <c r="I158" t="s">
        <v>24</v>
      </c>
      <c r="J158" t="s">
        <v>148</v>
      </c>
      <c r="K158" t="s">
        <v>23</v>
      </c>
      <c r="L158">
        <v>545</v>
      </c>
      <c r="M158" s="4">
        <v>14.9533395</v>
      </c>
      <c r="N158" s="4">
        <v>70.430649948222495</v>
      </c>
      <c r="O158" s="4">
        <v>-0.86290032781101922</v>
      </c>
      <c r="P158" s="1" t="str">
        <f>HYPERLINK(".\sm_car_260612_0028\sm_car_260612_0028_157_Ca153TrN_MaLSS_DrSt_ode23t_1.png","figure")</f>
        <v>figure</v>
      </c>
      <c r="Q158" t="s">
        <v>15</v>
      </c>
      <c r="R158" t="b">
        <f>B158='2024b_260221_0030'!B158</f>
        <v>1</v>
      </c>
      <c r="T158">
        <f>(L158-'2024b_260221_0030'!L158)</f>
        <v>0</v>
      </c>
      <c r="U158" s="12">
        <f>(L158-'2024b_260221_0030'!L158)/'2024b_260221_0030'!L158</f>
        <v>0</v>
      </c>
      <c r="V158" s="4">
        <f>(M158-'2024b_260221_0030'!M158)</f>
        <v>0.24173479999999969</v>
      </c>
      <c r="W158" s="12">
        <f>(M158-'2024b_260221_0030'!M158)/'2024b_260221_0030'!M158</f>
        <v>1.6431572553060762E-2</v>
      </c>
    </row>
    <row r="159" spans="1:23" x14ac:dyDescent="0.25">
      <c r="A159">
        <v>158</v>
      </c>
      <c r="B159">
        <v>154</v>
      </c>
      <c r="C159" t="s">
        <v>16</v>
      </c>
      <c r="D159" t="s">
        <v>17</v>
      </c>
      <c r="E159" t="s">
        <v>18</v>
      </c>
      <c r="F159" t="s">
        <v>19</v>
      </c>
      <c r="G159" t="s">
        <v>108</v>
      </c>
      <c r="H159" t="s">
        <v>21</v>
      </c>
      <c r="I159" t="s">
        <v>24</v>
      </c>
      <c r="J159" t="s">
        <v>148</v>
      </c>
      <c r="K159" t="s">
        <v>23</v>
      </c>
      <c r="L159">
        <v>500</v>
      </c>
      <c r="M159" s="4">
        <v>17.310791200000001</v>
      </c>
      <c r="N159" s="4">
        <v>70.607147016675427</v>
      </c>
      <c r="O159" s="4">
        <v>-0.3557601453719117</v>
      </c>
      <c r="P159" s="1" t="str">
        <f>HYPERLINK(".\sm_car_260612_0028\sm_car_260612_0028_158_Ca154TrN_MaLSS_DrSt_ode23t_1.png","figure")</f>
        <v>figure</v>
      </c>
      <c r="Q159" t="s">
        <v>15</v>
      </c>
      <c r="R159" t="b">
        <f>B159='2024b_260221_0030'!B159</f>
        <v>1</v>
      </c>
      <c r="T159">
        <f>(L159-'2024b_260221_0030'!L159)</f>
        <v>0</v>
      </c>
      <c r="U159" s="12">
        <f>(L159-'2024b_260221_0030'!L159)/'2024b_260221_0030'!L159</f>
        <v>0</v>
      </c>
      <c r="V159" s="4">
        <f>(M159-'2024b_260221_0030'!M159)</f>
        <v>0.51962410000000148</v>
      </c>
      <c r="W159" s="12">
        <f>(M159-'2024b_260221_0030'!M159)/'2024b_260221_0030'!M159</f>
        <v>3.0946276509868184E-2</v>
      </c>
    </row>
    <row r="160" spans="1:23" x14ac:dyDescent="0.25">
      <c r="A160">
        <v>159</v>
      </c>
      <c r="B160">
        <v>155</v>
      </c>
      <c r="C160" t="s">
        <v>16</v>
      </c>
      <c r="D160" t="s">
        <v>17</v>
      </c>
      <c r="E160" t="s">
        <v>18</v>
      </c>
      <c r="F160" t="s">
        <v>19</v>
      </c>
      <c r="G160" t="s">
        <v>62</v>
      </c>
      <c r="H160" t="s">
        <v>21</v>
      </c>
      <c r="I160" t="s">
        <v>24</v>
      </c>
      <c r="J160" t="s">
        <v>148</v>
      </c>
      <c r="K160" t="s">
        <v>23</v>
      </c>
      <c r="L160">
        <v>548</v>
      </c>
      <c r="M160" s="4">
        <v>19.643350300000002</v>
      </c>
      <c r="N160" s="4">
        <v>70.460357685160901</v>
      </c>
      <c r="O160" s="4">
        <v>-0.83356471992057513</v>
      </c>
      <c r="P160" s="1" t="str">
        <f>HYPERLINK(".\sm_car_260612_0028\sm_car_260612_0028_159_Ca155TrN_MaLSS_DrSt_ode23t_1.png","figure")</f>
        <v>figure</v>
      </c>
      <c r="Q160" t="s">
        <v>15</v>
      </c>
      <c r="R160" t="b">
        <f>B160='2024b_260221_0030'!B160</f>
        <v>1</v>
      </c>
      <c r="T160">
        <f>(L160-'2024b_260221_0030'!L160)</f>
        <v>-9</v>
      </c>
      <c r="U160" s="12">
        <f>(L160-'2024b_260221_0030'!L160)/'2024b_260221_0030'!L160</f>
        <v>-1.615798922800718E-2</v>
      </c>
      <c r="V160" s="4">
        <f>(M160-'2024b_260221_0030'!M160)</f>
        <v>-7.142369999999687E-2</v>
      </c>
      <c r="W160" s="12">
        <f>(M160-'2024b_260221_0030'!M160)/'2024b_260221_0030'!M160</f>
        <v>-3.6228515731398631E-3</v>
      </c>
    </row>
    <row r="161" spans="1:23" x14ac:dyDescent="0.25">
      <c r="A161">
        <v>160</v>
      </c>
      <c r="B161">
        <v>4</v>
      </c>
      <c r="C161" t="s">
        <v>16</v>
      </c>
      <c r="D161" t="s">
        <v>17</v>
      </c>
      <c r="E161" t="s">
        <v>18</v>
      </c>
      <c r="F161" t="s">
        <v>28</v>
      </c>
      <c r="G161" t="s">
        <v>188</v>
      </c>
      <c r="H161" t="s">
        <v>21</v>
      </c>
      <c r="I161" t="s">
        <v>22</v>
      </c>
      <c r="J161" t="s">
        <v>148</v>
      </c>
      <c r="K161" t="s">
        <v>63</v>
      </c>
      <c r="L161">
        <v>3247</v>
      </c>
      <c r="M161" s="4">
        <v>9.5523091000000004</v>
      </c>
      <c r="N161" s="4">
        <v>230.12391721786827</v>
      </c>
      <c r="O161" s="4">
        <v>-2.7190338637773392E-3</v>
      </c>
      <c r="P161" s="1" t="str">
        <f>HYPERLINK(".\sm_car_260612_0028\sm_car_260612_0028_160_Ca004TrN_MaWOT_DrSt_ode3_1.png","figure")</f>
        <v>figure</v>
      </c>
      <c r="Q161" t="s">
        <v>15</v>
      </c>
      <c r="R161" t="b">
        <f>B161='2024b_260221_0030'!B161</f>
        <v>1</v>
      </c>
      <c r="T161">
        <f>(L161-'2024b_260221_0030'!L161)</f>
        <v>0</v>
      </c>
      <c r="U161" s="12">
        <f>(L161-'2024b_260221_0030'!L161)/'2024b_260221_0030'!L161</f>
        <v>0</v>
      </c>
      <c r="V161" s="4">
        <f>(M161-'2024b_260221_0030'!M161)</f>
        <v>0.11914680000000111</v>
      </c>
      <c r="W161" s="12">
        <f>(M161-'2024b_260221_0030'!M161)/'2024b_260221_0030'!M161</f>
        <v>1.2630631829582866E-2</v>
      </c>
    </row>
    <row r="162" spans="1:23" x14ac:dyDescent="0.25">
      <c r="A162">
        <v>161</v>
      </c>
      <c r="B162">
        <v>4</v>
      </c>
      <c r="C162" t="s">
        <v>16</v>
      </c>
      <c r="D162" t="s">
        <v>17</v>
      </c>
      <c r="E162" t="s">
        <v>18</v>
      </c>
      <c r="F162" t="s">
        <v>28</v>
      </c>
      <c r="G162" t="s">
        <v>188</v>
      </c>
      <c r="H162" t="s">
        <v>21</v>
      </c>
      <c r="I162" t="s">
        <v>24</v>
      </c>
      <c r="J162" t="s">
        <v>148</v>
      </c>
      <c r="K162" t="s">
        <v>63</v>
      </c>
      <c r="L162">
        <v>2564</v>
      </c>
      <c r="M162" s="4">
        <v>7.8684949</v>
      </c>
      <c r="N162" s="4">
        <v>70.877460183569553</v>
      </c>
      <c r="O162" s="4">
        <v>-0.53377972266774365</v>
      </c>
      <c r="P162" s="1" t="str">
        <f>HYPERLINK(".\sm_car_260612_0028\sm_car_260612_0028_161_Ca004TrN_MaLSS_DrSt_ode3_1.png","figure")</f>
        <v>figure</v>
      </c>
      <c r="Q162" t="s">
        <v>15</v>
      </c>
      <c r="R162" t="b">
        <f>B162='2024b_260221_0030'!B162</f>
        <v>1</v>
      </c>
      <c r="T162">
        <f>(L162-'2024b_260221_0030'!L162)</f>
        <v>0</v>
      </c>
      <c r="U162" s="12">
        <f>(L162-'2024b_260221_0030'!L162)/'2024b_260221_0030'!L162</f>
        <v>0</v>
      </c>
      <c r="V162" s="4">
        <f>(M162-'2024b_260221_0030'!M162)</f>
        <v>0.21563759999999998</v>
      </c>
      <c r="W162" s="12">
        <f>(M162-'2024b_260221_0030'!M162)/'2024b_260221_0030'!M162</f>
        <v>2.8177397218683273E-2</v>
      </c>
    </row>
    <row r="163" spans="1:23" x14ac:dyDescent="0.25">
      <c r="A163">
        <v>162</v>
      </c>
      <c r="B163">
        <v>4</v>
      </c>
      <c r="C163" t="s">
        <v>16</v>
      </c>
      <c r="D163" t="s">
        <v>17</v>
      </c>
      <c r="E163" t="s">
        <v>18</v>
      </c>
      <c r="F163" t="s">
        <v>28</v>
      </c>
      <c r="G163" t="s">
        <v>188</v>
      </c>
      <c r="H163" t="s">
        <v>21</v>
      </c>
      <c r="I163" t="s">
        <v>64</v>
      </c>
      <c r="J163" t="s">
        <v>148</v>
      </c>
      <c r="K163" t="s">
        <v>63</v>
      </c>
      <c r="L163">
        <v>2562</v>
      </c>
      <c r="M163" s="4">
        <v>7.8421607</v>
      </c>
      <c r="N163" s="4">
        <v>63.517181708669909</v>
      </c>
      <c r="O163" s="4">
        <v>-24.808510950198681</v>
      </c>
      <c r="P163" s="1" t="str">
        <f>HYPERLINK(".\sm_car_260612_0028\sm_car_260612_0028_162_Ca004TrN_MaTUR_DrSt_ode3_1.png","figure")</f>
        <v>figure</v>
      </c>
      <c r="Q163" t="s">
        <v>15</v>
      </c>
      <c r="R163" t="b">
        <f>B163='2024b_260221_0030'!B163</f>
        <v>1</v>
      </c>
      <c r="T163">
        <f>(L163-'2024b_260221_0030'!L163)</f>
        <v>0</v>
      </c>
      <c r="U163" s="12">
        <f>(L163-'2024b_260221_0030'!L163)/'2024b_260221_0030'!L163</f>
        <v>0</v>
      </c>
      <c r="V163" s="4">
        <f>(M163-'2024b_260221_0030'!M163)</f>
        <v>-0.37827430000000017</v>
      </c>
      <c r="W163" s="12">
        <f>(M163-'2024b_260221_0030'!M163)/'2024b_260221_0030'!M163</f>
        <v>-4.601633611846577E-2</v>
      </c>
    </row>
    <row r="164" spans="1:23" x14ac:dyDescent="0.25">
      <c r="A164">
        <v>163</v>
      </c>
      <c r="B164">
        <v>116</v>
      </c>
      <c r="C164" t="s">
        <v>16</v>
      </c>
      <c r="D164" t="s">
        <v>35</v>
      </c>
      <c r="E164" t="s">
        <v>18</v>
      </c>
      <c r="F164" t="s">
        <v>28</v>
      </c>
      <c r="G164" t="s">
        <v>188</v>
      </c>
      <c r="H164" t="s">
        <v>21</v>
      </c>
      <c r="I164" t="s">
        <v>22</v>
      </c>
      <c r="J164" t="s">
        <v>148</v>
      </c>
      <c r="K164" t="s">
        <v>63</v>
      </c>
      <c r="L164">
        <v>3244</v>
      </c>
      <c r="M164" s="4">
        <v>4.0945703</v>
      </c>
      <c r="N164" s="4">
        <v>242.69607452495515</v>
      </c>
      <c r="O164" s="4">
        <v>0.2363544606825817</v>
      </c>
      <c r="P164" s="1" t="str">
        <f>HYPERLINK(".\sm_car_260612_0028\sm_car_260612_0028_163_Ca116TrN_MaWOT_DrSt_ode3_1.png","figure")</f>
        <v>figure</v>
      </c>
      <c r="Q164" t="s">
        <v>15</v>
      </c>
      <c r="R164" t="b">
        <f>B164='2024b_260221_0030'!B164</f>
        <v>1</v>
      </c>
      <c r="T164">
        <f>(L164-'2024b_260221_0030'!L164)</f>
        <v>0</v>
      </c>
      <c r="U164" s="12">
        <f>(L164-'2024b_260221_0030'!L164)/'2024b_260221_0030'!L164</f>
        <v>0</v>
      </c>
      <c r="V164" s="4">
        <f>(M164-'2024b_260221_0030'!M164)</f>
        <v>6.0865200000000286E-2</v>
      </c>
      <c r="W164" s="12">
        <f>(M164-'2024b_260221_0030'!M164)/'2024b_260221_0030'!M164</f>
        <v>1.5089154633540337E-2</v>
      </c>
    </row>
    <row r="165" spans="1:23" x14ac:dyDescent="0.25">
      <c r="A165">
        <v>164</v>
      </c>
      <c r="B165">
        <v>116</v>
      </c>
      <c r="C165" t="s">
        <v>16</v>
      </c>
      <c r="D165" t="s">
        <v>35</v>
      </c>
      <c r="E165" t="s">
        <v>18</v>
      </c>
      <c r="F165" t="s">
        <v>28</v>
      </c>
      <c r="G165" t="s">
        <v>188</v>
      </c>
      <c r="H165" t="s">
        <v>21</v>
      </c>
      <c r="I165" t="s">
        <v>24</v>
      </c>
      <c r="J165" t="s">
        <v>148</v>
      </c>
      <c r="K165" t="s">
        <v>63</v>
      </c>
      <c r="L165">
        <v>2564</v>
      </c>
      <c r="M165" s="4">
        <v>3.4740970999999998</v>
      </c>
      <c r="N165" s="4">
        <v>74.657190781020958</v>
      </c>
      <c r="O165" s="4">
        <v>-0.3407582447130062</v>
      </c>
      <c r="P165" s="1" t="str">
        <f>HYPERLINK(".\sm_car_260612_0028\sm_car_260612_0028_164_Ca116TrN_MaLSS_DrSt_ode3_1.png","figure")</f>
        <v>figure</v>
      </c>
      <c r="Q165" t="s">
        <v>15</v>
      </c>
      <c r="R165" t="b">
        <f>B165='2024b_260221_0030'!B165</f>
        <v>1</v>
      </c>
      <c r="T165">
        <f>(L165-'2024b_260221_0030'!L165)</f>
        <v>0</v>
      </c>
      <c r="U165" s="12">
        <f>(L165-'2024b_260221_0030'!L165)/'2024b_260221_0030'!L165</f>
        <v>0</v>
      </c>
      <c r="V165" s="4">
        <f>(M165-'2024b_260221_0030'!M165)</f>
        <v>-2.6408100000000267E-2</v>
      </c>
      <c r="W165" s="12">
        <f>(M165-'2024b_260221_0030'!M165)/'2024b_260221_0030'!M165</f>
        <v>-7.5440824941497781E-3</v>
      </c>
    </row>
    <row r="166" spans="1:23" x14ac:dyDescent="0.25">
      <c r="A166">
        <v>165</v>
      </c>
      <c r="B166">
        <v>116</v>
      </c>
      <c r="C166" t="s">
        <v>16</v>
      </c>
      <c r="D166" t="s">
        <v>35</v>
      </c>
      <c r="E166" t="s">
        <v>18</v>
      </c>
      <c r="F166" t="s">
        <v>28</v>
      </c>
      <c r="G166" t="s">
        <v>188</v>
      </c>
      <c r="H166" t="s">
        <v>21</v>
      </c>
      <c r="I166" t="s">
        <v>64</v>
      </c>
      <c r="J166" t="s">
        <v>148</v>
      </c>
      <c r="K166" t="s">
        <v>63</v>
      </c>
      <c r="L166">
        <v>2563</v>
      </c>
      <c r="M166" s="4">
        <v>3.6363774000000002</v>
      </c>
      <c r="N166" s="4">
        <v>71.322015482827737</v>
      </c>
      <c r="O166" s="4">
        <v>-17.590329133627819</v>
      </c>
      <c r="P166" s="1" t="str">
        <f>HYPERLINK(".\sm_car_260612_0028\sm_car_260612_0028_165_Ca116TrN_MaTUR_DrSt_ode3_1.png","figure")</f>
        <v>figure</v>
      </c>
      <c r="Q166" t="s">
        <v>15</v>
      </c>
      <c r="R166" t="b">
        <f>B166='2024b_260221_0030'!B166</f>
        <v>1</v>
      </c>
      <c r="T166">
        <f>(L166-'2024b_260221_0030'!L166)</f>
        <v>0</v>
      </c>
      <c r="U166" s="12">
        <f>(L166-'2024b_260221_0030'!L166)/'2024b_260221_0030'!L166</f>
        <v>0</v>
      </c>
      <c r="V166" s="4">
        <f>(M166-'2024b_260221_0030'!M166)</f>
        <v>0.36159180000000024</v>
      </c>
      <c r="W166" s="12">
        <f>(M166-'2024b_260221_0030'!M166)/'2024b_260221_0030'!M166</f>
        <v>0.11041693844018376</v>
      </c>
    </row>
    <row r="167" spans="1:23" x14ac:dyDescent="0.25">
      <c r="A167">
        <v>166</v>
      </c>
      <c r="B167">
        <v>124</v>
      </c>
      <c r="C167" t="s">
        <v>16</v>
      </c>
      <c r="D167" t="s">
        <v>35</v>
      </c>
      <c r="E167" t="s">
        <v>49</v>
      </c>
      <c r="F167" t="s">
        <v>28</v>
      </c>
      <c r="G167" t="s">
        <v>188</v>
      </c>
      <c r="H167" t="s">
        <v>21</v>
      </c>
      <c r="I167" t="s">
        <v>22</v>
      </c>
      <c r="J167" t="s">
        <v>148</v>
      </c>
      <c r="K167" t="s">
        <v>63</v>
      </c>
      <c r="L167">
        <v>3244</v>
      </c>
      <c r="M167" s="4">
        <v>2.4309064</v>
      </c>
      <c r="N167" s="4">
        <v>242.87242715532986</v>
      </c>
      <c r="O167" s="4">
        <v>0.23615865807340586</v>
      </c>
      <c r="P167" s="1" t="str">
        <f>HYPERLINK(".\sm_car_260612_0028\sm_car_260612_0028_166_Ca124TrN_MaWOT_DrSt_ode3_1.png","figure")</f>
        <v>figure</v>
      </c>
      <c r="Q167" t="s">
        <v>15</v>
      </c>
      <c r="R167" t="b">
        <f>B167='2024b_260221_0030'!B167</f>
        <v>1</v>
      </c>
      <c r="T167">
        <f>(L167-'2024b_260221_0030'!L167)</f>
        <v>0</v>
      </c>
      <c r="U167" s="12">
        <f>(L167-'2024b_260221_0030'!L167)/'2024b_260221_0030'!L167</f>
        <v>0</v>
      </c>
      <c r="V167" s="4">
        <f>(M167-'2024b_260221_0030'!M167)</f>
        <v>-0.24141009999999996</v>
      </c>
      <c r="W167" s="12">
        <f>(M167-'2024b_260221_0030'!M167)/'2024b_260221_0030'!M167</f>
        <v>-9.0337390799330827E-2</v>
      </c>
    </row>
    <row r="168" spans="1:23" x14ac:dyDescent="0.25">
      <c r="A168">
        <v>167</v>
      </c>
      <c r="B168">
        <v>124</v>
      </c>
      <c r="C168" t="s">
        <v>16</v>
      </c>
      <c r="D168" t="s">
        <v>35</v>
      </c>
      <c r="E168" t="s">
        <v>49</v>
      </c>
      <c r="F168" t="s">
        <v>28</v>
      </c>
      <c r="G168" t="s">
        <v>188</v>
      </c>
      <c r="H168" t="s">
        <v>21</v>
      </c>
      <c r="I168" t="s">
        <v>24</v>
      </c>
      <c r="J168" t="s">
        <v>148</v>
      </c>
      <c r="K168" t="s">
        <v>63</v>
      </c>
      <c r="L168">
        <v>2565</v>
      </c>
      <c r="M168" s="4">
        <v>1.9370681999999999</v>
      </c>
      <c r="N168" s="4">
        <v>74.796106047635263</v>
      </c>
      <c r="O168" s="4">
        <v>-0.34233746036970919</v>
      </c>
      <c r="P168" s="1" t="str">
        <f>HYPERLINK(".\sm_car_260612_0028\sm_car_260612_0028_167_Ca124TrN_MaLSS_DrSt_ode3_1.png","figure")</f>
        <v>figure</v>
      </c>
      <c r="Q168" t="s">
        <v>15</v>
      </c>
      <c r="R168" t="b">
        <f>B168='2024b_260221_0030'!B168</f>
        <v>1</v>
      </c>
      <c r="T168">
        <f>(L168-'2024b_260221_0030'!L168)</f>
        <v>0</v>
      </c>
      <c r="U168" s="12">
        <f>(L168-'2024b_260221_0030'!L168)/'2024b_260221_0030'!L168</f>
        <v>0</v>
      </c>
      <c r="V168" s="4">
        <f>(M168-'2024b_260221_0030'!M168)</f>
        <v>0.1292072999999998</v>
      </c>
      <c r="W168" s="12">
        <f>(M168-'2024b_260221_0030'!M168)/'2024b_260221_0030'!M168</f>
        <v>7.1469713184238781E-2</v>
      </c>
    </row>
    <row r="169" spans="1:23" x14ac:dyDescent="0.25">
      <c r="A169">
        <v>168</v>
      </c>
      <c r="B169">
        <v>124</v>
      </c>
      <c r="C169" t="s">
        <v>16</v>
      </c>
      <c r="D169" t="s">
        <v>35</v>
      </c>
      <c r="E169" t="s">
        <v>49</v>
      </c>
      <c r="F169" t="s">
        <v>28</v>
      </c>
      <c r="G169" t="s">
        <v>188</v>
      </c>
      <c r="H169" t="s">
        <v>21</v>
      </c>
      <c r="I169" t="s">
        <v>64</v>
      </c>
      <c r="J169" t="s">
        <v>148</v>
      </c>
      <c r="K169" t="s">
        <v>63</v>
      </c>
      <c r="L169">
        <v>2564</v>
      </c>
      <c r="M169" s="4">
        <v>1.9366182000000001</v>
      </c>
      <c r="N169" s="4">
        <v>71.447408148581118</v>
      </c>
      <c r="O169" s="4">
        <v>-17.636376331807316</v>
      </c>
      <c r="P169" s="1" t="str">
        <f>HYPERLINK(".\sm_car_260612_0028\sm_car_260612_0028_168_Ca124TrN_MaTUR_DrSt_ode3_1.png","figure")</f>
        <v>figure</v>
      </c>
      <c r="Q169" t="s">
        <v>15</v>
      </c>
      <c r="R169" t="b">
        <f>B169='2024b_260221_0030'!B169</f>
        <v>1</v>
      </c>
      <c r="T169">
        <f>(L169-'2024b_260221_0030'!L169)</f>
        <v>0</v>
      </c>
      <c r="U169" s="12">
        <f>(L169-'2024b_260221_0030'!L169)/'2024b_260221_0030'!L169</f>
        <v>0</v>
      </c>
      <c r="V169" s="4">
        <f>(M169-'2024b_260221_0030'!M169)</f>
        <v>-0.11241260000000008</v>
      </c>
      <c r="W169" s="12">
        <f>(M169-'2024b_260221_0030'!M169)/'2024b_260221_0030'!M169</f>
        <v>-5.4861352010911732E-2</v>
      </c>
    </row>
    <row r="170" spans="1:23" x14ac:dyDescent="0.25">
      <c r="A170">
        <v>169</v>
      </c>
      <c r="B170">
        <v>141</v>
      </c>
      <c r="C170" t="s">
        <v>45</v>
      </c>
      <c r="D170" t="s">
        <v>17</v>
      </c>
      <c r="E170" t="s">
        <v>18</v>
      </c>
      <c r="F170" t="s">
        <v>28</v>
      </c>
      <c r="G170" t="s">
        <v>26</v>
      </c>
      <c r="H170" t="s">
        <v>21</v>
      </c>
      <c r="I170" t="s">
        <v>22</v>
      </c>
      <c r="J170" t="s">
        <v>148</v>
      </c>
      <c r="K170" t="s">
        <v>63</v>
      </c>
      <c r="L170">
        <v>3839</v>
      </c>
      <c r="M170" s="4">
        <v>13.2439638</v>
      </c>
      <c r="N170" s="4">
        <v>402.30863495617422</v>
      </c>
      <c r="O170" s="4">
        <v>1.6338397315292668</v>
      </c>
      <c r="P170" s="1" t="str">
        <f>HYPERLINK(".\sm_car_260612_0028\sm_car_260612_0028_169_Ca141TrN_MaWOT_DrSt_ode3_1.png","figure")</f>
        <v>figure</v>
      </c>
      <c r="Q170" t="s">
        <v>15</v>
      </c>
      <c r="R170" t="b">
        <f>B170='2024b_260221_0030'!B170</f>
        <v>1</v>
      </c>
      <c r="T170">
        <f>(L170-'2024b_260221_0030'!L170)</f>
        <v>-1</v>
      </c>
      <c r="U170" s="12">
        <f>(L170-'2024b_260221_0030'!L170)/'2024b_260221_0030'!L170</f>
        <v>-2.6041666666666666E-4</v>
      </c>
      <c r="V170" s="4">
        <f>(M170-'2024b_260221_0030'!M170)</f>
        <v>-0.14218220000000059</v>
      </c>
      <c r="W170" s="12">
        <f>(M170-'2024b_260221_0030'!M170)/'2024b_260221_0030'!M170</f>
        <v>-1.0621593399623805E-2</v>
      </c>
    </row>
    <row r="171" spans="1:23" x14ac:dyDescent="0.25">
      <c r="A171">
        <v>170</v>
      </c>
      <c r="B171">
        <v>141</v>
      </c>
      <c r="C171" t="s">
        <v>45</v>
      </c>
      <c r="D171" t="s">
        <v>17</v>
      </c>
      <c r="E171" t="s">
        <v>18</v>
      </c>
      <c r="F171" t="s">
        <v>28</v>
      </c>
      <c r="G171" t="s">
        <v>26</v>
      </c>
      <c r="H171" t="s">
        <v>21</v>
      </c>
      <c r="I171" t="s">
        <v>24</v>
      </c>
      <c r="J171" t="s">
        <v>148</v>
      </c>
      <c r="K171" t="s">
        <v>63</v>
      </c>
      <c r="L171">
        <v>3192</v>
      </c>
      <c r="M171" s="4">
        <v>11.4348844</v>
      </c>
      <c r="N171" s="4">
        <v>153.16103252931833</v>
      </c>
      <c r="O171" s="4">
        <v>-0.57333301644331658</v>
      </c>
      <c r="P171" s="1" t="str">
        <f>HYPERLINK(".\sm_car_260612_0028\sm_car_260612_0028_170_Ca141TrN_MaLSS_DrSt_ode3_1.png","figure")</f>
        <v>figure</v>
      </c>
      <c r="Q171" t="s">
        <v>15</v>
      </c>
      <c r="R171" t="b">
        <f>B171='2024b_260221_0030'!B171</f>
        <v>1</v>
      </c>
      <c r="T171">
        <f>(L171-'2024b_260221_0030'!L171)</f>
        <v>0</v>
      </c>
      <c r="U171" s="12">
        <f>(L171-'2024b_260221_0030'!L171)/'2024b_260221_0030'!L171</f>
        <v>0</v>
      </c>
      <c r="V171" s="4">
        <f>(M171-'2024b_260221_0030'!M171)</f>
        <v>0.59608449999999991</v>
      </c>
      <c r="W171" s="12">
        <f>(M171-'2024b_260221_0030'!M171)/'2024b_260221_0030'!M171</f>
        <v>5.4995433581166112E-2</v>
      </c>
    </row>
    <row r="172" spans="1:23" x14ac:dyDescent="0.25">
      <c r="A172">
        <v>171</v>
      </c>
      <c r="B172">
        <v>141</v>
      </c>
      <c r="C172" t="s">
        <v>45</v>
      </c>
      <c r="D172" t="s">
        <v>17</v>
      </c>
      <c r="E172" t="s">
        <v>18</v>
      </c>
      <c r="F172" t="s">
        <v>28</v>
      </c>
      <c r="G172" t="s">
        <v>26</v>
      </c>
      <c r="H172" t="s">
        <v>21</v>
      </c>
      <c r="I172" t="s">
        <v>64</v>
      </c>
      <c r="J172" t="s">
        <v>148</v>
      </c>
      <c r="K172" t="s">
        <v>63</v>
      </c>
      <c r="L172">
        <v>3161</v>
      </c>
      <c r="M172" s="4">
        <v>11.326340999999999</v>
      </c>
      <c r="N172" s="4">
        <v>98.182502301574189</v>
      </c>
      <c r="O172" s="4">
        <v>-86.478323075534789</v>
      </c>
      <c r="P172" s="1" t="str">
        <f>HYPERLINK(".\sm_car_260612_0028\sm_car_260612_0028_171_Ca141TrN_MaTUR_DrSt_ode3_1.png","figure")</f>
        <v>figure</v>
      </c>
      <c r="Q172" t="s">
        <v>15</v>
      </c>
      <c r="R172" t="b">
        <f>B172='2024b_260221_0030'!B172</f>
        <v>1</v>
      </c>
      <c r="T172">
        <f>(L172-'2024b_260221_0030'!L172)</f>
        <v>0</v>
      </c>
      <c r="U172" s="12">
        <f>(L172-'2024b_260221_0030'!L172)/'2024b_260221_0030'!L172</f>
        <v>0</v>
      </c>
      <c r="V172" s="4">
        <f>(M172-'2024b_260221_0030'!M172)</f>
        <v>0.42023589999999977</v>
      </c>
      <c r="W172" s="12">
        <f>(M172-'2024b_260221_0030'!M172)/'2024b_260221_0030'!M172</f>
        <v>3.8532170389592134E-2</v>
      </c>
    </row>
    <row r="173" spans="1:23" x14ac:dyDescent="0.25">
      <c r="A173">
        <v>172</v>
      </c>
      <c r="B173">
        <v>145</v>
      </c>
      <c r="C173" t="s">
        <v>46</v>
      </c>
      <c r="D173" t="s">
        <v>17</v>
      </c>
      <c r="E173" t="s">
        <v>50</v>
      </c>
      <c r="F173" t="s">
        <v>19</v>
      </c>
      <c r="G173" t="s">
        <v>26</v>
      </c>
      <c r="H173" t="s">
        <v>21</v>
      </c>
      <c r="I173" t="s">
        <v>22</v>
      </c>
      <c r="J173" t="s">
        <v>148</v>
      </c>
      <c r="K173" t="s">
        <v>63</v>
      </c>
      <c r="L173">
        <v>2642</v>
      </c>
      <c r="M173" s="4">
        <v>7.9448040999999998</v>
      </c>
      <c r="N173" s="4">
        <v>62.801313298608221</v>
      </c>
      <c r="O173" s="4">
        <v>1.2893842335469084E-2</v>
      </c>
      <c r="P173" s="1" t="str">
        <f>HYPERLINK(".\sm_car_260612_0028\sm_car_260612_0028_172_Ca145TrN_MaWOT_DrSt_ode3_1.png","figure")</f>
        <v>figure</v>
      </c>
      <c r="Q173" t="s">
        <v>15</v>
      </c>
      <c r="R173" t="b">
        <f>B173='2024b_260221_0030'!B173</f>
        <v>1</v>
      </c>
      <c r="T173">
        <f>(L173-'2024b_260221_0030'!L173)</f>
        <v>0</v>
      </c>
      <c r="U173" s="12">
        <f>(L173-'2024b_260221_0030'!L173)/'2024b_260221_0030'!L173</f>
        <v>0</v>
      </c>
      <c r="V173" s="4">
        <f>(M173-'2024b_260221_0030'!M173)</f>
        <v>3.767639999999961E-2</v>
      </c>
      <c r="W173" s="12">
        <f>(M173-'2024b_260221_0030'!M173)/'2024b_260221_0030'!M173</f>
        <v>4.7648655022985917E-3</v>
      </c>
    </row>
    <row r="174" spans="1:23" x14ac:dyDescent="0.25">
      <c r="A174">
        <v>173</v>
      </c>
      <c r="B174">
        <v>145</v>
      </c>
      <c r="C174" t="s">
        <v>46</v>
      </c>
      <c r="D174" t="s">
        <v>17</v>
      </c>
      <c r="E174" t="s">
        <v>50</v>
      </c>
      <c r="F174" t="s">
        <v>19</v>
      </c>
      <c r="G174" t="s">
        <v>26</v>
      </c>
      <c r="H174" t="s">
        <v>21</v>
      </c>
      <c r="I174" t="s">
        <v>24</v>
      </c>
      <c r="J174" t="s">
        <v>148</v>
      </c>
      <c r="K174" t="s">
        <v>63</v>
      </c>
      <c r="L174">
        <v>2382</v>
      </c>
      <c r="M174" s="4">
        <v>7.1658549000000002</v>
      </c>
      <c r="N174" s="4">
        <v>25.299765577118411</v>
      </c>
      <c r="O174" s="4">
        <v>-5.1070003004616386E-2</v>
      </c>
      <c r="P174" s="1" t="str">
        <f>HYPERLINK(".\sm_car_260612_0028\sm_car_260612_0028_173_Ca145TrN_MaLSS_DrSt_ode3_1.png","figure")</f>
        <v>figure</v>
      </c>
      <c r="Q174" t="s">
        <v>15</v>
      </c>
      <c r="R174" t="b">
        <f>B174='2024b_260221_0030'!B174</f>
        <v>1</v>
      </c>
      <c r="T174">
        <f>(L174-'2024b_260221_0030'!L174)</f>
        <v>0</v>
      </c>
      <c r="U174" s="12">
        <f>(L174-'2024b_260221_0030'!L174)/'2024b_260221_0030'!L174</f>
        <v>0</v>
      </c>
      <c r="V174" s="4">
        <f>(M174-'2024b_260221_0030'!M174)</f>
        <v>0.43496200000000051</v>
      </c>
      <c r="W174" s="12">
        <f>(M174-'2024b_260221_0030'!M174)/'2024b_260221_0030'!M174</f>
        <v>6.4621738372928283E-2</v>
      </c>
    </row>
    <row r="175" spans="1:23" x14ac:dyDescent="0.25">
      <c r="A175">
        <v>174</v>
      </c>
      <c r="B175">
        <v>145</v>
      </c>
      <c r="C175" t="s">
        <v>46</v>
      </c>
      <c r="D175" t="s">
        <v>17</v>
      </c>
      <c r="E175" t="s">
        <v>50</v>
      </c>
      <c r="F175" t="s">
        <v>19</v>
      </c>
      <c r="G175" t="s">
        <v>26</v>
      </c>
      <c r="H175" t="s">
        <v>21</v>
      </c>
      <c r="I175" t="s">
        <v>64</v>
      </c>
      <c r="J175" t="s">
        <v>148</v>
      </c>
      <c r="K175" t="s">
        <v>63</v>
      </c>
      <c r="L175">
        <v>2379</v>
      </c>
      <c r="M175" s="4">
        <v>7.0933941999999996</v>
      </c>
      <c r="N175" s="4">
        <v>25.119346970662672</v>
      </c>
      <c r="O175" s="4">
        <v>-2.6098494503383183</v>
      </c>
      <c r="P175" s="1" t="str">
        <f>HYPERLINK(".\sm_car_260612_0028\sm_car_260612_0028_174_Ca145TrN_MaTUR_DrSt_ode3_1.png","figure")</f>
        <v>figure</v>
      </c>
      <c r="Q175" t="s">
        <v>15</v>
      </c>
      <c r="R175" t="b">
        <f>B175='2024b_260221_0030'!B175</f>
        <v>1</v>
      </c>
      <c r="T175">
        <f>(L175-'2024b_260221_0030'!L175)</f>
        <v>0</v>
      </c>
      <c r="U175" s="12">
        <f>(L175-'2024b_260221_0030'!L175)/'2024b_260221_0030'!L175</f>
        <v>0</v>
      </c>
      <c r="V175" s="4">
        <f>(M175-'2024b_260221_0030'!M175)</f>
        <v>8.6290399999999323E-2</v>
      </c>
      <c r="W175" s="12">
        <f>(M175-'2024b_260221_0030'!M175)/'2024b_260221_0030'!M175</f>
        <v>1.231470268786361E-2</v>
      </c>
    </row>
    <row r="176" spans="1:23" x14ac:dyDescent="0.25">
      <c r="A176">
        <v>175</v>
      </c>
      <c r="B176">
        <v>199</v>
      </c>
      <c r="C176" t="s">
        <v>46</v>
      </c>
      <c r="D176" t="s">
        <v>17</v>
      </c>
      <c r="E176" t="s">
        <v>109</v>
      </c>
      <c r="F176" t="s">
        <v>19</v>
      </c>
      <c r="G176" t="s">
        <v>26</v>
      </c>
      <c r="H176" t="s">
        <v>21</v>
      </c>
      <c r="I176" t="s">
        <v>22</v>
      </c>
      <c r="J176" t="s">
        <v>148</v>
      </c>
      <c r="K176" t="s">
        <v>63</v>
      </c>
      <c r="L176">
        <v>2647</v>
      </c>
      <c r="M176" s="4">
        <v>8.8024006999999997</v>
      </c>
      <c r="N176" s="4">
        <v>63.479991086186772</v>
      </c>
      <c r="O176" s="4">
        <v>-1.3351542397531919E-4</v>
      </c>
      <c r="P176" s="1" t="str">
        <f>HYPERLINK(".\sm_car_260612_0028\sm_car_260612_0028_175_Ca199TrN_MaWOT_DrSt_ode3_1.png","figure")</f>
        <v>figure</v>
      </c>
      <c r="Q176" t="s">
        <v>15</v>
      </c>
      <c r="R176" t="b">
        <f>B176='2024b_260221_0030'!B176</f>
        <v>1</v>
      </c>
      <c r="T176">
        <f>(L176-'2024b_260221_0030'!L176)</f>
        <v>0</v>
      </c>
      <c r="U176" s="12">
        <f>(L176-'2024b_260221_0030'!L176)/'2024b_260221_0030'!L176</f>
        <v>0</v>
      </c>
      <c r="V176" s="4">
        <f>(M176-'2024b_260221_0030'!M176)</f>
        <v>0.56181389999999887</v>
      </c>
      <c r="W176" s="12">
        <f>(M176-'2024b_260221_0030'!M176)/'2024b_260221_0030'!M176</f>
        <v>6.8176443454245131E-2</v>
      </c>
    </row>
    <row r="177" spans="1:23" x14ac:dyDescent="0.25">
      <c r="A177">
        <v>176</v>
      </c>
      <c r="B177">
        <v>199</v>
      </c>
      <c r="C177" t="s">
        <v>46</v>
      </c>
      <c r="D177" t="s">
        <v>17</v>
      </c>
      <c r="E177" t="s">
        <v>109</v>
      </c>
      <c r="F177" t="s">
        <v>19</v>
      </c>
      <c r="G177" t="s">
        <v>26</v>
      </c>
      <c r="H177" t="s">
        <v>21</v>
      </c>
      <c r="I177" t="s">
        <v>24</v>
      </c>
      <c r="J177" t="s">
        <v>148</v>
      </c>
      <c r="K177" t="s">
        <v>63</v>
      </c>
      <c r="L177">
        <v>2385</v>
      </c>
      <c r="M177" s="4">
        <v>8.2579823000000001</v>
      </c>
      <c r="N177" s="4">
        <v>25.919543247611728</v>
      </c>
      <c r="O177" s="4">
        <v>-5.3777383538012799E-2</v>
      </c>
      <c r="P177" s="1" t="str">
        <f>HYPERLINK(".\sm_car_260612_0028\sm_car_260612_0028_176_Ca199TrN_MaLSS_DrSt_ode3_1.png","figure")</f>
        <v>figure</v>
      </c>
      <c r="Q177" t="s">
        <v>15</v>
      </c>
      <c r="R177" t="b">
        <f>B177='2024b_260221_0030'!B177</f>
        <v>1</v>
      </c>
      <c r="T177">
        <f>(L177-'2024b_260221_0030'!L177)</f>
        <v>0</v>
      </c>
      <c r="U177" s="12">
        <f>(L177-'2024b_260221_0030'!L177)/'2024b_260221_0030'!L177</f>
        <v>0</v>
      </c>
      <c r="V177" s="4">
        <f>(M177-'2024b_260221_0030'!M177)</f>
        <v>0.42964179999999974</v>
      </c>
      <c r="W177" s="12">
        <f>(M177-'2024b_260221_0030'!M177)/'2024b_260221_0030'!M177</f>
        <v>5.4882870769353956E-2</v>
      </c>
    </row>
    <row r="178" spans="1:23" x14ac:dyDescent="0.25">
      <c r="A178">
        <v>177</v>
      </c>
      <c r="B178">
        <v>199</v>
      </c>
      <c r="C178" t="s">
        <v>46</v>
      </c>
      <c r="D178" t="s">
        <v>17</v>
      </c>
      <c r="E178" t="s">
        <v>109</v>
      </c>
      <c r="F178" t="s">
        <v>19</v>
      </c>
      <c r="G178" t="s">
        <v>26</v>
      </c>
      <c r="H178" t="s">
        <v>21</v>
      </c>
      <c r="I178" t="s">
        <v>64</v>
      </c>
      <c r="J178" t="s">
        <v>148</v>
      </c>
      <c r="K178" t="s">
        <v>63</v>
      </c>
      <c r="L178">
        <v>2383</v>
      </c>
      <c r="M178" s="4">
        <v>7.798616</v>
      </c>
      <c r="N178" s="4">
        <v>25.733626918673806</v>
      </c>
      <c r="O178" s="4">
        <v>-2.6936807199068045</v>
      </c>
      <c r="P178" s="1" t="str">
        <f>HYPERLINK(".\sm_car_260612_0028\sm_car_260612_0028_177_Ca199TrN_MaTUR_DrSt_ode3_1.png","figure")</f>
        <v>figure</v>
      </c>
      <c r="Q178" t="s">
        <v>15</v>
      </c>
      <c r="R178" t="b">
        <f>B178='2024b_260221_0030'!B178</f>
        <v>1</v>
      </c>
      <c r="T178">
        <f>(L178-'2024b_260221_0030'!L178)</f>
        <v>0</v>
      </c>
      <c r="U178" s="12">
        <f>(L178-'2024b_260221_0030'!L178)/'2024b_260221_0030'!L178</f>
        <v>0</v>
      </c>
      <c r="V178" s="4">
        <f>(M178-'2024b_260221_0030'!M178)</f>
        <v>0.21324420000000011</v>
      </c>
      <c r="W178" s="12">
        <f>(M178-'2024b_260221_0030'!M178)/'2024b_260221_0030'!M178</f>
        <v>2.8112557383146348E-2</v>
      </c>
    </row>
    <row r="179" spans="1:23" x14ac:dyDescent="0.25">
      <c r="A179">
        <v>178</v>
      </c>
      <c r="B179">
        <v>139</v>
      </c>
      <c r="C179" t="s">
        <v>45</v>
      </c>
      <c r="D179" t="s">
        <v>17</v>
      </c>
      <c r="E179" t="s">
        <v>18</v>
      </c>
      <c r="F179" t="s">
        <v>19</v>
      </c>
      <c r="G179" t="s">
        <v>26</v>
      </c>
      <c r="H179" t="s">
        <v>21</v>
      </c>
      <c r="I179" t="s">
        <v>53</v>
      </c>
      <c r="J179" t="s">
        <v>148</v>
      </c>
      <c r="K179" t="s">
        <v>23</v>
      </c>
      <c r="L179">
        <v>524</v>
      </c>
      <c r="M179" s="4">
        <v>11.4219484</v>
      </c>
      <c r="N179" s="4">
        <v>253.99676452488802</v>
      </c>
      <c r="O179" s="4">
        <v>-8.6149756927254018E-3</v>
      </c>
      <c r="P179" s="1" t="str">
        <f>HYPERLINK(".\sm_car_260612_0028\sm_car_260612_0028_178_Ca139TrN_MaDLC_DrSt_ode23t_1.png","figure")</f>
        <v>figure</v>
      </c>
      <c r="Q179" t="s">
        <v>15</v>
      </c>
      <c r="R179" t="b">
        <f>B179='2024b_260221_0030'!B179</f>
        <v>1</v>
      </c>
      <c r="T179">
        <f>(L179-'2024b_260221_0030'!L179)</f>
        <v>6</v>
      </c>
      <c r="U179" s="12">
        <f>(L179-'2024b_260221_0030'!L179)/'2024b_260221_0030'!L179</f>
        <v>1.1583011583011582E-2</v>
      </c>
      <c r="V179" s="4">
        <f>(M179-'2024b_260221_0030'!M179)</f>
        <v>-1.0461326999999994</v>
      </c>
      <c r="W179" s="12">
        <f>(M179-'2024b_260221_0030'!M179)/'2024b_260221_0030'!M179</f>
        <v>-8.390486808751986E-2</v>
      </c>
    </row>
    <row r="180" spans="1:23" x14ac:dyDescent="0.25">
      <c r="A180">
        <v>179</v>
      </c>
      <c r="B180">
        <v>139</v>
      </c>
      <c r="C180" t="s">
        <v>45</v>
      </c>
      <c r="D180" t="s">
        <v>17</v>
      </c>
      <c r="E180" t="s">
        <v>18</v>
      </c>
      <c r="F180" t="s">
        <v>19</v>
      </c>
      <c r="G180" t="s">
        <v>26</v>
      </c>
      <c r="H180" t="s">
        <v>65</v>
      </c>
      <c r="I180" t="s">
        <v>53</v>
      </c>
      <c r="J180" t="s">
        <v>148</v>
      </c>
      <c r="K180" t="s">
        <v>23</v>
      </c>
      <c r="L180">
        <v>815</v>
      </c>
      <c r="M180" s="4">
        <v>32.755045299999999</v>
      </c>
      <c r="N180" s="4">
        <v>253.80160384792362</v>
      </c>
      <c r="O180" s="4">
        <v>7.3828787203487067E-3</v>
      </c>
      <c r="P180" s="1" t="str">
        <f>HYPERLINK(".\sm_car_260612_0028\sm_car_260612_0028_179_Ca139TrE_MaDLC_DrSt_ode23t_1.png","figure")</f>
        <v>figure</v>
      </c>
      <c r="Q180" t="s">
        <v>15</v>
      </c>
      <c r="R180" t="b">
        <f>B180='2024b_260221_0030'!B180</f>
        <v>1</v>
      </c>
      <c r="T180">
        <f>(L180-'2024b_260221_0030'!L180)</f>
        <v>33</v>
      </c>
      <c r="U180" s="12">
        <f>(L180-'2024b_260221_0030'!L180)/'2024b_260221_0030'!L180</f>
        <v>4.2199488491048591E-2</v>
      </c>
      <c r="V180" s="4">
        <f>(M180-'2024b_260221_0030'!M180)</f>
        <v>0.85515069999999938</v>
      </c>
      <c r="W180" s="12">
        <f>(M180-'2024b_260221_0030'!M180)/'2024b_260221_0030'!M180</f>
        <v>2.6807320548325554E-2</v>
      </c>
    </row>
    <row r="181" spans="1:23" x14ac:dyDescent="0.25">
      <c r="A181">
        <v>180</v>
      </c>
      <c r="B181">
        <v>139</v>
      </c>
      <c r="C181" t="s">
        <v>45</v>
      </c>
      <c r="D181" t="s">
        <v>17</v>
      </c>
      <c r="E181" t="s">
        <v>18</v>
      </c>
      <c r="F181" t="s">
        <v>19</v>
      </c>
      <c r="G181" t="s">
        <v>26</v>
      </c>
      <c r="H181" t="s">
        <v>66</v>
      </c>
      <c r="I181" t="s">
        <v>53</v>
      </c>
      <c r="J181" t="s">
        <v>148</v>
      </c>
      <c r="K181" t="s">
        <v>23</v>
      </c>
      <c r="L181">
        <v>857</v>
      </c>
      <c r="M181" s="4">
        <v>35.555573699999997</v>
      </c>
      <c r="N181" s="4">
        <v>256.58900117886174</v>
      </c>
      <c r="O181" s="4">
        <v>-6.6800113465834698E-3</v>
      </c>
      <c r="P181" s="1" t="str">
        <f>HYPERLINK(".\sm_car_260612_0028\sm_car_260612_0028_180_Ca139TrT_MaDLC_DrSt_ode23t_1.png","figure")</f>
        <v>figure</v>
      </c>
      <c r="Q181" t="s">
        <v>15</v>
      </c>
      <c r="R181" t="b">
        <f>B181='2024b_260221_0030'!B181</f>
        <v>1</v>
      </c>
      <c r="T181">
        <f>(L181-'2024b_260221_0030'!L181)</f>
        <v>-119</v>
      </c>
      <c r="U181" s="12">
        <f>(L181-'2024b_260221_0030'!L181)/'2024b_260221_0030'!L181</f>
        <v>-0.12192622950819672</v>
      </c>
      <c r="V181" s="4">
        <f>(M181-'2024b_260221_0030'!M181)</f>
        <v>-5.2322875000000053</v>
      </c>
      <c r="W181" s="12">
        <f>(M181-'2024b_260221_0030'!M181)/'2024b_260221_0030'!M181</f>
        <v>-0.12828050665230775</v>
      </c>
    </row>
    <row r="182" spans="1:23" x14ac:dyDescent="0.25">
      <c r="A182">
        <v>181</v>
      </c>
      <c r="B182">
        <v>139</v>
      </c>
      <c r="C182" t="s">
        <v>45</v>
      </c>
      <c r="D182" t="s">
        <v>17</v>
      </c>
      <c r="E182" t="s">
        <v>18</v>
      </c>
      <c r="F182" t="s">
        <v>19</v>
      </c>
      <c r="G182" t="s">
        <v>26</v>
      </c>
      <c r="H182" t="s">
        <v>65</v>
      </c>
      <c r="I182" t="s">
        <v>53</v>
      </c>
      <c r="J182" t="s">
        <v>148</v>
      </c>
      <c r="K182" t="s">
        <v>23</v>
      </c>
      <c r="L182">
        <v>936</v>
      </c>
      <c r="M182" s="4">
        <v>28.144798000000002</v>
      </c>
      <c r="N182" s="4">
        <v>253.38042401563018</v>
      </c>
      <c r="O182" s="4">
        <v>0.16724169237921149</v>
      </c>
      <c r="P182" s="1" t="str">
        <f>HYPERLINK(".\sm_car_260612_0028\sm_car_260612_0028_181_Ca139TrE_MaDLC_DrSt_ode23t_1.png","figure")</f>
        <v>figure</v>
      </c>
      <c r="Q182" t="s">
        <v>15</v>
      </c>
      <c r="R182" t="b">
        <f>B182='2024b_260221_0030'!B182</f>
        <v>1</v>
      </c>
      <c r="T182">
        <f>(L182-'2024b_260221_0030'!L182)</f>
        <v>3</v>
      </c>
      <c r="U182" s="12">
        <f>(L182-'2024b_260221_0030'!L182)/'2024b_260221_0030'!L182</f>
        <v>3.2154340836012861E-3</v>
      </c>
      <c r="V182" s="4">
        <f>(M182-'2024b_260221_0030'!M182)</f>
        <v>0.68671860000000251</v>
      </c>
      <c r="W182" s="12">
        <f>(M182-'2024b_260221_0030'!M182)/'2024b_260221_0030'!M182</f>
        <v>2.5009709892528119E-2</v>
      </c>
    </row>
    <row r="183" spans="1:23" x14ac:dyDescent="0.25">
      <c r="A183">
        <v>182</v>
      </c>
      <c r="B183">
        <v>2</v>
      </c>
      <c r="C183" t="s">
        <v>16</v>
      </c>
      <c r="D183" t="s">
        <v>17</v>
      </c>
      <c r="E183" t="s">
        <v>18</v>
      </c>
      <c r="F183" t="s">
        <v>19</v>
      </c>
      <c r="G183" t="s">
        <v>188</v>
      </c>
      <c r="H183" t="s">
        <v>21</v>
      </c>
      <c r="I183" t="s">
        <v>53</v>
      </c>
      <c r="J183" t="s">
        <v>148</v>
      </c>
      <c r="K183" t="s">
        <v>23</v>
      </c>
      <c r="L183">
        <v>527</v>
      </c>
      <c r="M183" s="4">
        <v>10.194116599999999</v>
      </c>
      <c r="N183" s="4">
        <v>254.3980921395289</v>
      </c>
      <c r="O183" s="4">
        <v>4.309435175936116E-2</v>
      </c>
      <c r="P183" s="1" t="str">
        <f>HYPERLINK(".\sm_car_260612_0028\sm_car_260612_0028_182_Ca002TrN_MaDLC_DrSt_ode23t_1.png","figure")</f>
        <v>figure</v>
      </c>
      <c r="Q183" t="s">
        <v>15</v>
      </c>
      <c r="R183" t="b">
        <f>B183='2024b_260221_0030'!B183</f>
        <v>1</v>
      </c>
      <c r="T183">
        <f>(L183-'2024b_260221_0030'!L183)</f>
        <v>0</v>
      </c>
      <c r="U183" s="12">
        <f>(L183-'2024b_260221_0030'!L183)/'2024b_260221_0030'!L183</f>
        <v>0</v>
      </c>
      <c r="V183" s="4">
        <f>(M183-'2024b_260221_0030'!M183)</f>
        <v>-0.1068667000000012</v>
      </c>
      <c r="W183" s="12">
        <f>(M183-'2024b_260221_0030'!M183)/'2024b_260221_0030'!M183</f>
        <v>-1.037441736266102E-2</v>
      </c>
    </row>
    <row r="184" spans="1:23" x14ac:dyDescent="0.25">
      <c r="A184">
        <v>183</v>
      </c>
      <c r="B184">
        <v>2</v>
      </c>
      <c r="C184" t="s">
        <v>16</v>
      </c>
      <c r="D184" t="s">
        <v>17</v>
      </c>
      <c r="E184" t="s">
        <v>18</v>
      </c>
      <c r="F184" t="s">
        <v>19</v>
      </c>
      <c r="G184" t="s">
        <v>188</v>
      </c>
      <c r="H184" t="s">
        <v>65</v>
      </c>
      <c r="I184" t="s">
        <v>53</v>
      </c>
      <c r="J184" t="s">
        <v>148</v>
      </c>
      <c r="K184" t="s">
        <v>23</v>
      </c>
      <c r="L184">
        <v>555</v>
      </c>
      <c r="M184" s="4">
        <v>20.396401000000001</v>
      </c>
      <c r="N184" s="4">
        <v>255.03264664219012</v>
      </c>
      <c r="O184" s="4">
        <v>4.1463938932376543E-2</v>
      </c>
      <c r="P184" s="1" t="str">
        <f>HYPERLINK(".\sm_car_260612_0028\sm_car_260612_0028_183_Ca002TrE_MaDLC_DrSt_ode23t_1.png","figure")</f>
        <v>figure</v>
      </c>
      <c r="Q184" t="s">
        <v>15</v>
      </c>
      <c r="R184" t="b">
        <f>B184='2024b_260221_0030'!B184</f>
        <v>1</v>
      </c>
      <c r="T184">
        <f>(L184-'2024b_260221_0030'!L184)</f>
        <v>0</v>
      </c>
      <c r="U184" s="12">
        <f>(L184-'2024b_260221_0030'!L184)/'2024b_260221_0030'!L184</f>
        <v>0</v>
      </c>
      <c r="V184" s="4">
        <f>(M184-'2024b_260221_0030'!M184)</f>
        <v>1.987143200000002</v>
      </c>
      <c r="W184" s="12">
        <f>(M184-'2024b_260221_0030'!M184)/'2024b_260221_0030'!M184</f>
        <v>0.10794260266158053</v>
      </c>
    </row>
    <row r="185" spans="1:23" x14ac:dyDescent="0.25">
      <c r="A185">
        <v>184</v>
      </c>
      <c r="B185">
        <v>2</v>
      </c>
      <c r="C185" t="s">
        <v>16</v>
      </c>
      <c r="D185" t="s">
        <v>17</v>
      </c>
      <c r="E185" t="s">
        <v>18</v>
      </c>
      <c r="F185" t="s">
        <v>19</v>
      </c>
      <c r="G185" t="s">
        <v>188</v>
      </c>
      <c r="H185" t="s">
        <v>66</v>
      </c>
      <c r="I185" t="s">
        <v>53</v>
      </c>
      <c r="J185" t="s">
        <v>148</v>
      </c>
      <c r="K185" t="s">
        <v>23</v>
      </c>
      <c r="L185">
        <v>857</v>
      </c>
      <c r="M185" s="4">
        <v>26.661000600000001</v>
      </c>
      <c r="N185" s="4">
        <v>253.4148112528311</v>
      </c>
      <c r="O185" s="4">
        <v>4.6705041521387436E-2</v>
      </c>
      <c r="P185" s="1" t="str">
        <f>HYPERLINK(".\sm_car_260612_0028\sm_car_260612_0028_184_Ca002TrT_MaDLC_DrSt_ode23t_1.png","figure")</f>
        <v>figure</v>
      </c>
      <c r="Q185" t="s">
        <v>15</v>
      </c>
      <c r="R185" t="b">
        <f>B185='2024b_260221_0030'!B185</f>
        <v>1</v>
      </c>
      <c r="T185">
        <f>(L185-'2024b_260221_0030'!L185)</f>
        <v>0</v>
      </c>
      <c r="U185" s="12">
        <f>(L185-'2024b_260221_0030'!L185)/'2024b_260221_0030'!L185</f>
        <v>0</v>
      </c>
      <c r="V185" s="4">
        <f>(M185-'2024b_260221_0030'!M185)</f>
        <v>-0.7691555000000001</v>
      </c>
      <c r="W185" s="12">
        <f>(M185-'2024b_260221_0030'!M185)/'2024b_260221_0030'!M185</f>
        <v>-2.8040507578445756E-2</v>
      </c>
    </row>
    <row r="186" spans="1:23" x14ac:dyDescent="0.25">
      <c r="A186">
        <v>185</v>
      </c>
      <c r="B186">
        <v>2</v>
      </c>
      <c r="C186" t="s">
        <v>16</v>
      </c>
      <c r="D186" t="s">
        <v>17</v>
      </c>
      <c r="E186" t="s">
        <v>18</v>
      </c>
      <c r="F186" t="s">
        <v>19</v>
      </c>
      <c r="G186" t="s">
        <v>188</v>
      </c>
      <c r="H186" t="s">
        <v>65</v>
      </c>
      <c r="I186" t="s">
        <v>53</v>
      </c>
      <c r="J186" t="s">
        <v>148</v>
      </c>
      <c r="K186" t="s">
        <v>23</v>
      </c>
      <c r="L186">
        <v>563</v>
      </c>
      <c r="M186" s="4">
        <v>13.945282000000001</v>
      </c>
      <c r="N186" s="4">
        <v>253.21717308073283</v>
      </c>
      <c r="O186" s="4">
        <v>4.8158266585414111E-2</v>
      </c>
      <c r="P186" s="1" t="str">
        <f>HYPERLINK(".\sm_car_260612_0028\sm_car_260612_0028_185_Ca002TrE_MaDLC_DrSt_ode23t_1.png","figure")</f>
        <v>figure</v>
      </c>
      <c r="Q186" t="s">
        <v>15</v>
      </c>
      <c r="R186" t="b">
        <f>B186='2024b_260221_0030'!B186</f>
        <v>1</v>
      </c>
      <c r="T186">
        <f>(L186-'2024b_260221_0030'!L186)</f>
        <v>0</v>
      </c>
      <c r="U186" s="12">
        <f>(L186-'2024b_260221_0030'!L186)/'2024b_260221_0030'!L186</f>
        <v>0</v>
      </c>
      <c r="V186" s="4">
        <f>(M186-'2024b_260221_0030'!M186)</f>
        <v>-0.39972979999999936</v>
      </c>
      <c r="W186" s="12">
        <f>(M186-'2024b_260221_0030'!M186)/'2024b_260221_0030'!M186</f>
        <v>-2.7865421484003196E-2</v>
      </c>
    </row>
    <row r="187" spans="1:23" x14ac:dyDescent="0.25">
      <c r="A187">
        <v>186</v>
      </c>
      <c r="B187">
        <v>145</v>
      </c>
      <c r="C187" t="s">
        <v>46</v>
      </c>
      <c r="D187" t="s">
        <v>17</v>
      </c>
      <c r="E187" t="s">
        <v>50</v>
      </c>
      <c r="F187" t="s">
        <v>19</v>
      </c>
      <c r="G187" t="s">
        <v>26</v>
      </c>
      <c r="H187" t="s">
        <v>21</v>
      </c>
      <c r="I187" t="s">
        <v>53</v>
      </c>
      <c r="J187" t="s">
        <v>148</v>
      </c>
      <c r="K187" t="s">
        <v>23</v>
      </c>
      <c r="L187">
        <v>464</v>
      </c>
      <c r="M187" s="4">
        <v>17.9310373</v>
      </c>
      <c r="N187" s="4">
        <v>253.89788928119884</v>
      </c>
      <c r="O187" s="4">
        <v>7.4999592997252229E-2</v>
      </c>
      <c r="P187" s="1" t="str">
        <f>HYPERLINK(".\sm_car_260612_0028\sm_car_260612_0028_186_Ca145TrN_MaDLC_DrSt_ode23t_1.png","figure")</f>
        <v>figure</v>
      </c>
      <c r="Q187" t="s">
        <v>15</v>
      </c>
      <c r="R187" t="b">
        <f>B187='2024b_260221_0030'!B187</f>
        <v>1</v>
      </c>
      <c r="T187">
        <f>(L187-'2024b_260221_0030'!L187)</f>
        <v>0</v>
      </c>
      <c r="U187" s="12">
        <f>(L187-'2024b_260221_0030'!L187)/'2024b_260221_0030'!L187</f>
        <v>0</v>
      </c>
      <c r="V187" s="4">
        <f>(M187-'2024b_260221_0030'!M187)</f>
        <v>-0.62605179999999905</v>
      </c>
      <c r="W187" s="12">
        <f>(M187-'2024b_260221_0030'!M187)/'2024b_260221_0030'!M187</f>
        <v>-3.3736530369948975E-2</v>
      </c>
    </row>
    <row r="188" spans="1:23" x14ac:dyDescent="0.25">
      <c r="A188">
        <v>187</v>
      </c>
      <c r="B188">
        <v>145</v>
      </c>
      <c r="C188" t="s">
        <v>46</v>
      </c>
      <c r="D188" t="s">
        <v>17</v>
      </c>
      <c r="E188" t="s">
        <v>50</v>
      </c>
      <c r="F188" t="s">
        <v>19</v>
      </c>
      <c r="G188" t="s">
        <v>26</v>
      </c>
      <c r="H188" t="s">
        <v>65</v>
      </c>
      <c r="I188" t="s">
        <v>53</v>
      </c>
      <c r="J188" t="s">
        <v>148</v>
      </c>
      <c r="K188" t="s">
        <v>23</v>
      </c>
      <c r="L188">
        <v>571</v>
      </c>
      <c r="M188" s="4">
        <v>35.061825800000001</v>
      </c>
      <c r="N188" s="4">
        <v>253.78551424782256</v>
      </c>
      <c r="O188" s="4">
        <v>7.6159541067355896E-2</v>
      </c>
      <c r="P188" s="1" t="str">
        <f>HYPERLINK(".\sm_car_260612_0028\sm_car_260612_0028_187_Ca145TrE_MaDLC_DrSt_ode23t_1.png","figure")</f>
        <v>figure</v>
      </c>
      <c r="Q188" t="s">
        <v>15</v>
      </c>
      <c r="R188" t="b">
        <f>B188='2024b_260221_0030'!B188</f>
        <v>1</v>
      </c>
      <c r="T188">
        <f>(L188-'2024b_260221_0030'!L188)</f>
        <v>0</v>
      </c>
      <c r="U188" s="12">
        <f>(L188-'2024b_260221_0030'!L188)/'2024b_260221_0030'!L188</f>
        <v>0</v>
      </c>
      <c r="V188" s="4">
        <f>(M188-'2024b_260221_0030'!M188)</f>
        <v>7.264210000000304E-2</v>
      </c>
      <c r="W188" s="12">
        <f>(M188-'2024b_260221_0030'!M188)/'2024b_260221_0030'!M188</f>
        <v>2.0761301727654493E-3</v>
      </c>
    </row>
    <row r="189" spans="1:23" x14ac:dyDescent="0.25">
      <c r="A189">
        <v>188</v>
      </c>
      <c r="B189">
        <v>145</v>
      </c>
      <c r="C189" t="s">
        <v>46</v>
      </c>
      <c r="D189" t="s">
        <v>17</v>
      </c>
      <c r="E189" t="s">
        <v>50</v>
      </c>
      <c r="F189" t="s">
        <v>19</v>
      </c>
      <c r="G189" t="s">
        <v>26</v>
      </c>
      <c r="H189" t="s">
        <v>66</v>
      </c>
      <c r="I189" t="s">
        <v>53</v>
      </c>
      <c r="J189" t="s">
        <v>148</v>
      </c>
      <c r="K189" t="s">
        <v>23</v>
      </c>
      <c r="L189">
        <v>1825</v>
      </c>
      <c r="M189" s="4">
        <v>269.99261209999997</v>
      </c>
      <c r="N189" s="4">
        <v>255.19981931947939</v>
      </c>
      <c r="O189" s="4">
        <v>6.9073493590370738E-2</v>
      </c>
      <c r="P189" s="1" t="str">
        <f>HYPERLINK(".\sm_car_260612_0028\sm_car_260612_0028_188_Ca145TrT_MaDLC_DrSt_ode23t_1.png","figure")</f>
        <v>figure</v>
      </c>
      <c r="Q189" t="s">
        <v>15</v>
      </c>
      <c r="R189" t="b">
        <f>B189='2024b_260221_0030'!B189</f>
        <v>1</v>
      </c>
      <c r="T189">
        <f>(L189-'2024b_260221_0030'!L189)</f>
        <v>0</v>
      </c>
      <c r="U189" s="12">
        <f>(L189-'2024b_260221_0030'!L189)/'2024b_260221_0030'!L189</f>
        <v>0</v>
      </c>
      <c r="V189" s="4">
        <f>(M189-'2024b_260221_0030'!M189)</f>
        <v>6.5408332999999743</v>
      </c>
      <c r="W189" s="12">
        <f>(M189-'2024b_260221_0030'!M189)/'2024b_260221_0030'!M189</f>
        <v>2.4827440261716596E-2</v>
      </c>
    </row>
    <row r="190" spans="1:23" x14ac:dyDescent="0.25">
      <c r="A190">
        <v>189</v>
      </c>
      <c r="B190">
        <v>145</v>
      </c>
      <c r="C190" t="s">
        <v>46</v>
      </c>
      <c r="D190" t="s">
        <v>17</v>
      </c>
      <c r="E190" t="s">
        <v>50</v>
      </c>
      <c r="F190" t="s">
        <v>19</v>
      </c>
      <c r="G190" t="s">
        <v>26</v>
      </c>
      <c r="H190" t="s">
        <v>65</v>
      </c>
      <c r="I190" t="s">
        <v>53</v>
      </c>
      <c r="J190" t="s">
        <v>148</v>
      </c>
      <c r="K190" t="s">
        <v>23</v>
      </c>
      <c r="L190">
        <v>556</v>
      </c>
      <c r="M190" s="4">
        <v>30.4285295</v>
      </c>
      <c r="N190" s="4">
        <v>254.75003909541107</v>
      </c>
      <c r="O190" s="4">
        <v>7.1601229785727583E-2</v>
      </c>
      <c r="P190" s="1" t="str">
        <f>HYPERLINK(".\sm_car_260612_0028\sm_car_260612_0028_189_Ca145TrE_MaDLC_DrSt_ode23t_1.png","figure")</f>
        <v>figure</v>
      </c>
      <c r="Q190" t="s">
        <v>15</v>
      </c>
      <c r="R190" t="b">
        <f>B190='2024b_260221_0030'!B190</f>
        <v>1</v>
      </c>
      <c r="T190">
        <f>(L190-'2024b_260221_0030'!L190)</f>
        <v>0</v>
      </c>
      <c r="U190" s="12">
        <f>(L190-'2024b_260221_0030'!L190)/'2024b_260221_0030'!L190</f>
        <v>0</v>
      </c>
      <c r="V190" s="4">
        <f>(M190-'2024b_260221_0030'!M190)</f>
        <v>0.91157719999999998</v>
      </c>
      <c r="W190" s="12">
        <f>(M190-'2024b_260221_0030'!M190)/'2024b_260221_0030'!M190</f>
        <v>3.0883174886588816E-2</v>
      </c>
    </row>
    <row r="191" spans="1:23" x14ac:dyDescent="0.25">
      <c r="A191">
        <v>190</v>
      </c>
      <c r="B191">
        <v>199</v>
      </c>
      <c r="C191" t="s">
        <v>46</v>
      </c>
      <c r="D191" t="s">
        <v>17</v>
      </c>
      <c r="E191" t="s">
        <v>109</v>
      </c>
      <c r="F191" t="s">
        <v>19</v>
      </c>
      <c r="G191" t="s">
        <v>26</v>
      </c>
      <c r="H191" t="s">
        <v>21</v>
      </c>
      <c r="I191" t="s">
        <v>53</v>
      </c>
      <c r="J191" t="s">
        <v>148</v>
      </c>
      <c r="K191" t="s">
        <v>23</v>
      </c>
      <c r="L191">
        <v>462</v>
      </c>
      <c r="M191" s="4">
        <v>7.2041724</v>
      </c>
      <c r="N191" s="4">
        <v>253.69267690242975</v>
      </c>
      <c r="O191" s="4">
        <v>7.60750320853818E-2</v>
      </c>
      <c r="P191" s="1" t="str">
        <f>HYPERLINK(".\sm_car_260612_0028\sm_car_260612_0028_190_Ca199TrN_MaDLC_DrSt_ode23t_1.png","figure")</f>
        <v>figure</v>
      </c>
      <c r="Q191" t="s">
        <v>15</v>
      </c>
      <c r="R191" t="b">
        <f>B191='2024b_260221_0030'!B191</f>
        <v>1</v>
      </c>
      <c r="T191">
        <f>(L191-'2024b_260221_0030'!L191)</f>
        <v>2</v>
      </c>
      <c r="U191" s="12">
        <f>(L191-'2024b_260221_0030'!L191)/'2024b_260221_0030'!L191</f>
        <v>4.3478260869565218E-3</v>
      </c>
      <c r="V191" s="4">
        <f>(M191-'2024b_260221_0030'!M191)</f>
        <v>0.70470689999999969</v>
      </c>
      <c r="W191" s="12">
        <f>(M191-'2024b_260221_0030'!M191)/'2024b_260221_0030'!M191</f>
        <v>0.10842536205477199</v>
      </c>
    </row>
    <row r="192" spans="1:23" x14ac:dyDescent="0.25">
      <c r="A192">
        <v>191</v>
      </c>
      <c r="B192">
        <v>199</v>
      </c>
      <c r="C192" t="s">
        <v>46</v>
      </c>
      <c r="D192" t="s">
        <v>17</v>
      </c>
      <c r="E192" t="s">
        <v>109</v>
      </c>
      <c r="F192" t="s">
        <v>19</v>
      </c>
      <c r="G192" t="s">
        <v>26</v>
      </c>
      <c r="H192" t="s">
        <v>65</v>
      </c>
      <c r="I192" t="s">
        <v>53</v>
      </c>
      <c r="J192" t="s">
        <v>148</v>
      </c>
      <c r="K192" t="s">
        <v>23</v>
      </c>
      <c r="L192">
        <v>562</v>
      </c>
      <c r="M192" s="4">
        <v>19.233432400000002</v>
      </c>
      <c r="N192" s="4">
        <v>254.80349452363248</v>
      </c>
      <c r="O192" s="4">
        <v>7.1328970899537936E-2</v>
      </c>
      <c r="P192" s="1" t="str">
        <f>HYPERLINK(".\sm_car_260612_0028\sm_car_260612_0028_191_Ca199TrE_MaDLC_DrSt_ode23t_1.png","figure")</f>
        <v>figure</v>
      </c>
      <c r="Q192" t="s">
        <v>15</v>
      </c>
      <c r="R192" t="b">
        <f>B192='2024b_260221_0030'!B192</f>
        <v>1</v>
      </c>
      <c r="T192">
        <f>(L192-'2024b_260221_0030'!L192)</f>
        <v>0</v>
      </c>
      <c r="U192" s="12">
        <f>(L192-'2024b_260221_0030'!L192)/'2024b_260221_0030'!L192</f>
        <v>0</v>
      </c>
      <c r="V192" s="4">
        <f>(M192-'2024b_260221_0030'!M192)</f>
        <v>0.23777660000000012</v>
      </c>
      <c r="W192" s="12">
        <f>(M192-'2024b_260221_0030'!M192)/'2024b_260221_0030'!M192</f>
        <v>1.2517419903976154E-2</v>
      </c>
    </row>
    <row r="193" spans="1:23" x14ac:dyDescent="0.25">
      <c r="A193">
        <v>192</v>
      </c>
      <c r="B193">
        <v>199</v>
      </c>
      <c r="C193" t="s">
        <v>46</v>
      </c>
      <c r="D193" t="s">
        <v>17</v>
      </c>
      <c r="E193" t="s">
        <v>109</v>
      </c>
      <c r="F193" t="s">
        <v>19</v>
      </c>
      <c r="G193" t="s">
        <v>26</v>
      </c>
      <c r="H193" t="s">
        <v>66</v>
      </c>
      <c r="I193" t="s">
        <v>53</v>
      </c>
      <c r="J193" t="s">
        <v>148</v>
      </c>
      <c r="K193" t="s">
        <v>23</v>
      </c>
      <c r="L193">
        <v>801</v>
      </c>
      <c r="M193" s="4">
        <v>24.758812200000001</v>
      </c>
      <c r="N193" s="4">
        <v>256.6014022585743</v>
      </c>
      <c r="O193" s="4">
        <v>6.3306276587258736E-2</v>
      </c>
      <c r="P193" s="1" t="str">
        <f>HYPERLINK(".\sm_car_260612_0028\sm_car_260612_0028_192_Ca199TrT_MaDLC_DrSt_ode23t_1.png","figure")</f>
        <v>figure</v>
      </c>
      <c r="Q193" t="s">
        <v>15</v>
      </c>
      <c r="R193" t="b">
        <f>B193='2024b_260221_0030'!B193</f>
        <v>1</v>
      </c>
      <c r="T193">
        <f>(L193-'2024b_260221_0030'!L193)</f>
        <v>0</v>
      </c>
      <c r="U193" s="12">
        <f>(L193-'2024b_260221_0030'!L193)/'2024b_260221_0030'!L193</f>
        <v>0</v>
      </c>
      <c r="V193" s="4">
        <f>(M193-'2024b_260221_0030'!M193)</f>
        <v>0.64629930000000257</v>
      </c>
      <c r="W193" s="12">
        <f>(M193-'2024b_260221_0030'!M193)/'2024b_260221_0030'!M193</f>
        <v>2.6803481772320902E-2</v>
      </c>
    </row>
    <row r="194" spans="1:23" x14ac:dyDescent="0.25">
      <c r="A194">
        <v>193</v>
      </c>
      <c r="B194">
        <v>199</v>
      </c>
      <c r="C194" t="s">
        <v>46</v>
      </c>
      <c r="D194" t="s">
        <v>17</v>
      </c>
      <c r="E194" t="s">
        <v>109</v>
      </c>
      <c r="F194" t="s">
        <v>19</v>
      </c>
      <c r="G194" t="s">
        <v>26</v>
      </c>
      <c r="H194" t="s">
        <v>65</v>
      </c>
      <c r="I194" t="s">
        <v>53</v>
      </c>
      <c r="J194" t="s">
        <v>148</v>
      </c>
      <c r="K194" t="s">
        <v>23</v>
      </c>
      <c r="L194">
        <v>558</v>
      </c>
      <c r="M194" s="4">
        <v>13.6388079</v>
      </c>
      <c r="N194" s="4">
        <v>254.80462446855591</v>
      </c>
      <c r="O194" s="4">
        <v>7.1333219490246513E-2</v>
      </c>
      <c r="P194" s="1" t="str">
        <f>HYPERLINK(".\sm_car_260612_0028\sm_car_260612_0028_193_Ca199TrE_MaDLC_DrSt_ode23t_1.png","figure")</f>
        <v>figure</v>
      </c>
      <c r="Q194" t="s">
        <v>15</v>
      </c>
      <c r="R194" t="b">
        <f>B194='2024b_260221_0030'!B194</f>
        <v>1</v>
      </c>
      <c r="T194">
        <f>(L194-'2024b_260221_0030'!L194)</f>
        <v>0</v>
      </c>
      <c r="U194" s="12">
        <f>(L194-'2024b_260221_0030'!L194)/'2024b_260221_0030'!L194</f>
        <v>0</v>
      </c>
      <c r="V194" s="4">
        <f>(M194-'2024b_260221_0030'!M194)</f>
        <v>0.42202149999999961</v>
      </c>
      <c r="W194" s="12">
        <f>(M194-'2024b_260221_0030'!M194)/'2024b_260221_0030'!M194</f>
        <v>3.1930719558273229E-2</v>
      </c>
    </row>
    <row r="195" spans="1:23" x14ac:dyDescent="0.25">
      <c r="A195">
        <v>194</v>
      </c>
      <c r="B195">
        <v>189</v>
      </c>
      <c r="C195" t="s">
        <v>45</v>
      </c>
      <c r="D195" t="s">
        <v>17</v>
      </c>
      <c r="E195" t="s">
        <v>107</v>
      </c>
      <c r="F195" t="s">
        <v>19</v>
      </c>
      <c r="G195" t="s">
        <v>26</v>
      </c>
      <c r="H195" t="s">
        <v>65</v>
      </c>
      <c r="I195" t="s">
        <v>67</v>
      </c>
      <c r="J195" t="s">
        <v>148</v>
      </c>
      <c r="K195" t="s">
        <v>23</v>
      </c>
      <c r="L195">
        <v>541</v>
      </c>
      <c r="M195" s="4">
        <v>17.807510799999999</v>
      </c>
      <c r="N195" s="4">
        <v>261.95096399579472</v>
      </c>
      <c r="O195" s="4">
        <v>5.0011140693671905</v>
      </c>
      <c r="P195" s="1" t="str">
        <f>HYPERLINK(".\sm_car_260612_0028\sm_car_260612_0028_194_Ca189TrE_MaTRD_DrSt_ode23t_1.png","figure")</f>
        <v>figure</v>
      </c>
      <c r="Q195" t="s">
        <v>15</v>
      </c>
      <c r="R195" t="b">
        <f>B195='2024b_260221_0030'!B195</f>
        <v>1</v>
      </c>
      <c r="T195">
        <f>(L195-'2024b_260221_0030'!L195)</f>
        <v>1</v>
      </c>
      <c r="U195" s="12">
        <f>(L195-'2024b_260221_0030'!L195)/'2024b_260221_0030'!L195</f>
        <v>1.8518518518518519E-3</v>
      </c>
      <c r="V195" s="4">
        <f>(M195-'2024b_260221_0030'!M195)</f>
        <v>-0.16965100000000177</v>
      </c>
      <c r="W195" s="12">
        <f>(M195-'2024b_260221_0030'!M195)/'2024b_260221_0030'!M195</f>
        <v>-9.4370291532894675E-3</v>
      </c>
    </row>
    <row r="196" spans="1:23" x14ac:dyDescent="0.25">
      <c r="A196">
        <v>195</v>
      </c>
      <c r="B196">
        <v>189</v>
      </c>
      <c r="C196" t="s">
        <v>45</v>
      </c>
      <c r="D196" t="s">
        <v>17</v>
      </c>
      <c r="E196" t="s">
        <v>107</v>
      </c>
      <c r="F196" t="s">
        <v>19</v>
      </c>
      <c r="G196" t="s">
        <v>26</v>
      </c>
      <c r="H196" t="s">
        <v>65</v>
      </c>
      <c r="I196" t="s">
        <v>67</v>
      </c>
      <c r="J196" t="s">
        <v>148</v>
      </c>
      <c r="K196" t="s">
        <v>23</v>
      </c>
      <c r="L196">
        <v>636</v>
      </c>
      <c r="M196" s="4">
        <v>16.3284646</v>
      </c>
      <c r="N196" s="4">
        <v>261.93534942210744</v>
      </c>
      <c r="O196" s="4">
        <v>4.9447045040404118</v>
      </c>
      <c r="P196" s="1" t="str">
        <f>HYPERLINK(".\sm_car_260612_0028\sm_car_260612_0028_195_Ca189TrU_MaTRD_DrSt_ode23t_1.png","figure")</f>
        <v>figure</v>
      </c>
      <c r="Q196" t="s">
        <v>15</v>
      </c>
      <c r="R196" t="b">
        <f>B196='2024b_260221_0030'!B196</f>
        <v>1</v>
      </c>
      <c r="T196">
        <f>(L196-'2024b_260221_0030'!L196)</f>
        <v>-10</v>
      </c>
      <c r="U196" s="12">
        <f>(L196-'2024b_260221_0030'!L196)/'2024b_260221_0030'!L196</f>
        <v>-1.5479876160990712E-2</v>
      </c>
      <c r="V196" s="4">
        <f>(M196-'2024b_260221_0030'!M196)</f>
        <v>-0.42806759999999855</v>
      </c>
      <c r="W196" s="12">
        <f>(M196-'2024b_260221_0030'!M196)/'2024b_260221_0030'!M196</f>
        <v>-2.5546312022722614E-2</v>
      </c>
    </row>
    <row r="197" spans="1:23" x14ac:dyDescent="0.25">
      <c r="A197">
        <v>196</v>
      </c>
      <c r="B197">
        <v>149</v>
      </c>
      <c r="C197" t="s">
        <v>46</v>
      </c>
      <c r="D197" t="s">
        <v>17</v>
      </c>
      <c r="E197" t="s">
        <v>68</v>
      </c>
      <c r="F197" t="s">
        <v>19</v>
      </c>
      <c r="G197" t="s">
        <v>26</v>
      </c>
      <c r="H197" t="s">
        <v>21</v>
      </c>
      <c r="I197" t="s">
        <v>177</v>
      </c>
      <c r="J197" t="s">
        <v>148</v>
      </c>
      <c r="K197" t="s">
        <v>23</v>
      </c>
      <c r="L197">
        <v>1014</v>
      </c>
      <c r="M197" s="4">
        <v>13.080373099999999</v>
      </c>
      <c r="N197" s="4">
        <v>-6.0451252383413312E-3</v>
      </c>
      <c r="O197" s="4">
        <v>-9.2203530867657549E-4</v>
      </c>
      <c r="P197" s="1" t="str">
        <f>HYPERLINK(".\sm_car_260612_0028\sm_car_260612_0028_196_Ca149TrN_MaPS1_DrSt_ode23t_1.png","figure")</f>
        <v>figure</v>
      </c>
      <c r="Q197" t="s">
        <v>15</v>
      </c>
      <c r="R197" t="b">
        <f>B197='2024b_260221_0030'!B197</f>
        <v>1</v>
      </c>
      <c r="T197">
        <f>(L197-'2024b_260221_0030'!L197)</f>
        <v>0</v>
      </c>
      <c r="U197" s="12">
        <f>(L197-'2024b_260221_0030'!L197)/'2024b_260221_0030'!L197</f>
        <v>0</v>
      </c>
      <c r="V197" s="4">
        <f>(M197-'2024b_260221_0030'!M197)</f>
        <v>0.68623999999999974</v>
      </c>
      <c r="W197" s="12">
        <f>(M197-'2024b_260221_0030'!M197)/'2024b_260221_0030'!M197</f>
        <v>5.536813220119443E-2</v>
      </c>
    </row>
    <row r="198" spans="1:23" x14ac:dyDescent="0.25">
      <c r="A198">
        <v>197</v>
      </c>
      <c r="B198">
        <v>149</v>
      </c>
      <c r="C198" t="s">
        <v>46</v>
      </c>
      <c r="D198" t="s">
        <v>17</v>
      </c>
      <c r="E198" t="s">
        <v>68</v>
      </c>
      <c r="F198" t="s">
        <v>19</v>
      </c>
      <c r="G198" t="s">
        <v>26</v>
      </c>
      <c r="H198" t="s">
        <v>21</v>
      </c>
      <c r="I198" t="s">
        <v>178</v>
      </c>
      <c r="J198" t="s">
        <v>148</v>
      </c>
      <c r="K198" t="s">
        <v>23</v>
      </c>
      <c r="L198">
        <v>2916</v>
      </c>
      <c r="M198" s="4">
        <v>17.2894817</v>
      </c>
      <c r="N198" s="4">
        <v>-9.1052054211315792E-3</v>
      </c>
      <c r="O198" s="4">
        <v>2.3804479915904165E-3</v>
      </c>
      <c r="P198" s="1" t="str">
        <f>HYPERLINK(".\sm_car_260612_0028\sm_car_260612_0028_197_Ca149TrN_MaPSD_DrSt_ode23t_1.png","figure")</f>
        <v>figure</v>
      </c>
      <c r="Q198" t="s">
        <v>15</v>
      </c>
      <c r="R198" t="b">
        <f>B198='2024b_260221_0030'!B198</f>
        <v>1</v>
      </c>
      <c r="T198">
        <f>(L198-'2024b_260221_0030'!L198)</f>
        <v>-11</v>
      </c>
      <c r="U198" s="12">
        <f>(L198-'2024b_260221_0030'!L198)/'2024b_260221_0030'!L198</f>
        <v>-3.7581141100102495E-3</v>
      </c>
      <c r="V198" s="4">
        <f>(M198-'2024b_260221_0030'!M198)</f>
        <v>1.791637999999999</v>
      </c>
      <c r="W198" s="12">
        <f>(M198-'2024b_260221_0030'!M198)/'2024b_260221_0030'!M198</f>
        <v>0.11560563099497505</v>
      </c>
    </row>
    <row r="199" spans="1:23" x14ac:dyDescent="0.25">
      <c r="A199">
        <v>198</v>
      </c>
      <c r="B199">
        <v>139</v>
      </c>
      <c r="C199" t="s">
        <v>45</v>
      </c>
      <c r="D199" t="s">
        <v>17</v>
      </c>
      <c r="E199" t="s">
        <v>18</v>
      </c>
      <c r="F199" t="s">
        <v>19</v>
      </c>
      <c r="G199" t="s">
        <v>26</v>
      </c>
      <c r="H199" t="s">
        <v>21</v>
      </c>
      <c r="I199" t="s">
        <v>70</v>
      </c>
      <c r="J199" t="s">
        <v>148</v>
      </c>
      <c r="K199" t="s">
        <v>23</v>
      </c>
      <c r="L199">
        <v>1545</v>
      </c>
      <c r="M199" s="4">
        <v>37.806720599999998</v>
      </c>
      <c r="N199" s="4">
        <v>36.388413818090555</v>
      </c>
      <c r="O199" s="4">
        <v>0.23259680537866703</v>
      </c>
      <c r="P199" s="1" t="str">
        <f>HYPERLINK(".\sm_car_260612_0028\sm_car_260612_0028_198_Ca139TrN_MaSKD_DrSt_ode23t_1.png","figure")</f>
        <v>figure</v>
      </c>
      <c r="Q199" t="s">
        <v>15</v>
      </c>
      <c r="R199" t="b">
        <f>B199='2024b_260221_0030'!B199</f>
        <v>1</v>
      </c>
      <c r="T199">
        <f>(L199-'2024b_260221_0030'!L199)</f>
        <v>7</v>
      </c>
      <c r="U199" s="12">
        <f>(L199-'2024b_260221_0030'!L199)/'2024b_260221_0030'!L199</f>
        <v>4.5513654096228867E-3</v>
      </c>
      <c r="V199" s="4">
        <f>(M199-'2024b_260221_0030'!M199)</f>
        <v>1.4725053000000017</v>
      </c>
      <c r="W199" s="12">
        <f>(M199-'2024b_260221_0030'!M199)/'2024b_260221_0030'!M199</f>
        <v>4.0526685049945249E-2</v>
      </c>
    </row>
    <row r="200" spans="1:23" x14ac:dyDescent="0.25">
      <c r="A200">
        <v>199</v>
      </c>
      <c r="B200">
        <v>139</v>
      </c>
      <c r="C200" t="s">
        <v>45</v>
      </c>
      <c r="D200" t="s">
        <v>17</v>
      </c>
      <c r="E200" t="s">
        <v>18</v>
      </c>
      <c r="F200" t="s">
        <v>19</v>
      </c>
      <c r="G200" t="s">
        <v>26</v>
      </c>
      <c r="H200" t="s">
        <v>21</v>
      </c>
      <c r="I200" t="s">
        <v>71</v>
      </c>
      <c r="J200" t="s">
        <v>148</v>
      </c>
      <c r="K200" t="s">
        <v>23</v>
      </c>
      <c r="L200">
        <v>797</v>
      </c>
      <c r="M200" s="4">
        <v>19.474785399999998</v>
      </c>
      <c r="N200" s="4">
        <v>-8.0316166869103256E-3</v>
      </c>
      <c r="O200" s="4">
        <v>20.553842502020103</v>
      </c>
      <c r="P200" s="1" t="str">
        <f>HYPERLINK(".\sm_car_260612_0028\sm_car_260612_0028_199_Ca139TrN_MaRAD_DrSt_ode23t_1.png","figure")</f>
        <v>figure</v>
      </c>
      <c r="Q200" t="s">
        <v>15</v>
      </c>
      <c r="R200" t="b">
        <f>B200='2024b_260221_0030'!B200</f>
        <v>1</v>
      </c>
      <c r="T200">
        <f>(L200-'2024b_260221_0030'!L200)</f>
        <v>-19</v>
      </c>
      <c r="U200" s="12">
        <f>(L200-'2024b_260221_0030'!L200)/'2024b_260221_0030'!L200</f>
        <v>-2.3284313725490197E-2</v>
      </c>
      <c r="V200" s="4">
        <f>(M200-'2024b_260221_0030'!M200)</f>
        <v>-0.84212590000000276</v>
      </c>
      <c r="W200" s="12">
        <f>(M200-'2024b_260221_0030'!M200)/'2024b_260221_0030'!M200</f>
        <v>-4.1449504187184336E-2</v>
      </c>
    </row>
    <row r="201" spans="1:23" x14ac:dyDescent="0.25">
      <c r="A201">
        <v>200</v>
      </c>
      <c r="B201">
        <v>184</v>
      </c>
      <c r="C201" t="s">
        <v>105</v>
      </c>
      <c r="D201" t="s">
        <v>120</v>
      </c>
      <c r="E201" t="s">
        <v>49</v>
      </c>
      <c r="F201" t="s">
        <v>19</v>
      </c>
      <c r="G201" t="s">
        <v>20</v>
      </c>
      <c r="H201" t="s">
        <v>21</v>
      </c>
      <c r="I201" t="s">
        <v>70</v>
      </c>
      <c r="J201" t="s">
        <v>148</v>
      </c>
      <c r="K201" t="s">
        <v>23</v>
      </c>
      <c r="L201">
        <v>1308</v>
      </c>
      <c r="M201" s="4">
        <v>54.579111699999999</v>
      </c>
      <c r="N201" s="4">
        <v>36.521070162101296</v>
      </c>
      <c r="O201" s="4">
        <v>0.15760142475645633</v>
      </c>
      <c r="P201" s="1" t="str">
        <f>HYPERLINK(".\sm_car_260612_0028\sm_car_260612_0028_200_Ca184TrN_MaSKD_DrSt_ode23t_1.png","figure")</f>
        <v>figure</v>
      </c>
      <c r="Q201" t="s">
        <v>15</v>
      </c>
      <c r="R201" t="b">
        <f>B201='2024b_260221_0030'!B201</f>
        <v>1</v>
      </c>
      <c r="T201">
        <f>(L201-'2024b_260221_0030'!L201)</f>
        <v>-1</v>
      </c>
      <c r="U201" s="12">
        <f>(L201-'2024b_260221_0030'!L201)/'2024b_260221_0030'!L201</f>
        <v>-7.6394194041252863E-4</v>
      </c>
      <c r="V201" s="4">
        <f>(M201-'2024b_260221_0030'!M201)</f>
        <v>4.7703853000000009</v>
      </c>
      <c r="W201" s="12">
        <f>(M201-'2024b_260221_0030'!M201)/'2024b_260221_0030'!M201</f>
        <v>9.5774087088482576E-2</v>
      </c>
    </row>
    <row r="202" spans="1:23" x14ac:dyDescent="0.25">
      <c r="A202">
        <v>201</v>
      </c>
      <c r="B202">
        <v>184</v>
      </c>
      <c r="C202" t="s">
        <v>105</v>
      </c>
      <c r="D202" t="s">
        <v>120</v>
      </c>
      <c r="E202" t="s">
        <v>49</v>
      </c>
      <c r="F202" t="s">
        <v>19</v>
      </c>
      <c r="G202" t="s">
        <v>20</v>
      </c>
      <c r="H202" t="s">
        <v>21</v>
      </c>
      <c r="I202" t="s">
        <v>71</v>
      </c>
      <c r="J202" t="s">
        <v>148</v>
      </c>
      <c r="K202" t="s">
        <v>23</v>
      </c>
      <c r="L202">
        <v>648</v>
      </c>
      <c r="M202" s="4">
        <v>26.6363071</v>
      </c>
      <c r="N202" s="4">
        <v>7.4800353596482836</v>
      </c>
      <c r="O202" s="4">
        <v>10.384540986894825</v>
      </c>
      <c r="P202" s="1" t="str">
        <f>HYPERLINK(".\sm_car_260612_0028\sm_car_260612_0028_201_Ca184TrN_MaRAD_DrSt_ode23t_1.png","figure")</f>
        <v>figure</v>
      </c>
      <c r="Q202" t="s">
        <v>15</v>
      </c>
      <c r="R202" t="b">
        <f>B202='2024b_260221_0030'!B202</f>
        <v>1</v>
      </c>
      <c r="T202">
        <f>(L202-'2024b_260221_0030'!L202)</f>
        <v>0</v>
      </c>
      <c r="U202" s="12">
        <f>(L202-'2024b_260221_0030'!L202)/'2024b_260221_0030'!L202</f>
        <v>0</v>
      </c>
      <c r="V202" s="4">
        <f>(M202-'2024b_260221_0030'!M202)</f>
        <v>3.3929070999999986</v>
      </c>
      <c r="W202" s="12">
        <f>(M202-'2024b_260221_0030'!M202)/'2024b_260221_0030'!M202</f>
        <v>0.14597292564771069</v>
      </c>
    </row>
    <row r="203" spans="1:23" x14ac:dyDescent="0.25">
      <c r="A203">
        <v>202</v>
      </c>
      <c r="B203">
        <v>228</v>
      </c>
      <c r="C203" t="s">
        <v>160</v>
      </c>
      <c r="D203" t="s">
        <v>35</v>
      </c>
      <c r="E203" t="s">
        <v>107</v>
      </c>
      <c r="F203" t="s">
        <v>19</v>
      </c>
      <c r="G203" t="s">
        <v>26</v>
      </c>
      <c r="H203" t="s">
        <v>21</v>
      </c>
      <c r="I203" t="s">
        <v>70</v>
      </c>
      <c r="J203" t="s">
        <v>148</v>
      </c>
      <c r="K203" t="s">
        <v>23</v>
      </c>
      <c r="L203">
        <v>1614</v>
      </c>
      <c r="M203" s="4">
        <v>7.1313046</v>
      </c>
      <c r="N203" s="4">
        <v>36.543833415002396</v>
      </c>
      <c r="O203" s="4">
        <v>0.57298371866357212</v>
      </c>
      <c r="P203" s="1" t="str">
        <f>HYPERLINK(".\sm_car_260612_0028\sm_car_260612_0028_202_Ca228TrN_MaSKD_DrSt_ode23t_1.png","figure")</f>
        <v>figure</v>
      </c>
      <c r="Q203" t="s">
        <v>15</v>
      </c>
      <c r="R203" t="b">
        <f>B203='2024b_260221_0030'!B203</f>
        <v>1</v>
      </c>
      <c r="T203">
        <f>(L203-'2024b_260221_0030'!L203)</f>
        <v>-10</v>
      </c>
      <c r="U203" s="12">
        <f>(L203-'2024b_260221_0030'!L203)/'2024b_260221_0030'!L203</f>
        <v>-6.1576354679802959E-3</v>
      </c>
      <c r="V203" s="4">
        <f>(M203-'2024b_260221_0030'!M203)</f>
        <v>-3.3080700000000185E-2</v>
      </c>
      <c r="W203" s="12">
        <f>(M203-'2024b_260221_0030'!M203)/'2024b_260221_0030'!M203</f>
        <v>-4.6173814800273489E-3</v>
      </c>
    </row>
    <row r="204" spans="1:23" x14ac:dyDescent="0.25">
      <c r="A204">
        <v>203</v>
      </c>
      <c r="B204">
        <v>228</v>
      </c>
      <c r="C204" t="s">
        <v>160</v>
      </c>
      <c r="D204" t="s">
        <v>35</v>
      </c>
      <c r="E204" t="s">
        <v>107</v>
      </c>
      <c r="F204" t="s">
        <v>19</v>
      </c>
      <c r="G204" t="s">
        <v>26</v>
      </c>
      <c r="H204" t="s">
        <v>21</v>
      </c>
      <c r="I204" t="s">
        <v>71</v>
      </c>
      <c r="J204" t="s">
        <v>148</v>
      </c>
      <c r="K204" t="s">
        <v>23</v>
      </c>
      <c r="L204">
        <v>1780</v>
      </c>
      <c r="M204" s="4">
        <v>8.5118867999999992</v>
      </c>
      <c r="N204" s="4">
        <v>-1.627225479568267</v>
      </c>
      <c r="O204" s="4">
        <v>-45.168666486707984</v>
      </c>
      <c r="P204" s="1" t="str">
        <f>HYPERLINK(".\sm_car_260612_0028\sm_car_260612_0028_203_Ca228TrN_MaRAD_DrSt_ode23t_1.png","figure")</f>
        <v>figure</v>
      </c>
      <c r="Q204" t="s">
        <v>15</v>
      </c>
      <c r="R204" t="b">
        <f>B204='2024b_260221_0030'!B204</f>
        <v>1</v>
      </c>
      <c r="T204">
        <f>(L204-'2024b_260221_0030'!L204)</f>
        <v>-1</v>
      </c>
      <c r="U204" s="12">
        <f>(L204-'2024b_260221_0030'!L204)/'2024b_260221_0030'!L204</f>
        <v>-5.6148231330713087E-4</v>
      </c>
      <c r="V204" s="4">
        <f>(M204-'2024b_260221_0030'!M204)</f>
        <v>0.5681472999999988</v>
      </c>
      <c r="W204" s="12">
        <f>(M204-'2024b_260221_0030'!M204)/'2024b_260221_0030'!M204</f>
        <v>7.1521391153372887E-2</v>
      </c>
    </row>
    <row r="205" spans="1:23" x14ac:dyDescent="0.25">
      <c r="A205">
        <v>204</v>
      </c>
      <c r="B205">
        <v>230</v>
      </c>
      <c r="C205" t="s">
        <v>160</v>
      </c>
      <c r="D205" t="s">
        <v>161</v>
      </c>
      <c r="E205" t="s">
        <v>162</v>
      </c>
      <c r="F205" t="s">
        <v>19</v>
      </c>
      <c r="G205" t="s">
        <v>26</v>
      </c>
      <c r="H205" t="s">
        <v>21</v>
      </c>
      <c r="I205" t="s">
        <v>70</v>
      </c>
      <c r="J205" t="s">
        <v>148</v>
      </c>
      <c r="K205" t="s">
        <v>23</v>
      </c>
      <c r="L205">
        <v>1432</v>
      </c>
      <c r="M205" s="4">
        <v>30.9541276</v>
      </c>
      <c r="N205" s="4">
        <v>36.333230663642048</v>
      </c>
      <c r="O205" s="4">
        <v>-0.84182498305784581</v>
      </c>
      <c r="P205" s="1" t="str">
        <f>HYPERLINK(".\sm_car_260612_0028\sm_car_260612_0028_204_Ca230TrN_MaSKD_DrSt_ode23t_1.png","figure")</f>
        <v>figure</v>
      </c>
      <c r="Q205" t="s">
        <v>15</v>
      </c>
      <c r="R205" t="b">
        <f>B205='2024b_260221_0030'!B205</f>
        <v>1</v>
      </c>
      <c r="T205">
        <f>(L205-'2024b_260221_0030'!L205)</f>
        <v>-8</v>
      </c>
      <c r="U205" s="12">
        <f>(L205-'2024b_260221_0030'!L205)/'2024b_260221_0030'!L205</f>
        <v>-5.5555555555555558E-3</v>
      </c>
      <c r="V205" s="4">
        <f>(M205-'2024b_260221_0030'!M205)</f>
        <v>2.9563537999999987</v>
      </c>
      <c r="W205" s="12">
        <f>(M205-'2024b_260221_0030'!M205)/'2024b_260221_0030'!M205</f>
        <v>0.10559245964048751</v>
      </c>
    </row>
    <row r="206" spans="1:23" x14ac:dyDescent="0.25">
      <c r="A206">
        <v>205</v>
      </c>
      <c r="B206">
        <v>230</v>
      </c>
      <c r="C206" t="s">
        <v>160</v>
      </c>
      <c r="D206" t="s">
        <v>161</v>
      </c>
      <c r="E206" t="s">
        <v>162</v>
      </c>
      <c r="F206" t="s">
        <v>19</v>
      </c>
      <c r="G206" t="s">
        <v>26</v>
      </c>
      <c r="H206" t="s">
        <v>21</v>
      </c>
      <c r="I206" t="s">
        <v>71</v>
      </c>
      <c r="J206" t="s">
        <v>148</v>
      </c>
      <c r="K206" t="s">
        <v>23</v>
      </c>
      <c r="L206">
        <v>2379</v>
      </c>
      <c r="M206" s="4">
        <v>43.026146500000003</v>
      </c>
      <c r="N206" s="4">
        <v>31.296185817326464</v>
      </c>
      <c r="O206" s="4">
        <v>-10.077782638501294</v>
      </c>
      <c r="P206" s="1" t="str">
        <f>HYPERLINK(".\sm_car_260612_0028\sm_car_260612_0028_205_Ca230TrN_MaRAD_DrSt_ode23t_1.png","figure")</f>
        <v>figure</v>
      </c>
      <c r="Q206" t="s">
        <v>15</v>
      </c>
      <c r="R206" t="b">
        <f>B206='2024b_260221_0030'!B206</f>
        <v>1</v>
      </c>
      <c r="T206">
        <f>(L206-'2024b_260221_0030'!L206)</f>
        <v>54</v>
      </c>
      <c r="U206" s="12">
        <f>(L206-'2024b_260221_0030'!L206)/'2024b_260221_0030'!L206</f>
        <v>2.3225806451612905E-2</v>
      </c>
      <c r="V206" s="4">
        <f>(M206-'2024b_260221_0030'!M206)</f>
        <v>5.9417666000000011</v>
      </c>
      <c r="W206" s="12">
        <f>(M206-'2024b_260221_0030'!M206)/'2024b_260221_0030'!M206</f>
        <v>0.16022289211852242</v>
      </c>
    </row>
    <row r="207" spans="1:23" x14ac:dyDescent="0.25">
      <c r="A207">
        <v>206</v>
      </c>
      <c r="B207">
        <v>231</v>
      </c>
      <c r="C207" t="s">
        <v>160</v>
      </c>
      <c r="D207" t="s">
        <v>172</v>
      </c>
      <c r="E207" t="s">
        <v>162</v>
      </c>
      <c r="F207" t="s">
        <v>19</v>
      </c>
      <c r="G207" t="s">
        <v>26</v>
      </c>
      <c r="H207" t="s">
        <v>21</v>
      </c>
      <c r="I207" t="s">
        <v>70</v>
      </c>
      <c r="J207" t="s">
        <v>148</v>
      </c>
      <c r="K207" t="s">
        <v>23</v>
      </c>
      <c r="L207">
        <v>1505</v>
      </c>
      <c r="M207" s="4">
        <v>29.853276300000001</v>
      </c>
      <c r="N207" s="4">
        <v>36.329743000320434</v>
      </c>
      <c r="O207" s="4">
        <v>-0.19833072630777535</v>
      </c>
      <c r="P207" s="1" t="str">
        <f>HYPERLINK(".\sm_car_260612_0028\sm_car_260612_0028_206_Ca231TrN_MaSKD_DrSt_ode23t_1.png","figure")</f>
        <v>figure</v>
      </c>
      <c r="Q207" t="s">
        <v>15</v>
      </c>
      <c r="R207" t="b">
        <f>B207='2024b_260221_0030'!B207</f>
        <v>1</v>
      </c>
      <c r="T207">
        <f>(L207-'2024b_260221_0030'!L207)</f>
        <v>12</v>
      </c>
      <c r="U207" s="12">
        <f>(L207-'2024b_260221_0030'!L207)/'2024b_260221_0030'!L207</f>
        <v>8.0375083724045539E-3</v>
      </c>
      <c r="V207" s="4">
        <f>(M207-'2024b_260221_0030'!M207)</f>
        <v>1.4260948000000013</v>
      </c>
      <c r="W207" s="12">
        <f>(M207-'2024b_260221_0030'!M207)/'2024b_260221_0030'!M207</f>
        <v>5.0166591436439145E-2</v>
      </c>
    </row>
    <row r="208" spans="1:23" x14ac:dyDescent="0.25">
      <c r="A208">
        <v>207</v>
      </c>
      <c r="B208">
        <v>231</v>
      </c>
      <c r="C208" t="s">
        <v>160</v>
      </c>
      <c r="D208" t="s">
        <v>172</v>
      </c>
      <c r="E208" t="s">
        <v>162</v>
      </c>
      <c r="F208" t="s">
        <v>19</v>
      </c>
      <c r="G208" t="s">
        <v>26</v>
      </c>
      <c r="H208" t="s">
        <v>21</v>
      </c>
      <c r="I208" t="s">
        <v>71</v>
      </c>
      <c r="J208" t="s">
        <v>148</v>
      </c>
      <c r="K208" t="s">
        <v>23</v>
      </c>
      <c r="L208">
        <v>2663</v>
      </c>
      <c r="M208" s="4">
        <v>44.835707200000002</v>
      </c>
      <c r="N208" s="4">
        <v>40.744924984240015</v>
      </c>
      <c r="O208" s="4">
        <v>20.033257549214007</v>
      </c>
      <c r="P208" s="1" t="str">
        <f>HYPERLINK(".\sm_car_260612_0028\sm_car_260612_0028_207_Ca231TrN_MaRAD_DrSt_ode23t_1.png","figure")</f>
        <v>figure</v>
      </c>
      <c r="Q208" t="s">
        <v>15</v>
      </c>
      <c r="R208" t="b">
        <f>B208='2024b_260221_0030'!B208</f>
        <v>1</v>
      </c>
      <c r="T208">
        <f>(L208-'2024b_260221_0030'!L208)</f>
        <v>-440</v>
      </c>
      <c r="U208" s="12">
        <f>(L208-'2024b_260221_0030'!L208)/'2024b_260221_0030'!L208</f>
        <v>-0.14179825974863036</v>
      </c>
      <c r="V208" s="4">
        <f>(M208-'2024b_260221_0030'!M208)</f>
        <v>-4.3439964999999958</v>
      </c>
      <c r="W208" s="12">
        <f>(M208-'2024b_260221_0030'!M208)/'2024b_260221_0030'!M208</f>
        <v>-8.8329049855580891E-2</v>
      </c>
    </row>
    <row r="209" spans="1:23" x14ac:dyDescent="0.25">
      <c r="A209">
        <v>208</v>
      </c>
      <c r="B209">
        <v>233</v>
      </c>
      <c r="C209" t="s">
        <v>45</v>
      </c>
      <c r="D209" t="s">
        <v>17</v>
      </c>
      <c r="E209" t="s">
        <v>107</v>
      </c>
      <c r="F209" t="s">
        <v>19</v>
      </c>
      <c r="G209" t="s">
        <v>182</v>
      </c>
      <c r="H209" t="s">
        <v>21</v>
      </c>
      <c r="I209" t="s">
        <v>70</v>
      </c>
      <c r="J209" t="s">
        <v>148</v>
      </c>
      <c r="K209" t="s">
        <v>23</v>
      </c>
      <c r="L209">
        <v>1609</v>
      </c>
      <c r="M209" s="4">
        <v>30.964615200000001</v>
      </c>
      <c r="N209" s="4">
        <v>36.444217672336208</v>
      </c>
      <c r="O209" s="4">
        <v>-0.33401618792721943</v>
      </c>
      <c r="P209" s="1" t="str">
        <f>HYPERLINK(".\sm_car_260612_0028\sm_car_260612_0028_208_Ca233TrN_MaSKD_DrSt_ode23t_1.png","figure")</f>
        <v>figure</v>
      </c>
      <c r="Q209" t="s">
        <v>15</v>
      </c>
      <c r="R209" t="b">
        <f>B209='2024b_260221_0030'!B209</f>
        <v>1</v>
      </c>
      <c r="T209">
        <f>(L209-'2024b_260221_0030'!L209)</f>
        <v>5</v>
      </c>
      <c r="U209" s="12">
        <f>(L209-'2024b_260221_0030'!L209)/'2024b_260221_0030'!L209</f>
        <v>3.117206982543641E-3</v>
      </c>
      <c r="V209" s="4">
        <f>(M209-'2024b_260221_0030'!M209)</f>
        <v>0.81185200000000179</v>
      </c>
      <c r="W209" s="12">
        <f>(M209-'2024b_260221_0030'!M209)/'2024b_260221_0030'!M209</f>
        <v>2.6924630244169523E-2</v>
      </c>
    </row>
    <row r="210" spans="1:23" x14ac:dyDescent="0.25">
      <c r="A210">
        <v>209</v>
      </c>
      <c r="B210">
        <v>233</v>
      </c>
      <c r="C210" t="s">
        <v>45</v>
      </c>
      <c r="D210" t="s">
        <v>17</v>
      </c>
      <c r="E210" t="s">
        <v>107</v>
      </c>
      <c r="F210" t="s">
        <v>19</v>
      </c>
      <c r="G210" t="s">
        <v>182</v>
      </c>
      <c r="H210" t="s">
        <v>21</v>
      </c>
      <c r="I210" t="s">
        <v>71</v>
      </c>
      <c r="J210" t="s">
        <v>148</v>
      </c>
      <c r="K210" t="s">
        <v>23</v>
      </c>
      <c r="L210">
        <v>897</v>
      </c>
      <c r="M210" s="4">
        <v>16.768741200000001</v>
      </c>
      <c r="N210" s="4">
        <v>-6.6789269016643757</v>
      </c>
      <c r="O210" s="4">
        <v>25.201961772782283</v>
      </c>
      <c r="P210" s="1" t="str">
        <f>HYPERLINK(".\sm_car_260612_0028\sm_car_260612_0028_209_Ca233TrN_MaRAD_DrSt_ode23t_1.png","figure")</f>
        <v>figure</v>
      </c>
      <c r="Q210" t="s">
        <v>15</v>
      </c>
      <c r="R210" t="b">
        <f>B210='2024b_260221_0030'!B210</f>
        <v>1</v>
      </c>
      <c r="T210">
        <f>(L210-'2024b_260221_0030'!L210)</f>
        <v>-12</v>
      </c>
      <c r="U210" s="12">
        <f>(L210-'2024b_260221_0030'!L210)/'2024b_260221_0030'!L210</f>
        <v>-1.3201320132013201E-2</v>
      </c>
      <c r="V210" s="4">
        <f>(M210-'2024b_260221_0030'!M210)</f>
        <v>0.75682019999999994</v>
      </c>
      <c r="W210" s="12">
        <f>(M210-'2024b_260221_0030'!M210)/'2024b_260221_0030'!M210</f>
        <v>4.7266046341347796E-2</v>
      </c>
    </row>
    <row r="211" spans="1:23" x14ac:dyDescent="0.25">
      <c r="A211">
        <v>210</v>
      </c>
      <c r="B211">
        <v>234</v>
      </c>
      <c r="C211" t="s">
        <v>45</v>
      </c>
      <c r="D211" t="s">
        <v>17</v>
      </c>
      <c r="E211" t="s">
        <v>107</v>
      </c>
      <c r="F211" t="s">
        <v>19</v>
      </c>
      <c r="G211" t="s">
        <v>183</v>
      </c>
      <c r="H211" t="s">
        <v>21</v>
      </c>
      <c r="I211" t="s">
        <v>70</v>
      </c>
      <c r="J211" t="s">
        <v>148</v>
      </c>
      <c r="K211" t="s">
        <v>23</v>
      </c>
      <c r="L211">
        <v>3177</v>
      </c>
      <c r="M211" s="4">
        <v>58.701614599999999</v>
      </c>
      <c r="N211" s="4">
        <v>36.448952341234275</v>
      </c>
      <c r="O211" s="4">
        <v>-0.3025507850119496</v>
      </c>
      <c r="P211" s="1" t="str">
        <f>HYPERLINK(".\sm_car_260612_0028\sm_car_260612_0028_210_Ca234TrN_MaSKD_DrSt_ode23t_1.png","figure")</f>
        <v>figure</v>
      </c>
      <c r="Q211" t="s">
        <v>15</v>
      </c>
      <c r="R211" t="b">
        <f>B211='2024b_260221_0030'!B211</f>
        <v>1</v>
      </c>
      <c r="T211">
        <f>(L211-'2024b_260221_0030'!L211)</f>
        <v>56</v>
      </c>
      <c r="U211" s="12">
        <f>(L211-'2024b_260221_0030'!L211)/'2024b_260221_0030'!L211</f>
        <v>1.7942966997757128E-2</v>
      </c>
      <c r="V211" s="4">
        <f>(M211-'2024b_260221_0030'!M211)</f>
        <v>6.9782499000000016</v>
      </c>
      <c r="W211" s="12">
        <f>(M211-'2024b_260221_0030'!M211)/'2024b_260221_0030'!M211</f>
        <v>0.13491484826005531</v>
      </c>
    </row>
    <row r="212" spans="1:23" x14ac:dyDescent="0.25">
      <c r="A212">
        <v>211</v>
      </c>
      <c r="B212">
        <v>234</v>
      </c>
      <c r="C212" t="s">
        <v>45</v>
      </c>
      <c r="D212" t="s">
        <v>17</v>
      </c>
      <c r="E212" t="s">
        <v>107</v>
      </c>
      <c r="F212" t="s">
        <v>19</v>
      </c>
      <c r="G212" t="s">
        <v>183</v>
      </c>
      <c r="H212" t="s">
        <v>21</v>
      </c>
      <c r="I212" t="s">
        <v>71</v>
      </c>
      <c r="J212" t="s">
        <v>148</v>
      </c>
      <c r="K212" t="s">
        <v>23</v>
      </c>
      <c r="L212">
        <v>1736</v>
      </c>
      <c r="M212" s="4">
        <v>33.451025799999996</v>
      </c>
      <c r="N212" s="4">
        <v>-6.4006600646957992</v>
      </c>
      <c r="O212" s="4">
        <v>25.358277057130415</v>
      </c>
      <c r="P212" s="1" t="str">
        <f>HYPERLINK(".\sm_car_260612_0028\sm_car_260612_0028_211_Ca234TrN_MaRAD_DrSt_ode23t_1.png","figure")</f>
        <v>figure</v>
      </c>
      <c r="Q212" t="s">
        <v>15</v>
      </c>
      <c r="R212" t="b">
        <f>B212='2024b_260221_0030'!B212</f>
        <v>1</v>
      </c>
      <c r="T212">
        <f>(L212-'2024b_260221_0030'!L212)</f>
        <v>-5</v>
      </c>
      <c r="U212" s="12">
        <f>(L212-'2024b_260221_0030'!L212)/'2024b_260221_0030'!L212</f>
        <v>-2.8719126938541069E-3</v>
      </c>
      <c r="V212" s="4">
        <f>(M212-'2024b_260221_0030'!M212)</f>
        <v>2.1766006999999981</v>
      </c>
      <c r="W212" s="12">
        <f>(M212-'2024b_260221_0030'!M212)/'2024b_260221_0030'!M212</f>
        <v>6.9596825298636686E-2</v>
      </c>
    </row>
    <row r="213" spans="1:23" x14ac:dyDescent="0.25">
      <c r="A213">
        <v>212</v>
      </c>
      <c r="B213">
        <v>198</v>
      </c>
      <c r="C213" t="s">
        <v>105</v>
      </c>
      <c r="D213" t="s">
        <v>120</v>
      </c>
      <c r="E213" t="s">
        <v>107</v>
      </c>
      <c r="F213" t="s">
        <v>19</v>
      </c>
      <c r="G213" t="s">
        <v>20</v>
      </c>
      <c r="H213" t="s">
        <v>21</v>
      </c>
      <c r="I213" t="s">
        <v>70</v>
      </c>
      <c r="J213" t="s">
        <v>148</v>
      </c>
      <c r="K213" t="s">
        <v>23</v>
      </c>
      <c r="L213">
        <v>1401</v>
      </c>
      <c r="M213" s="4">
        <v>33.029874300000003</v>
      </c>
      <c r="N213" s="4">
        <v>36.868375997181957</v>
      </c>
      <c r="O213" s="4">
        <v>0.14642405558838148</v>
      </c>
      <c r="P213" s="1" t="str">
        <f>HYPERLINK(".\sm_car_260612_0028\sm_car_260612_0028_212_Ca198TrN_MaSKD_DrSt_ode23t_1.png","figure")</f>
        <v>figure</v>
      </c>
      <c r="Q213" t="s">
        <v>15</v>
      </c>
      <c r="R213" t="b">
        <f>B213='2024b_260221_0030'!B213</f>
        <v>1</v>
      </c>
      <c r="T213">
        <f>(L213-'2024b_260221_0030'!L213)</f>
        <v>2</v>
      </c>
      <c r="U213" s="12">
        <f>(L213-'2024b_260221_0030'!L213)/'2024b_260221_0030'!L213</f>
        <v>1.4295925661186562E-3</v>
      </c>
      <c r="V213" s="4">
        <f>(M213-'2024b_260221_0030'!M213)</f>
        <v>2.387689500000004</v>
      </c>
      <c r="W213" s="12">
        <f>(M213-'2024b_260221_0030'!M213)/'2024b_260221_0030'!M213</f>
        <v>7.7921646761950347E-2</v>
      </c>
    </row>
    <row r="214" spans="1:23" x14ac:dyDescent="0.25">
      <c r="A214">
        <v>213</v>
      </c>
      <c r="B214">
        <v>198</v>
      </c>
      <c r="C214" t="s">
        <v>105</v>
      </c>
      <c r="D214" t="s">
        <v>120</v>
      </c>
      <c r="E214" t="s">
        <v>107</v>
      </c>
      <c r="F214" t="s">
        <v>19</v>
      </c>
      <c r="G214" t="s">
        <v>20</v>
      </c>
      <c r="H214" t="s">
        <v>21</v>
      </c>
      <c r="I214" t="s">
        <v>71</v>
      </c>
      <c r="J214" t="s">
        <v>148</v>
      </c>
      <c r="K214" t="s">
        <v>23</v>
      </c>
      <c r="L214">
        <v>687</v>
      </c>
      <c r="M214" s="4">
        <v>15.762491499999999</v>
      </c>
      <c r="N214" s="4">
        <v>7.52403881609807</v>
      </c>
      <c r="O214" s="4">
        <v>10.291620312773727</v>
      </c>
      <c r="P214" s="1" t="str">
        <f>HYPERLINK(".\sm_car_260612_0028\sm_car_260612_0028_213_Ca198TrN_MaRAD_DrSt_ode23t_1.png","figure")</f>
        <v>figure</v>
      </c>
      <c r="Q214" t="s">
        <v>15</v>
      </c>
      <c r="R214" t="b">
        <f>B214='2024b_260221_0030'!B214</f>
        <v>1</v>
      </c>
      <c r="T214">
        <f>(L214-'2024b_260221_0030'!L214)</f>
        <v>0</v>
      </c>
      <c r="U214" s="12">
        <f>(L214-'2024b_260221_0030'!L214)/'2024b_260221_0030'!L214</f>
        <v>0</v>
      </c>
      <c r="V214" s="4">
        <f>(M214-'2024b_260221_0030'!M214)</f>
        <v>0.68683590000000017</v>
      </c>
      <c r="W214" s="12">
        <f>(M214-'2024b_260221_0030'!M214)/'2024b_260221_0030'!M214</f>
        <v>4.5559272394097419E-2</v>
      </c>
    </row>
    <row r="215" spans="1:23" x14ac:dyDescent="0.25">
      <c r="A215">
        <v>214</v>
      </c>
      <c r="B215">
        <v>189</v>
      </c>
      <c r="C215" t="s">
        <v>45</v>
      </c>
      <c r="D215" t="s">
        <v>17</v>
      </c>
      <c r="E215" t="s">
        <v>107</v>
      </c>
      <c r="F215" t="s">
        <v>19</v>
      </c>
      <c r="G215" t="s">
        <v>26</v>
      </c>
      <c r="H215" t="s">
        <v>21</v>
      </c>
      <c r="I215" t="s">
        <v>132</v>
      </c>
      <c r="J215" t="s">
        <v>148</v>
      </c>
      <c r="K215" t="s">
        <v>23</v>
      </c>
      <c r="L215">
        <v>541</v>
      </c>
      <c r="M215" s="4">
        <v>13.8171348</v>
      </c>
      <c r="N215" s="4">
        <v>134.67592742814426</v>
      </c>
      <c r="O215" s="4">
        <v>-14.116338331551592</v>
      </c>
      <c r="P215" s="1" t="str">
        <f>HYPERLINK(".\sm_car_260612_0028\sm_car_260612_0028_214_Ca189TrN_MaFSH_DrSt_ode23t_1.png","figure")</f>
        <v>figure</v>
      </c>
      <c r="Q215" t="s">
        <v>15</v>
      </c>
      <c r="R215" t="b">
        <f>B215='2024b_260221_0030'!B215</f>
        <v>1</v>
      </c>
      <c r="T215">
        <f>(L215-'2024b_260221_0030'!L215)</f>
        <v>-5</v>
      </c>
      <c r="U215" s="12">
        <f>(L215-'2024b_260221_0030'!L215)/'2024b_260221_0030'!L215</f>
        <v>-9.1575091575091579E-3</v>
      </c>
      <c r="V215" s="4">
        <f>(M215-'2024b_260221_0030'!M215)</f>
        <v>0.37472679999999947</v>
      </c>
      <c r="W215" s="12">
        <f>(M215-'2024b_260221_0030'!M215)/'2024b_260221_0030'!M215</f>
        <v>2.787646380023575E-2</v>
      </c>
    </row>
    <row r="216" spans="1:23" x14ac:dyDescent="0.25">
      <c r="A216">
        <v>215</v>
      </c>
      <c r="B216">
        <v>189</v>
      </c>
      <c r="C216" t="s">
        <v>45</v>
      </c>
      <c r="D216" t="s">
        <v>17</v>
      </c>
      <c r="E216" t="s">
        <v>107</v>
      </c>
      <c r="F216" t="s">
        <v>19</v>
      </c>
      <c r="G216" t="s">
        <v>26</v>
      </c>
      <c r="H216" t="s">
        <v>21</v>
      </c>
      <c r="I216" t="s">
        <v>133</v>
      </c>
      <c r="J216" t="s">
        <v>148</v>
      </c>
      <c r="K216" t="s">
        <v>23</v>
      </c>
      <c r="L216">
        <v>417</v>
      </c>
      <c r="M216" s="4">
        <v>8.9400516000000003</v>
      </c>
      <c r="N216" s="4">
        <v>128.73810781884399</v>
      </c>
      <c r="O216" s="4">
        <v>-9.3015212683561419</v>
      </c>
      <c r="P216" s="1" t="str">
        <f>HYPERLINK(".\sm_car_260612_0028\sm_car_260612_0028_215_Ca189TrN_MaSWD_DrSt_ode23t_1.png","figure")</f>
        <v>figure</v>
      </c>
      <c r="Q216" t="s">
        <v>15</v>
      </c>
      <c r="R216" t="b">
        <f>B216='2024b_260221_0030'!B216</f>
        <v>1</v>
      </c>
      <c r="T216">
        <f>(L216-'2024b_260221_0030'!L216)</f>
        <v>4</v>
      </c>
      <c r="U216" s="12">
        <f>(L216-'2024b_260221_0030'!L216)/'2024b_260221_0030'!L216</f>
        <v>9.6852300242130755E-3</v>
      </c>
      <c r="V216" s="4">
        <f>(M216-'2024b_260221_0030'!M216)</f>
        <v>-0.32834429999999948</v>
      </c>
      <c r="W216" s="12">
        <f>(M216-'2024b_260221_0030'!M216)/'2024b_260221_0030'!M216</f>
        <v>-3.5426227315127908E-2</v>
      </c>
    </row>
    <row r="217" spans="1:23" x14ac:dyDescent="0.25">
      <c r="A217">
        <v>216</v>
      </c>
      <c r="B217">
        <v>189</v>
      </c>
      <c r="C217" t="s">
        <v>45</v>
      </c>
      <c r="D217" t="s">
        <v>17</v>
      </c>
      <c r="E217" t="s">
        <v>107</v>
      </c>
      <c r="F217" t="s">
        <v>19</v>
      </c>
      <c r="G217" t="s">
        <v>26</v>
      </c>
      <c r="H217" t="s">
        <v>21</v>
      </c>
      <c r="I217" t="s">
        <v>134</v>
      </c>
      <c r="J217" t="s">
        <v>148</v>
      </c>
      <c r="K217" t="s">
        <v>23</v>
      </c>
      <c r="L217">
        <v>428</v>
      </c>
      <c r="M217" s="4">
        <v>10.528005500000001</v>
      </c>
      <c r="N217" s="4">
        <v>112.50119539719402</v>
      </c>
      <c r="O217" s="4">
        <v>18.075279872934725</v>
      </c>
      <c r="P217" s="1" t="str">
        <f>HYPERLINK(".\sm_car_260612_0028\sm_car_260612_0028_216_Ca189TrN_MaRST_DrSt_ode23t_1.png","figure")</f>
        <v>figure</v>
      </c>
      <c r="Q217" t="s">
        <v>15</v>
      </c>
      <c r="R217" t="b">
        <f>B217='2024b_260221_0030'!B217</f>
        <v>1</v>
      </c>
      <c r="T217">
        <f>(L217-'2024b_260221_0030'!L217)</f>
        <v>9</v>
      </c>
      <c r="U217" s="12">
        <f>(L217-'2024b_260221_0030'!L217)/'2024b_260221_0030'!L217</f>
        <v>2.1479713603818614E-2</v>
      </c>
      <c r="V217" s="4">
        <f>(M217-'2024b_260221_0030'!M217)</f>
        <v>-0.73375459999999926</v>
      </c>
      <c r="W217" s="12">
        <f>(M217-'2024b_260221_0030'!M217)/'2024b_260221_0030'!M217</f>
        <v>-6.5154522337942472E-2</v>
      </c>
    </row>
    <row r="218" spans="1:23" x14ac:dyDescent="0.25">
      <c r="A218">
        <v>217</v>
      </c>
      <c r="B218">
        <v>189</v>
      </c>
      <c r="C218" t="s">
        <v>45</v>
      </c>
      <c r="D218" t="s">
        <v>17</v>
      </c>
      <c r="E218" t="s">
        <v>107</v>
      </c>
      <c r="F218" t="s">
        <v>19</v>
      </c>
      <c r="G218" t="s">
        <v>26</v>
      </c>
      <c r="H218" t="s">
        <v>21</v>
      </c>
      <c r="I218" t="s">
        <v>135</v>
      </c>
      <c r="J218" t="s">
        <v>148</v>
      </c>
      <c r="K218" t="s">
        <v>23</v>
      </c>
      <c r="L218">
        <v>585</v>
      </c>
      <c r="M218" s="4">
        <v>21.4626451</v>
      </c>
      <c r="N218" s="4">
        <v>224.05964145738201</v>
      </c>
      <c r="O218" s="4">
        <v>0.10733077744514599</v>
      </c>
      <c r="P218" s="1" t="str">
        <f>HYPERLINK(".\sm_car_260612_0028\sm_car_260612_0028_217_Ca189TrN_MaSLA_DrSt_ode23t_1.png","figure")</f>
        <v>figure</v>
      </c>
      <c r="Q218" t="s">
        <v>15</v>
      </c>
      <c r="R218" t="b">
        <f>B218='2024b_260221_0030'!B218</f>
        <v>1</v>
      </c>
      <c r="T218">
        <f>(L218-'2024b_260221_0030'!L218)</f>
        <v>5</v>
      </c>
      <c r="U218" s="12">
        <f>(L218-'2024b_260221_0030'!L218)/'2024b_260221_0030'!L218</f>
        <v>8.6206896551724137E-3</v>
      </c>
      <c r="V218" s="4">
        <f>(M218-'2024b_260221_0030'!M218)</f>
        <v>2.4763996999999982</v>
      </c>
      <c r="W218" s="12">
        <f>(M218-'2024b_260221_0030'!M218)/'2024b_260221_0030'!M218</f>
        <v>0.13043124892929056</v>
      </c>
    </row>
    <row r="219" spans="1:23" x14ac:dyDescent="0.25">
      <c r="A219">
        <v>218</v>
      </c>
      <c r="B219">
        <v>189</v>
      </c>
      <c r="C219" t="s">
        <v>45</v>
      </c>
      <c r="D219" t="s">
        <v>17</v>
      </c>
      <c r="E219" t="s">
        <v>107</v>
      </c>
      <c r="F219" t="s">
        <v>19</v>
      </c>
      <c r="G219" t="s">
        <v>26</v>
      </c>
      <c r="H219" t="s">
        <v>21</v>
      </c>
      <c r="I219" t="s">
        <v>195</v>
      </c>
      <c r="J219" t="s">
        <v>148</v>
      </c>
      <c r="K219" t="s">
        <v>23</v>
      </c>
      <c r="L219">
        <v>811</v>
      </c>
      <c r="M219" s="4">
        <v>13.155516499999999</v>
      </c>
      <c r="N219" s="4">
        <v>2436.2511686794032</v>
      </c>
      <c r="O219" s="4">
        <v>2.4597225002411568E-4</v>
      </c>
      <c r="P219" s="1" t="str">
        <f>HYPERLINK(".\sm_car_260612_0028\sm_car_260612_0028_218_Ca189TrN_MaCOA_DrSt_ode23t_1.png","figure")</f>
        <v>figure</v>
      </c>
      <c r="Q219" t="s">
        <v>15</v>
      </c>
      <c r="R219" t="b">
        <f>B219='2024b_260221_0030'!B219</f>
        <v>1</v>
      </c>
      <c r="T219">
        <f>(L219-'2024b_260221_0030'!L219)</f>
        <v>-20</v>
      </c>
      <c r="U219" s="12">
        <f>(L219-'2024b_260221_0030'!L219)/'2024b_260221_0030'!L219</f>
        <v>-2.4067388688327317E-2</v>
      </c>
      <c r="V219" s="4">
        <f>(M219-'2024b_260221_0030'!M219)</f>
        <v>-2.7065058000000004</v>
      </c>
      <c r="W219" s="12">
        <f>(M219-'2024b_260221_0030'!M219)/'2024b_260221_0030'!M219</f>
        <v>-0.17062804154549704</v>
      </c>
    </row>
    <row r="220" spans="1:23" x14ac:dyDescent="0.25">
      <c r="A220">
        <v>219</v>
      </c>
      <c r="B220">
        <v>218</v>
      </c>
      <c r="C220" t="s">
        <v>16</v>
      </c>
      <c r="D220" t="s">
        <v>128</v>
      </c>
      <c r="E220" t="s">
        <v>107</v>
      </c>
      <c r="F220" t="s">
        <v>19</v>
      </c>
      <c r="G220" t="s">
        <v>188</v>
      </c>
      <c r="H220" t="s">
        <v>21</v>
      </c>
      <c r="I220" t="s">
        <v>132</v>
      </c>
      <c r="J220" t="s">
        <v>148</v>
      </c>
      <c r="K220" t="s">
        <v>23</v>
      </c>
      <c r="L220">
        <v>559</v>
      </c>
      <c r="M220" s="4">
        <v>11.5716252</v>
      </c>
      <c r="N220" s="4">
        <v>101.32731161255083</v>
      </c>
      <c r="O220" s="4">
        <v>-21.93816888821819</v>
      </c>
      <c r="P220" s="1" t="str">
        <f>HYPERLINK(".\sm_car_260612_0028\sm_car_260612_0028_219_Ca218TrN_MaFSH_DrSt_ode23t_1.png","figure")</f>
        <v>figure</v>
      </c>
      <c r="Q220" t="s">
        <v>15</v>
      </c>
      <c r="R220" t="b">
        <f>B220='2024b_260221_0030'!B220</f>
        <v>1</v>
      </c>
      <c r="T220">
        <f>(L220-'2024b_260221_0030'!L220)</f>
        <v>1</v>
      </c>
      <c r="U220" s="12">
        <f>(L220-'2024b_260221_0030'!L220)/'2024b_260221_0030'!L220</f>
        <v>1.7921146953405018E-3</v>
      </c>
      <c r="V220" s="4">
        <f>(M220-'2024b_260221_0030'!M220)</f>
        <v>1.2461214999999992</v>
      </c>
      <c r="W220" s="12">
        <f>(M220-'2024b_260221_0030'!M220)/'2024b_260221_0030'!M220</f>
        <v>0.1206838461546432</v>
      </c>
    </row>
    <row r="221" spans="1:23" x14ac:dyDescent="0.25">
      <c r="A221">
        <v>220</v>
      </c>
      <c r="B221">
        <v>218</v>
      </c>
      <c r="C221" t="s">
        <v>16</v>
      </c>
      <c r="D221" t="s">
        <v>128</v>
      </c>
      <c r="E221" t="s">
        <v>107</v>
      </c>
      <c r="F221" t="s">
        <v>19</v>
      </c>
      <c r="G221" t="s">
        <v>188</v>
      </c>
      <c r="H221" t="s">
        <v>21</v>
      </c>
      <c r="I221" t="s">
        <v>133</v>
      </c>
      <c r="J221" t="s">
        <v>148</v>
      </c>
      <c r="K221" t="s">
        <v>23</v>
      </c>
      <c r="L221">
        <v>443</v>
      </c>
      <c r="M221" s="4">
        <v>7.9800057000000004</v>
      </c>
      <c r="N221" s="4">
        <v>136.14886591937227</v>
      </c>
      <c r="O221" s="4">
        <v>-8.8925098925585004</v>
      </c>
      <c r="P221" s="1" t="str">
        <f>HYPERLINK(".\sm_car_260612_0028\sm_car_260612_0028_220_Ca218TrN_MaSWD_DrSt_ode23t_1.png","figure")</f>
        <v>figure</v>
      </c>
      <c r="Q221" t="s">
        <v>15</v>
      </c>
      <c r="R221" t="b">
        <f>B221='2024b_260221_0030'!B221</f>
        <v>1</v>
      </c>
      <c r="T221">
        <f>(L221-'2024b_260221_0030'!L221)</f>
        <v>6</v>
      </c>
      <c r="U221" s="12">
        <f>(L221-'2024b_260221_0030'!L221)/'2024b_260221_0030'!L221</f>
        <v>1.3729977116704805E-2</v>
      </c>
      <c r="V221" s="4">
        <f>(M221-'2024b_260221_0030'!M221)</f>
        <v>0.74698440000000055</v>
      </c>
      <c r="W221" s="12">
        <f>(M221-'2024b_260221_0030'!M221)/'2024b_260221_0030'!M221</f>
        <v>0.10327418778650639</v>
      </c>
    </row>
    <row r="222" spans="1:23" x14ac:dyDescent="0.25">
      <c r="A222">
        <v>221</v>
      </c>
      <c r="B222">
        <v>218</v>
      </c>
      <c r="C222" t="s">
        <v>16</v>
      </c>
      <c r="D222" t="s">
        <v>128</v>
      </c>
      <c r="E222" t="s">
        <v>107</v>
      </c>
      <c r="F222" t="s">
        <v>19</v>
      </c>
      <c r="G222" t="s">
        <v>188</v>
      </c>
      <c r="H222" t="s">
        <v>21</v>
      </c>
      <c r="I222" t="s">
        <v>134</v>
      </c>
      <c r="J222" t="s">
        <v>148</v>
      </c>
      <c r="K222" t="s">
        <v>23</v>
      </c>
      <c r="L222">
        <v>369</v>
      </c>
      <c r="M222" s="4">
        <v>8.3318282000000004</v>
      </c>
      <c r="N222" s="4">
        <v>101.82448163141929</v>
      </c>
      <c r="O222" s="4">
        <v>29.386212060322194</v>
      </c>
      <c r="P222" s="1" t="str">
        <f>HYPERLINK(".\sm_car_260612_0028\sm_car_260612_0028_221_Ca218TrN_MaRST_DrSt_ode23t_1.png","figure")</f>
        <v>figure</v>
      </c>
      <c r="Q222" t="s">
        <v>15</v>
      </c>
      <c r="R222" t="b">
        <f>B222='2024b_260221_0030'!B222</f>
        <v>1</v>
      </c>
      <c r="T222">
        <f>(L222-'2024b_260221_0030'!L222)</f>
        <v>2</v>
      </c>
      <c r="U222" s="12">
        <f>(L222-'2024b_260221_0030'!L222)/'2024b_260221_0030'!L222</f>
        <v>5.4495912806539508E-3</v>
      </c>
      <c r="V222" s="4">
        <f>(M222-'2024b_260221_0030'!M222)</f>
        <v>2.1624893000000007</v>
      </c>
      <c r="W222" s="12">
        <f>(M222-'2024b_260221_0030'!M222)/'2024b_260221_0030'!M222</f>
        <v>0.35052204702192657</v>
      </c>
    </row>
    <row r="223" spans="1:23" x14ac:dyDescent="0.25">
      <c r="A223">
        <v>222</v>
      </c>
      <c r="B223">
        <v>218</v>
      </c>
      <c r="C223" t="s">
        <v>16</v>
      </c>
      <c r="D223" t="s">
        <v>128</v>
      </c>
      <c r="E223" t="s">
        <v>107</v>
      </c>
      <c r="F223" t="s">
        <v>19</v>
      </c>
      <c r="G223" t="s">
        <v>188</v>
      </c>
      <c r="H223" t="s">
        <v>21</v>
      </c>
      <c r="I223" t="s">
        <v>135</v>
      </c>
      <c r="J223" t="s">
        <v>148</v>
      </c>
      <c r="K223" t="s">
        <v>23</v>
      </c>
      <c r="L223">
        <v>684</v>
      </c>
      <c r="M223" s="4">
        <v>20.035009899999999</v>
      </c>
      <c r="N223" s="4">
        <v>222.43924831381185</v>
      </c>
      <c r="O223" s="4">
        <v>0.10610604466456598</v>
      </c>
      <c r="P223" s="1" t="str">
        <f>HYPERLINK(".\sm_car_260612_0028\sm_car_260612_0028_222_Ca218TrN_MaSLA_DrSt_ode23t_1.png","figure")</f>
        <v>figure</v>
      </c>
      <c r="Q223" t="s">
        <v>15</v>
      </c>
      <c r="R223" t="b">
        <f>B223='2024b_260221_0030'!B223</f>
        <v>1</v>
      </c>
      <c r="T223">
        <f>(L223-'2024b_260221_0030'!L223)</f>
        <v>13</v>
      </c>
      <c r="U223" s="12">
        <f>(L223-'2024b_260221_0030'!L223)/'2024b_260221_0030'!L223</f>
        <v>1.9374068554396422E-2</v>
      </c>
      <c r="V223" s="4">
        <f>(M223-'2024b_260221_0030'!M223)</f>
        <v>2.0498672999999989</v>
      </c>
      <c r="W223" s="12">
        <f>(M223-'2024b_260221_0030'!M223)/'2024b_260221_0030'!M223</f>
        <v>0.11397559338784442</v>
      </c>
    </row>
    <row r="224" spans="1:23" x14ac:dyDescent="0.25">
      <c r="A224">
        <v>223</v>
      </c>
      <c r="B224">
        <v>218</v>
      </c>
      <c r="C224" t="s">
        <v>16</v>
      </c>
      <c r="D224" t="s">
        <v>128</v>
      </c>
      <c r="E224" t="s">
        <v>107</v>
      </c>
      <c r="F224" t="s">
        <v>19</v>
      </c>
      <c r="G224" t="s">
        <v>188</v>
      </c>
      <c r="H224" t="s">
        <v>21</v>
      </c>
      <c r="I224" t="s">
        <v>195</v>
      </c>
      <c r="J224" t="s">
        <v>148</v>
      </c>
      <c r="K224" t="s">
        <v>23</v>
      </c>
      <c r="L224">
        <v>842</v>
      </c>
      <c r="M224" s="4">
        <v>7.3349283999999999</v>
      </c>
      <c r="N224" s="4">
        <v>2944.9151230100242</v>
      </c>
      <c r="O224" s="4">
        <v>1.3240742643157077E-4</v>
      </c>
      <c r="P224" s="1" t="str">
        <f>HYPERLINK(".\sm_car_260612_0028\sm_car_260612_0028_223_Ca218TrN_MaCOA_DrSt_ode23t_1.png","figure")</f>
        <v>figure</v>
      </c>
      <c r="Q224" t="s">
        <v>15</v>
      </c>
      <c r="R224" t="b">
        <f>B224='2024b_260221_0030'!B224</f>
        <v>1</v>
      </c>
      <c r="T224">
        <f>(L224-'2024b_260221_0030'!L224)</f>
        <v>-11</v>
      </c>
      <c r="U224" s="12">
        <f>(L224-'2024b_260221_0030'!L224)/'2024b_260221_0030'!L224</f>
        <v>-1.2895662368112544E-2</v>
      </c>
      <c r="V224" s="4">
        <f>(M224-'2024b_260221_0030'!M224)</f>
        <v>0.88637349999999948</v>
      </c>
      <c r="W224" s="12">
        <f>(M224-'2024b_260221_0030'!M224)/'2024b_260221_0030'!M224</f>
        <v>0.13745304393702215</v>
      </c>
    </row>
    <row r="225" spans="1:23" x14ac:dyDescent="0.25">
      <c r="A225">
        <v>224</v>
      </c>
      <c r="B225">
        <v>239</v>
      </c>
      <c r="C225" t="s">
        <v>45</v>
      </c>
      <c r="D225" t="s">
        <v>196</v>
      </c>
      <c r="E225" t="s">
        <v>107</v>
      </c>
      <c r="F225" t="s">
        <v>19</v>
      </c>
      <c r="G225" t="s">
        <v>26</v>
      </c>
      <c r="H225" t="s">
        <v>21</v>
      </c>
      <c r="I225" t="s">
        <v>132</v>
      </c>
      <c r="J225" t="s">
        <v>148</v>
      </c>
      <c r="K225" t="s">
        <v>23</v>
      </c>
      <c r="L225">
        <v>488</v>
      </c>
      <c r="M225" s="4">
        <v>3.1006187999999999</v>
      </c>
      <c r="N225" s="4">
        <v>112.71388313292174</v>
      </c>
      <c r="O225" s="4">
        <v>-25.19533964186283</v>
      </c>
      <c r="P225" s="1" t="str">
        <f>HYPERLINK(".\sm_car_260612_0028\sm_car_260612_0028_224_Ca239TrN_MaFSH_DrSt_ode23t_1.png","figure")</f>
        <v>figure</v>
      </c>
      <c r="Q225" t="s">
        <v>15</v>
      </c>
      <c r="R225" t="b">
        <f>B225='2024b_260221_0030'!B225</f>
        <v>1</v>
      </c>
      <c r="T225">
        <f>(L225-'2024b_260221_0030'!L225)</f>
        <v>-246</v>
      </c>
      <c r="U225" s="12">
        <f>(L225-'2024b_260221_0030'!L225)/'2024b_260221_0030'!L225</f>
        <v>-0.33514986376021799</v>
      </c>
      <c r="V225" s="4">
        <f>(M225-'2024b_260221_0030'!M225)</f>
        <v>-0.6144261000000002</v>
      </c>
      <c r="W225" s="12">
        <f>(M225-'2024b_260221_0030'!M225)/'2024b_260221_0030'!M225</f>
        <v>-0.16538860674335326</v>
      </c>
    </row>
    <row r="226" spans="1:23" x14ac:dyDescent="0.25">
      <c r="A226">
        <v>225</v>
      </c>
      <c r="B226">
        <v>239</v>
      </c>
      <c r="C226" t="s">
        <v>45</v>
      </c>
      <c r="D226" t="s">
        <v>196</v>
      </c>
      <c r="E226" t="s">
        <v>107</v>
      </c>
      <c r="F226" t="s">
        <v>19</v>
      </c>
      <c r="G226" t="s">
        <v>26</v>
      </c>
      <c r="H226" t="s">
        <v>21</v>
      </c>
      <c r="I226" t="s">
        <v>133</v>
      </c>
      <c r="J226" t="s">
        <v>148</v>
      </c>
      <c r="K226" t="s">
        <v>23</v>
      </c>
      <c r="L226">
        <v>411</v>
      </c>
      <c r="M226" s="4">
        <v>2.8516374999999998</v>
      </c>
      <c r="N226" s="4">
        <v>142.72778790788729</v>
      </c>
      <c r="O226" s="4">
        <v>-8.3550057402875293</v>
      </c>
      <c r="P226" s="1" t="str">
        <f>HYPERLINK(".\sm_car_260612_0028\sm_car_260612_0028_225_Ca239TrN_MaSWD_DrSt_ode23t_1.png","figure")</f>
        <v>figure</v>
      </c>
      <c r="Q226" t="s">
        <v>15</v>
      </c>
      <c r="R226" t="b">
        <f>B226='2024b_260221_0030'!B226</f>
        <v>1</v>
      </c>
      <c r="T226">
        <f>(L226-'2024b_260221_0030'!L226)</f>
        <v>-239</v>
      </c>
      <c r="U226" s="12">
        <f>(L226-'2024b_260221_0030'!L226)/'2024b_260221_0030'!L226</f>
        <v>-0.36769230769230771</v>
      </c>
      <c r="V226" s="4">
        <f>(M226-'2024b_260221_0030'!M226)</f>
        <v>-6.9081100000000006E-2</v>
      </c>
      <c r="W226" s="12">
        <f>(M226-'2024b_260221_0030'!M226)/'2024b_260221_0030'!M226</f>
        <v>-2.3652090276687392E-2</v>
      </c>
    </row>
    <row r="227" spans="1:23" x14ac:dyDescent="0.25">
      <c r="A227">
        <v>226</v>
      </c>
      <c r="B227">
        <v>239</v>
      </c>
      <c r="C227" t="s">
        <v>45</v>
      </c>
      <c r="D227" t="s">
        <v>196</v>
      </c>
      <c r="E227" t="s">
        <v>107</v>
      </c>
      <c r="F227" t="s">
        <v>19</v>
      </c>
      <c r="G227" t="s">
        <v>26</v>
      </c>
      <c r="H227" t="s">
        <v>21</v>
      </c>
      <c r="I227" t="s">
        <v>134</v>
      </c>
      <c r="J227" t="s">
        <v>148</v>
      </c>
      <c r="K227" t="s">
        <v>23</v>
      </c>
      <c r="L227">
        <v>357</v>
      </c>
      <c r="M227" s="4">
        <v>2.3493613999999998</v>
      </c>
      <c r="N227" s="4">
        <v>111.12695792785584</v>
      </c>
      <c r="O227" s="4">
        <v>31.882703928988889</v>
      </c>
      <c r="P227" s="1" t="str">
        <f>HYPERLINK(".\sm_car_260612_0028\sm_car_260612_0028_226_Ca239TrN_MaRST_DrSt_ode23t_1.png","figure")</f>
        <v>figure</v>
      </c>
      <c r="Q227" t="s">
        <v>15</v>
      </c>
      <c r="R227" t="b">
        <f>B227='2024b_260221_0030'!B227</f>
        <v>1</v>
      </c>
      <c r="T227">
        <f>(L227-'2024b_260221_0030'!L227)</f>
        <v>-101</v>
      </c>
      <c r="U227" s="12">
        <f>(L227-'2024b_260221_0030'!L227)/'2024b_260221_0030'!L227</f>
        <v>-0.2205240174672489</v>
      </c>
      <c r="V227" s="4">
        <f>(M227-'2024b_260221_0030'!M227)</f>
        <v>-0.32877270000000003</v>
      </c>
      <c r="W227" s="12">
        <f>(M227-'2024b_260221_0030'!M227)/'2024b_260221_0030'!M227</f>
        <v>-0.12276185124561166</v>
      </c>
    </row>
    <row r="228" spans="1:23" x14ac:dyDescent="0.25">
      <c r="A228">
        <v>227</v>
      </c>
      <c r="B228">
        <v>239</v>
      </c>
      <c r="C228" t="s">
        <v>45</v>
      </c>
      <c r="D228" t="s">
        <v>196</v>
      </c>
      <c r="E228" t="s">
        <v>107</v>
      </c>
      <c r="F228" t="s">
        <v>19</v>
      </c>
      <c r="G228" t="s">
        <v>26</v>
      </c>
      <c r="H228" t="s">
        <v>21</v>
      </c>
      <c r="I228" t="s">
        <v>135</v>
      </c>
      <c r="J228" t="s">
        <v>148</v>
      </c>
      <c r="K228" t="s">
        <v>23</v>
      </c>
      <c r="L228">
        <v>524</v>
      </c>
      <c r="M228" s="4">
        <v>2.8557353999999999</v>
      </c>
      <c r="N228" s="4">
        <v>225.24950954811177</v>
      </c>
      <c r="O228" s="4">
        <v>0.10153919136998872</v>
      </c>
      <c r="P228" s="1" t="str">
        <f>HYPERLINK(".\sm_car_260612_0028\sm_car_260612_0028_227_Ca239TrN_MaSLA_DrSt_ode23t_1.png","figure")</f>
        <v>figure</v>
      </c>
      <c r="Q228" t="s">
        <v>15</v>
      </c>
      <c r="R228" t="b">
        <f>B228='2024b_260221_0030'!B228</f>
        <v>1</v>
      </c>
      <c r="T228">
        <f>(L228-'2024b_260221_0030'!L228)</f>
        <v>-742</v>
      </c>
      <c r="U228" s="12">
        <f>(L228-'2024b_260221_0030'!L228)/'2024b_260221_0030'!L228</f>
        <v>-0.58609794628751977</v>
      </c>
      <c r="V228" s="4">
        <f>(M228-'2024b_260221_0030'!M228)</f>
        <v>-0.91562680000000007</v>
      </c>
      <c r="W228" s="12">
        <f>(M228-'2024b_260221_0030'!M228)/'2024b_260221_0030'!M228</f>
        <v>-0.24278410596574365</v>
      </c>
    </row>
    <row r="229" spans="1:23" x14ac:dyDescent="0.25">
      <c r="A229">
        <v>228</v>
      </c>
      <c r="B229">
        <v>239</v>
      </c>
      <c r="C229" t="s">
        <v>45</v>
      </c>
      <c r="D229" t="s">
        <v>196</v>
      </c>
      <c r="E229" t="s">
        <v>107</v>
      </c>
      <c r="F229" t="s">
        <v>19</v>
      </c>
      <c r="G229" t="s">
        <v>26</v>
      </c>
      <c r="H229" t="s">
        <v>21</v>
      </c>
      <c r="I229" t="s">
        <v>195</v>
      </c>
      <c r="J229" t="s">
        <v>148</v>
      </c>
      <c r="K229" t="s">
        <v>23</v>
      </c>
      <c r="L229">
        <v>747</v>
      </c>
      <c r="M229" s="4">
        <v>2.9832961</v>
      </c>
      <c r="N229" s="4">
        <v>2463.4762767500297</v>
      </c>
      <c r="O229" s="4">
        <v>5.187421470765959E-4</v>
      </c>
      <c r="P229" s="1" t="str">
        <f>HYPERLINK(".\sm_car_260612_0028\sm_car_260612_0028_228_Ca239TrN_MaCOA_DrSt_ode23t_1.png","figure")</f>
        <v>figure</v>
      </c>
      <c r="Q229" t="s">
        <v>15</v>
      </c>
      <c r="R229" t="b">
        <f>B229='2024b_260221_0030'!B229</f>
        <v>1</v>
      </c>
      <c r="T229">
        <f>(L229-'2024b_260221_0030'!L229)</f>
        <v>-51</v>
      </c>
      <c r="U229" s="12">
        <f>(L229-'2024b_260221_0030'!L229)/'2024b_260221_0030'!L229</f>
        <v>-6.3909774436090222E-2</v>
      </c>
      <c r="V229" s="4">
        <f>(M229-'2024b_260221_0030'!M229)</f>
        <v>0.10601770000000021</v>
      </c>
      <c r="W229" s="12">
        <f>(M229-'2024b_260221_0030'!M229)/'2024b_260221_0030'!M229</f>
        <v>3.6846521351566193E-2</v>
      </c>
    </row>
    <row r="230" spans="1:23" x14ac:dyDescent="0.25">
      <c r="A230">
        <v>229</v>
      </c>
      <c r="B230">
        <v>232</v>
      </c>
      <c r="C230" t="s">
        <v>160</v>
      </c>
      <c r="D230" t="s">
        <v>172</v>
      </c>
      <c r="E230" t="s">
        <v>162</v>
      </c>
      <c r="F230" t="s">
        <v>179</v>
      </c>
      <c r="G230" t="s">
        <v>26</v>
      </c>
      <c r="H230" t="s">
        <v>21</v>
      </c>
      <c r="I230" t="s">
        <v>132</v>
      </c>
      <c r="J230" t="s">
        <v>148</v>
      </c>
      <c r="K230" t="s">
        <v>23</v>
      </c>
      <c r="L230">
        <v>657</v>
      </c>
      <c r="M230" s="4">
        <v>13.614724900000001</v>
      </c>
      <c r="N230" s="4">
        <v>70.580011697113591</v>
      </c>
      <c r="O230" s="4">
        <v>-14.137406044260556</v>
      </c>
      <c r="P230" s="1" t="str">
        <f>HYPERLINK(".\sm_car_260612_0028\sm_car_260612_0028_229_Ca232TrN_MaFSH_DrSt_ode23t_1.png","figure")</f>
        <v>figure</v>
      </c>
      <c r="Q230" t="s">
        <v>15</v>
      </c>
      <c r="R230" t="b">
        <f>B230='2024b_260221_0030'!B230</f>
        <v>1</v>
      </c>
      <c r="T230">
        <f>(L230-'2024b_260221_0030'!L230)</f>
        <v>40</v>
      </c>
      <c r="U230" s="12">
        <f>(L230-'2024b_260221_0030'!L230)/'2024b_260221_0030'!L230</f>
        <v>6.4829821717990274E-2</v>
      </c>
      <c r="V230" s="4">
        <f>(M230-'2024b_260221_0030'!M230)</f>
        <v>-0.97369609999999973</v>
      </c>
      <c r="W230" s="12">
        <f>(M230-'2024b_260221_0030'!M230)/'2024b_260221_0030'!M230</f>
        <v>-6.674444753136749E-2</v>
      </c>
    </row>
    <row r="231" spans="1:23" x14ac:dyDescent="0.25">
      <c r="A231">
        <v>230</v>
      </c>
      <c r="B231">
        <v>241</v>
      </c>
      <c r="C231" t="s">
        <v>160</v>
      </c>
      <c r="D231" t="s">
        <v>197</v>
      </c>
      <c r="E231" t="s">
        <v>162</v>
      </c>
      <c r="F231" t="s">
        <v>19</v>
      </c>
      <c r="G231" t="s">
        <v>26</v>
      </c>
      <c r="H231" t="s">
        <v>21</v>
      </c>
      <c r="I231" t="s">
        <v>198</v>
      </c>
      <c r="J231" t="s">
        <v>148</v>
      </c>
      <c r="K231" t="s">
        <v>23</v>
      </c>
      <c r="L231">
        <v>836</v>
      </c>
      <c r="M231" s="4">
        <v>90.980056599999998</v>
      </c>
      <c r="N231" s="4">
        <v>103.00680472699952</v>
      </c>
      <c r="O231" s="4">
        <v>-5.6815604836544895E-2</v>
      </c>
      <c r="P231" s="1" t="str">
        <f>HYPERLINK(".\sm_car_260612_0028\sm_car_260612_0028_230_Ca241TrN_Ma_DrSt_ode23t_1.png","figure")</f>
        <v>figure</v>
      </c>
      <c r="Q231" t="s">
        <v>15</v>
      </c>
      <c r="R231" t="b">
        <f>B231='2024b_260221_0030'!B231</f>
        <v>1</v>
      </c>
      <c r="T231">
        <f>(L231-'2024b_260221_0030'!L231)</f>
        <v>-848</v>
      </c>
      <c r="U231" s="12">
        <f>(L231-'2024b_260221_0030'!L231)/'2024b_260221_0030'!L231</f>
        <v>-0.50356294536817103</v>
      </c>
      <c r="V231" s="4">
        <f>(M231-'2024b_260221_0030'!M231)</f>
        <v>35.6551191</v>
      </c>
      <c r="W231" s="12">
        <f>(M231-'2024b_260221_0030'!M231)/'2024b_260221_0030'!M231</f>
        <v>0.64446740857140605</v>
      </c>
    </row>
    <row r="232" spans="1:23" x14ac:dyDescent="0.25">
      <c r="A232">
        <v>231</v>
      </c>
      <c r="B232">
        <v>156</v>
      </c>
      <c r="C232" t="s">
        <v>45</v>
      </c>
      <c r="D232" t="s">
        <v>17</v>
      </c>
      <c r="E232" t="s">
        <v>18</v>
      </c>
      <c r="F232" t="s">
        <v>19</v>
      </c>
      <c r="G232" t="s">
        <v>38</v>
      </c>
      <c r="H232" t="s">
        <v>21</v>
      </c>
      <c r="I232" t="s">
        <v>54</v>
      </c>
      <c r="J232" t="s">
        <v>148</v>
      </c>
      <c r="K232" t="s">
        <v>23</v>
      </c>
      <c r="L232">
        <v>25169</v>
      </c>
      <c r="M232" s="4">
        <v>789.18174079999994</v>
      </c>
      <c r="N232" s="4">
        <v>19.03928578172777</v>
      </c>
      <c r="O232" s="4">
        <v>2.3879248880600414</v>
      </c>
      <c r="P232" s="1" t="str">
        <f>HYPERLINK(".\sm_car_260612_0028\sm_car_260612_0028_231_Ca156TrN_MaIPA_DrSt_ode23t.png","figure")</f>
        <v>figure</v>
      </c>
      <c r="Q232" t="s">
        <v>15</v>
      </c>
      <c r="R232" t="b">
        <f>B232='2024b_260221_0030'!B232</f>
        <v>1</v>
      </c>
      <c r="T232">
        <f>(L232-'2024b_260221_0030'!L232)</f>
        <v>-859</v>
      </c>
      <c r="U232" s="12">
        <f>(L232-'2024b_260221_0030'!L232)/'2024b_260221_0030'!L232</f>
        <v>-3.3002919932380512E-2</v>
      </c>
      <c r="V232" s="4">
        <f>(M232-'2024b_260221_0030'!M232)</f>
        <v>417.25770569999992</v>
      </c>
      <c r="W232" s="12">
        <f>(M232-'2024b_260221_0030'!M232)/'2024b_260221_0030'!M232</f>
        <v>1.1218895965887521</v>
      </c>
    </row>
    <row r="233" spans="1:23" x14ac:dyDescent="0.25">
      <c r="A233">
        <v>232</v>
      </c>
      <c r="B233">
        <v>130</v>
      </c>
      <c r="C233" t="s">
        <v>16</v>
      </c>
      <c r="D233" t="s">
        <v>17</v>
      </c>
      <c r="E233" t="s">
        <v>18</v>
      </c>
      <c r="F233" t="s">
        <v>19</v>
      </c>
      <c r="G233" t="s">
        <v>38</v>
      </c>
      <c r="H233" t="s">
        <v>21</v>
      </c>
      <c r="I233" t="s">
        <v>54</v>
      </c>
      <c r="J233" t="s">
        <v>148</v>
      </c>
      <c r="K233" t="s">
        <v>23</v>
      </c>
      <c r="L233">
        <v>17781</v>
      </c>
      <c r="M233" s="4">
        <v>408.93795180000001</v>
      </c>
      <c r="N233" s="4">
        <v>16.25171705291617</v>
      </c>
      <c r="O233" s="4">
        <v>0.56631067244390887</v>
      </c>
      <c r="P233" s="1" t="str">
        <f>HYPERLINK(".\sm_car_260612_0028\sm_car_260612_0028_232_Ca130TrN_MaIPA_DrSt_ode23t.png","figure")</f>
        <v>figure</v>
      </c>
      <c r="Q233" t="s">
        <v>15</v>
      </c>
      <c r="R233" t="b">
        <f>B233='2024b_260221_0030'!B233</f>
        <v>1</v>
      </c>
      <c r="T233">
        <f>(L233-'2024b_260221_0030'!L233)</f>
        <v>-817</v>
      </c>
      <c r="U233" s="12">
        <f>(L233-'2024b_260221_0030'!L233)/'2024b_260221_0030'!L233</f>
        <v>-4.3929454780083879E-2</v>
      </c>
      <c r="V233" s="4">
        <f>(M233-'2024b_260221_0030'!M233)</f>
        <v>134.53711470000002</v>
      </c>
      <c r="W233" s="12">
        <f>(M233-'2024b_260221_0030'!M233)/'2024b_260221_0030'!M233</f>
        <v>0.49029411178862625</v>
      </c>
    </row>
    <row r="234" spans="1:23" x14ac:dyDescent="0.25">
      <c r="A234">
        <v>233</v>
      </c>
      <c r="B234">
        <v>171</v>
      </c>
      <c r="C234" t="s">
        <v>45</v>
      </c>
      <c r="D234" t="s">
        <v>17</v>
      </c>
      <c r="E234" t="s">
        <v>72</v>
      </c>
      <c r="F234" t="s">
        <v>19</v>
      </c>
      <c r="G234" t="s">
        <v>26</v>
      </c>
      <c r="H234" t="s">
        <v>21</v>
      </c>
      <c r="I234" t="s">
        <v>73</v>
      </c>
      <c r="J234" t="s">
        <v>148</v>
      </c>
      <c r="K234" t="s">
        <v>23</v>
      </c>
      <c r="L234">
        <v>1453</v>
      </c>
      <c r="M234" s="4">
        <v>28.8485482</v>
      </c>
      <c r="N234" s="4">
        <v>334.6864202946897</v>
      </c>
      <c r="O234" s="4">
        <v>0.66732559955130666</v>
      </c>
      <c r="P234" s="1" t="str">
        <f>HYPERLINK(".\sm_car_260612_0028\sm_car_260612_0028_233_Ca171TrN_MaRDP_DrSt_ode23t_1.png","figure")</f>
        <v>figure</v>
      </c>
      <c r="Q234" t="s">
        <v>15</v>
      </c>
      <c r="R234" t="b">
        <f>B234='2024b_260221_0030'!B234</f>
        <v>1</v>
      </c>
      <c r="T234">
        <f>(L234-'2024b_260221_0030'!L234)</f>
        <v>4</v>
      </c>
      <c r="U234" s="12">
        <f>(L234-'2024b_260221_0030'!L234)/'2024b_260221_0030'!L234</f>
        <v>2.7605244996549345E-3</v>
      </c>
      <c r="V234" s="4">
        <f>(M234-'2024b_260221_0030'!M234)</f>
        <v>5.7310686000000004</v>
      </c>
      <c r="W234" s="12">
        <f>(M234-'2024b_260221_0030'!M234)/'2024b_260221_0030'!M234</f>
        <v>0.24791061565379302</v>
      </c>
    </row>
    <row r="235" spans="1:23" x14ac:dyDescent="0.25">
      <c r="A235">
        <v>234</v>
      </c>
      <c r="B235">
        <v>172</v>
      </c>
      <c r="C235" t="s">
        <v>46</v>
      </c>
      <c r="D235" t="s">
        <v>17</v>
      </c>
      <c r="E235" t="s">
        <v>72</v>
      </c>
      <c r="F235" t="s">
        <v>19</v>
      </c>
      <c r="G235" t="s">
        <v>26</v>
      </c>
      <c r="H235" t="s">
        <v>21</v>
      </c>
      <c r="I235" t="s">
        <v>73</v>
      </c>
      <c r="J235" t="s">
        <v>148</v>
      </c>
      <c r="K235" t="s">
        <v>23</v>
      </c>
      <c r="L235">
        <v>1219</v>
      </c>
      <c r="M235" s="4">
        <v>15.273133400000001</v>
      </c>
      <c r="N235" s="4">
        <v>136.08565270770777</v>
      </c>
      <c r="O235" s="4">
        <v>3.6756324890723578E-2</v>
      </c>
      <c r="P235" s="1" t="str">
        <f>HYPERLINK(".\sm_car_260612_0028\sm_car_260612_0028_234_Ca172TrN_MaRDP_DrSt_ode23t_1.png","figure")</f>
        <v>figure</v>
      </c>
      <c r="Q235" t="s">
        <v>15</v>
      </c>
      <c r="R235" t="b">
        <f>B235='2024b_260221_0030'!B235</f>
        <v>1</v>
      </c>
      <c r="T235">
        <f>(L235-'2024b_260221_0030'!L235)</f>
        <v>0</v>
      </c>
      <c r="U235" s="12">
        <f>(L235-'2024b_260221_0030'!L235)/'2024b_260221_0030'!L235</f>
        <v>0</v>
      </c>
      <c r="V235" s="4">
        <f>(M235-'2024b_260221_0030'!M235)</f>
        <v>3.9817577000000011</v>
      </c>
      <c r="W235" s="12">
        <f>(M235-'2024b_260221_0030'!M235)/'2024b_260221_0030'!M235</f>
        <v>0.35263707503772113</v>
      </c>
    </row>
    <row r="236" spans="1:23" x14ac:dyDescent="0.25">
      <c r="A236">
        <v>235</v>
      </c>
      <c r="B236">
        <v>139</v>
      </c>
      <c r="C236" t="s">
        <v>45</v>
      </c>
      <c r="D236" t="s">
        <v>17</v>
      </c>
      <c r="E236" t="s">
        <v>18</v>
      </c>
      <c r="F236" t="s">
        <v>19</v>
      </c>
      <c r="G236" t="s">
        <v>26</v>
      </c>
      <c r="H236" t="s">
        <v>21</v>
      </c>
      <c r="I236" t="s">
        <v>74</v>
      </c>
      <c r="J236" t="s">
        <v>148</v>
      </c>
      <c r="K236" t="s">
        <v>23</v>
      </c>
      <c r="L236">
        <v>1600</v>
      </c>
      <c r="M236" s="4">
        <v>23.1602438</v>
      </c>
      <c r="N236" s="4">
        <v>361.31017493412941</v>
      </c>
      <c r="O236" s="4">
        <v>0.72977477492291742</v>
      </c>
      <c r="P236" s="1" t="str">
        <f>HYPERLINK(".\sm_car_260612_0028\sm_car_260612_0028_235_Ca139TrN_MaZPL_DrSt_ode23t_1.png","figure")</f>
        <v>figure</v>
      </c>
      <c r="Q236" t="s">
        <v>15</v>
      </c>
      <c r="R236" t="b">
        <f>B236='2024b_260221_0030'!B236</f>
        <v>1</v>
      </c>
      <c r="T236">
        <f>(L236-'2024b_260221_0030'!L236)</f>
        <v>40</v>
      </c>
      <c r="U236" s="12">
        <f>(L236-'2024b_260221_0030'!L236)/'2024b_260221_0030'!L236</f>
        <v>2.564102564102564E-2</v>
      </c>
      <c r="V236" s="4">
        <f>(M236-'2024b_260221_0030'!M236)</f>
        <v>3.2177790000000002</v>
      </c>
      <c r="W236" s="12">
        <f>(M236-'2024b_260221_0030'!M236)/'2024b_260221_0030'!M236</f>
        <v>0.16135312421361275</v>
      </c>
    </row>
    <row r="237" spans="1:23" x14ac:dyDescent="0.25">
      <c r="A237">
        <v>236</v>
      </c>
      <c r="B237">
        <v>165</v>
      </c>
      <c r="C237" t="s">
        <v>45</v>
      </c>
      <c r="D237" t="s">
        <v>35</v>
      </c>
      <c r="E237" t="s">
        <v>49</v>
      </c>
      <c r="F237" t="s">
        <v>19</v>
      </c>
      <c r="G237" t="s">
        <v>26</v>
      </c>
      <c r="H237" t="s">
        <v>21</v>
      </c>
      <c r="I237" t="s">
        <v>74</v>
      </c>
      <c r="J237" t="s">
        <v>148</v>
      </c>
      <c r="K237" t="s">
        <v>23</v>
      </c>
      <c r="L237">
        <v>1929</v>
      </c>
      <c r="M237" s="4">
        <v>11.1044524</v>
      </c>
      <c r="N237" s="4">
        <v>397.35869506730666</v>
      </c>
      <c r="O237" s="4">
        <v>0.34126149917665555</v>
      </c>
      <c r="P237" s="1" t="str">
        <f>HYPERLINK(".\sm_car_260612_0028\sm_car_260612_0028_236_Ca165TrN_MaZPL_DrSt_ode23t_1.png","figure")</f>
        <v>figure</v>
      </c>
      <c r="Q237" t="s">
        <v>15</v>
      </c>
      <c r="R237" t="b">
        <f>B237='2024b_260221_0030'!B237</f>
        <v>1</v>
      </c>
      <c r="T237">
        <f>(L237-'2024b_260221_0030'!L237)</f>
        <v>-1</v>
      </c>
      <c r="U237" s="12">
        <f>(L237-'2024b_260221_0030'!L237)/'2024b_260221_0030'!L237</f>
        <v>-5.1813471502590671E-4</v>
      </c>
      <c r="V237" s="4">
        <f>(M237-'2024b_260221_0030'!M237)</f>
        <v>1.1405929999999991</v>
      </c>
      <c r="W237" s="12">
        <f>(M237-'2024b_260221_0030'!M237)/'2024b_260221_0030'!M237</f>
        <v>0.11447301233495918</v>
      </c>
    </row>
    <row r="238" spans="1:23" x14ac:dyDescent="0.25">
      <c r="A238">
        <v>237</v>
      </c>
      <c r="B238">
        <v>171</v>
      </c>
      <c r="C238" t="s">
        <v>45</v>
      </c>
      <c r="D238" t="s">
        <v>17</v>
      </c>
      <c r="E238" t="s">
        <v>72</v>
      </c>
      <c r="F238" t="s">
        <v>19</v>
      </c>
      <c r="G238" t="s">
        <v>26</v>
      </c>
      <c r="H238" t="s">
        <v>21</v>
      </c>
      <c r="I238" t="s">
        <v>74</v>
      </c>
      <c r="J238" t="s">
        <v>148</v>
      </c>
      <c r="K238" t="s">
        <v>23</v>
      </c>
      <c r="L238">
        <v>1557</v>
      </c>
      <c r="M238" s="4">
        <v>28.811213200000001</v>
      </c>
      <c r="N238" s="4">
        <v>361.07597411867062</v>
      </c>
      <c r="O238" s="4">
        <v>0.74430309340308276</v>
      </c>
      <c r="P238" s="1" t="str">
        <f>HYPERLINK(".\sm_car_260612_0028\sm_car_260612_0028_237_Ca171TrN_MaZPL_DrSt_ode23t_1.png","figure")</f>
        <v>figure</v>
      </c>
      <c r="Q238" t="s">
        <v>15</v>
      </c>
      <c r="R238" t="b">
        <f>B238='2024b_260221_0030'!B238</f>
        <v>1</v>
      </c>
      <c r="T238">
        <f>(L238-'2024b_260221_0030'!L238)</f>
        <v>-28</v>
      </c>
      <c r="U238" s="12">
        <f>(L238-'2024b_260221_0030'!L238)/'2024b_260221_0030'!L238</f>
        <v>-1.7665615141955835E-2</v>
      </c>
      <c r="V238" s="4">
        <f>(M238-'2024b_260221_0030'!M238)</f>
        <v>1.6385840000000016</v>
      </c>
      <c r="W238" s="12">
        <f>(M238-'2024b_260221_0030'!M238)/'2024b_260221_0030'!M238</f>
        <v>6.0302740229495409E-2</v>
      </c>
    </row>
    <row r="239" spans="1:23" x14ac:dyDescent="0.25">
      <c r="A239">
        <v>238</v>
      </c>
      <c r="B239">
        <v>165</v>
      </c>
      <c r="C239" t="s">
        <v>45</v>
      </c>
      <c r="D239" t="s">
        <v>35</v>
      </c>
      <c r="E239" t="s">
        <v>49</v>
      </c>
      <c r="F239" t="s">
        <v>19</v>
      </c>
      <c r="G239" t="s">
        <v>26</v>
      </c>
      <c r="H239" t="s">
        <v>21</v>
      </c>
      <c r="I239" t="s">
        <v>75</v>
      </c>
      <c r="J239" t="s">
        <v>148</v>
      </c>
      <c r="K239" t="s">
        <v>23</v>
      </c>
      <c r="L239">
        <v>431</v>
      </c>
      <c r="M239" s="4">
        <v>4.5791035999999998</v>
      </c>
      <c r="N239" s="4">
        <v>377.98359083747175</v>
      </c>
      <c r="O239" s="4">
        <v>0.32831600755486856</v>
      </c>
      <c r="P239" s="1" t="str">
        <f>HYPERLINK(".\sm_car_260612_0028\sm_car_260612_0028_238_Ca165TrN_MaCPL_DrSt_ode23t_1.png","figure")</f>
        <v>figure</v>
      </c>
      <c r="Q239" t="s">
        <v>15</v>
      </c>
      <c r="R239" t="b">
        <f>B239='2024b_260221_0030'!B239</f>
        <v>1</v>
      </c>
      <c r="T239">
        <f>(L239-'2024b_260221_0030'!L239)</f>
        <v>-3</v>
      </c>
      <c r="U239" s="12">
        <f>(L239-'2024b_260221_0030'!L239)/'2024b_260221_0030'!L239</f>
        <v>-6.9124423963133645E-3</v>
      </c>
      <c r="V239" s="4">
        <f>(M239-'2024b_260221_0030'!M239)</f>
        <v>0.33681360000000016</v>
      </c>
      <c r="W239" s="12">
        <f>(M239-'2024b_260221_0030'!M239)/'2024b_260221_0030'!M239</f>
        <v>7.9394289405014792E-2</v>
      </c>
    </row>
    <row r="240" spans="1:23" x14ac:dyDescent="0.25">
      <c r="A240">
        <v>239</v>
      </c>
      <c r="B240">
        <v>170</v>
      </c>
      <c r="C240" t="s">
        <v>45</v>
      </c>
      <c r="D240" t="s">
        <v>35</v>
      </c>
      <c r="E240" t="s">
        <v>49</v>
      </c>
      <c r="F240" t="s">
        <v>19</v>
      </c>
      <c r="G240" t="s">
        <v>188</v>
      </c>
      <c r="H240" t="s">
        <v>21</v>
      </c>
      <c r="I240" t="s">
        <v>75</v>
      </c>
      <c r="J240" t="s">
        <v>148</v>
      </c>
      <c r="K240" t="s">
        <v>23</v>
      </c>
      <c r="L240">
        <v>425</v>
      </c>
      <c r="M240" s="4">
        <v>3.1700463999999999</v>
      </c>
      <c r="N240" s="4">
        <v>380.72844063042811</v>
      </c>
      <c r="O240" s="4">
        <v>0.33453431774929132</v>
      </c>
      <c r="P240" s="1" t="str">
        <f>HYPERLINK(".\sm_car_260612_0028\sm_car_260612_0028_239_Ca170TrN_MaCPL_DrSt_ode23t_1.png","figure")</f>
        <v>figure</v>
      </c>
      <c r="Q240" t="s">
        <v>15</v>
      </c>
      <c r="R240" t="b">
        <f>B240='2024b_260221_0030'!B240</f>
        <v>1</v>
      </c>
      <c r="T240">
        <f>(L240-'2024b_260221_0030'!L240)</f>
        <v>0</v>
      </c>
      <c r="U240" s="12">
        <f>(L240-'2024b_260221_0030'!L240)/'2024b_260221_0030'!L240</f>
        <v>0</v>
      </c>
      <c r="V240" s="4">
        <f>(M240-'2024b_260221_0030'!M240)</f>
        <v>0.42749259999999989</v>
      </c>
      <c r="W240" s="12">
        <f>(M240-'2024b_260221_0030'!M240)/'2024b_260221_0030'!M240</f>
        <v>0.15587391576420484</v>
      </c>
    </row>
    <row r="241" spans="1:23" x14ac:dyDescent="0.25">
      <c r="A241">
        <v>240</v>
      </c>
      <c r="B241">
        <v>171</v>
      </c>
      <c r="C241" t="s">
        <v>45</v>
      </c>
      <c r="D241" t="s">
        <v>17</v>
      </c>
      <c r="E241" t="s">
        <v>72</v>
      </c>
      <c r="F241" t="s">
        <v>19</v>
      </c>
      <c r="G241" t="s">
        <v>26</v>
      </c>
      <c r="H241" t="s">
        <v>21</v>
      </c>
      <c r="I241" t="s">
        <v>76</v>
      </c>
      <c r="J241" t="s">
        <v>148</v>
      </c>
      <c r="K241" t="s">
        <v>23</v>
      </c>
      <c r="L241">
        <v>2809</v>
      </c>
      <c r="M241" s="4">
        <v>51.091884100000001</v>
      </c>
      <c r="N241" s="4">
        <v>165.07634913523941</v>
      </c>
      <c r="O241" s="4">
        <v>1.1147032088621967E-3</v>
      </c>
      <c r="P241" s="1" t="str">
        <f>HYPERLINK(".\sm_car_260612_0028\sm_car_260612_0028_240_Ca171TrN_MaRDR_DrSt_ode23t_1.png","figure")</f>
        <v>figure</v>
      </c>
      <c r="Q241" t="s">
        <v>15</v>
      </c>
      <c r="R241" t="b">
        <f>B241='2024b_260221_0030'!B241</f>
        <v>1</v>
      </c>
      <c r="T241">
        <f>(L241-'2024b_260221_0030'!L241)</f>
        <v>16</v>
      </c>
      <c r="U241" s="12">
        <f>(L241-'2024b_260221_0030'!L241)/'2024b_260221_0030'!L241</f>
        <v>5.7286072323666313E-3</v>
      </c>
      <c r="V241" s="4">
        <f>(M241-'2024b_260221_0030'!M241)</f>
        <v>5.8566955000000007</v>
      </c>
      <c r="W241" s="12">
        <f>(M241-'2024b_260221_0030'!M241)/'2024b_260221_0030'!M241</f>
        <v>0.12947211410543341</v>
      </c>
    </row>
    <row r="242" spans="1:23" x14ac:dyDescent="0.25">
      <c r="A242">
        <v>241</v>
      </c>
      <c r="B242">
        <v>172</v>
      </c>
      <c r="C242" t="s">
        <v>46</v>
      </c>
      <c r="D242" t="s">
        <v>17</v>
      </c>
      <c r="E242" t="s">
        <v>72</v>
      </c>
      <c r="F242" t="s">
        <v>19</v>
      </c>
      <c r="G242" t="s">
        <v>26</v>
      </c>
      <c r="H242" t="s">
        <v>21</v>
      </c>
      <c r="I242" t="s">
        <v>76</v>
      </c>
      <c r="J242" t="s">
        <v>148</v>
      </c>
      <c r="K242" t="s">
        <v>23</v>
      </c>
      <c r="L242">
        <v>3238</v>
      </c>
      <c r="M242" s="4">
        <v>31.089059800000001</v>
      </c>
      <c r="N242" s="4">
        <v>162.25441989984716</v>
      </c>
      <c r="O242" s="4">
        <v>3.6944948310895594E-4</v>
      </c>
      <c r="P242" s="1" t="str">
        <f>HYPERLINK(".\sm_car_260612_0028\sm_car_260612_0028_241_Ca172TrN_MaRDR_DrSt_ode23t_1.png","figure")</f>
        <v>figure</v>
      </c>
      <c r="Q242" t="s">
        <v>15</v>
      </c>
      <c r="R242" t="b">
        <f>B242='2024b_260221_0030'!B242</f>
        <v>1</v>
      </c>
      <c r="T242">
        <f>(L242-'2024b_260221_0030'!L242)</f>
        <v>0</v>
      </c>
      <c r="U242" s="12">
        <f>(L242-'2024b_260221_0030'!L242)/'2024b_260221_0030'!L242</f>
        <v>0</v>
      </c>
      <c r="V242" s="4">
        <f>(M242-'2024b_260221_0030'!M242)</f>
        <v>3.8261511000000006</v>
      </c>
      <c r="W242" s="12">
        <f>(M242-'2024b_260221_0030'!M242)/'2024b_260221_0030'!M242</f>
        <v>0.14034273239524148</v>
      </c>
    </row>
    <row r="243" spans="1:23" x14ac:dyDescent="0.25">
      <c r="A243">
        <v>242</v>
      </c>
      <c r="B243">
        <v>139</v>
      </c>
      <c r="C243" t="s">
        <v>45</v>
      </c>
      <c r="D243" t="s">
        <v>17</v>
      </c>
      <c r="E243" t="s">
        <v>18</v>
      </c>
      <c r="F243" t="s">
        <v>19</v>
      </c>
      <c r="G243" t="s">
        <v>26</v>
      </c>
      <c r="H243" t="s">
        <v>21</v>
      </c>
      <c r="I243" t="s">
        <v>77</v>
      </c>
      <c r="J243" t="s">
        <v>148</v>
      </c>
      <c r="K243" t="s">
        <v>23</v>
      </c>
      <c r="L243">
        <v>2967</v>
      </c>
      <c r="M243" s="4">
        <v>36.060320699999998</v>
      </c>
      <c r="N243" s="4">
        <v>189.27067358726217</v>
      </c>
      <c r="O243" s="4">
        <v>7.4911249832966987E-4</v>
      </c>
      <c r="P243" s="1" t="str">
        <f>HYPERLINK(".\sm_car_260612_0028\sm_car_260612_0028_242_Ca139TrN_MaZRR_DrSt_ode23t_1.png","figure")</f>
        <v>figure</v>
      </c>
      <c r="Q243" t="s">
        <v>15</v>
      </c>
      <c r="R243" t="b">
        <f>B243='2024b_260221_0030'!B243</f>
        <v>1</v>
      </c>
      <c r="T243">
        <f>(L243-'2024b_260221_0030'!L243)</f>
        <v>15</v>
      </c>
      <c r="U243" s="12">
        <f>(L243-'2024b_260221_0030'!L243)/'2024b_260221_0030'!L243</f>
        <v>5.08130081300813E-3</v>
      </c>
      <c r="V243" s="4">
        <f>(M243-'2024b_260221_0030'!M243)</f>
        <v>4.453548399999999</v>
      </c>
      <c r="W243" s="12">
        <f>(M243-'2024b_260221_0030'!M243)/'2024b_260221_0030'!M243</f>
        <v>0.14090487816119077</v>
      </c>
    </row>
    <row r="244" spans="1:23" x14ac:dyDescent="0.25">
      <c r="A244">
        <v>243</v>
      </c>
      <c r="B244">
        <v>165</v>
      </c>
      <c r="C244" t="s">
        <v>45</v>
      </c>
      <c r="D244" t="s">
        <v>35</v>
      </c>
      <c r="E244" t="s">
        <v>49</v>
      </c>
      <c r="F244" t="s">
        <v>19</v>
      </c>
      <c r="G244" t="s">
        <v>26</v>
      </c>
      <c r="H244" t="s">
        <v>21</v>
      </c>
      <c r="I244" t="s">
        <v>77</v>
      </c>
      <c r="J244" t="s">
        <v>148</v>
      </c>
      <c r="K244" t="s">
        <v>23</v>
      </c>
      <c r="L244">
        <v>3235</v>
      </c>
      <c r="M244" s="4">
        <v>22.190208200000001</v>
      </c>
      <c r="N244" s="4">
        <v>189.42270028695617</v>
      </c>
      <c r="O244" s="4">
        <v>5.9916524672873331E-5</v>
      </c>
      <c r="P244" s="1" t="str">
        <f>HYPERLINK(".\sm_car_260612_0028\sm_car_260612_0028_243_Ca165TrN_MaZRR_DrSt_ode23t_1.png","figure")</f>
        <v>figure</v>
      </c>
      <c r="Q244" t="s">
        <v>15</v>
      </c>
      <c r="R244" t="b">
        <f>B244='2024b_260221_0030'!B244</f>
        <v>1</v>
      </c>
      <c r="T244">
        <f>(L244-'2024b_260221_0030'!L244)</f>
        <v>1</v>
      </c>
      <c r="U244" s="12">
        <f>(L244-'2024b_260221_0030'!L244)/'2024b_260221_0030'!L244</f>
        <v>3.0921459492888067E-4</v>
      </c>
      <c r="V244" s="4">
        <f>(M244-'2024b_260221_0030'!M244)</f>
        <v>1.7925003000000004</v>
      </c>
      <c r="W244" s="12">
        <f>(M244-'2024b_260221_0030'!M244)/'2024b_260221_0030'!M244</f>
        <v>8.7877535495054337E-2</v>
      </c>
    </row>
    <row r="245" spans="1:23" x14ac:dyDescent="0.25">
      <c r="A245">
        <v>244</v>
      </c>
      <c r="B245">
        <v>171</v>
      </c>
      <c r="C245" t="s">
        <v>45</v>
      </c>
      <c r="D245" t="s">
        <v>17</v>
      </c>
      <c r="E245" t="s">
        <v>72</v>
      </c>
      <c r="F245" t="s">
        <v>19</v>
      </c>
      <c r="G245" t="s">
        <v>26</v>
      </c>
      <c r="H245" t="s">
        <v>21</v>
      </c>
      <c r="I245" t="s">
        <v>77</v>
      </c>
      <c r="J245" t="s">
        <v>148</v>
      </c>
      <c r="K245" t="s">
        <v>23</v>
      </c>
      <c r="L245">
        <v>2965</v>
      </c>
      <c r="M245" s="4">
        <v>52.247113300000002</v>
      </c>
      <c r="N245" s="4">
        <v>189.26718781907476</v>
      </c>
      <c r="O245" s="4">
        <v>7.0780413752899191E-4</v>
      </c>
      <c r="P245" s="1" t="str">
        <f>HYPERLINK(".\sm_car_260612_0028\sm_car_260612_0028_244_Ca171TrN_MaZRR_DrSt_ode23t_1.png","figure")</f>
        <v>figure</v>
      </c>
      <c r="Q245" t="s">
        <v>15</v>
      </c>
      <c r="R245" t="b">
        <f>B245='2024b_260221_0030'!B245</f>
        <v>1</v>
      </c>
      <c r="T245">
        <f>(L245-'2024b_260221_0030'!L245)</f>
        <v>-41</v>
      </c>
      <c r="U245" s="12">
        <f>(L245-'2024b_260221_0030'!L245)/'2024b_260221_0030'!L245</f>
        <v>-1.3639387890884896E-2</v>
      </c>
      <c r="V245" s="4">
        <f>(M245-'2024b_260221_0030'!M245)</f>
        <v>1.3283631000000042</v>
      </c>
      <c r="W245" s="12">
        <f>(M245-'2024b_260221_0030'!M245)/'2024b_260221_0030'!M245</f>
        <v>2.6087896792093775E-2</v>
      </c>
    </row>
    <row r="246" spans="1:23" x14ac:dyDescent="0.25">
      <c r="A246">
        <v>245</v>
      </c>
      <c r="B246">
        <v>170</v>
      </c>
      <c r="C246" t="s">
        <v>45</v>
      </c>
      <c r="D246" t="s">
        <v>35</v>
      </c>
      <c r="E246" t="s">
        <v>49</v>
      </c>
      <c r="F246" t="s">
        <v>19</v>
      </c>
      <c r="G246" t="s">
        <v>188</v>
      </c>
      <c r="H246" t="s">
        <v>21</v>
      </c>
      <c r="I246" t="s">
        <v>78</v>
      </c>
      <c r="J246" t="s">
        <v>148</v>
      </c>
      <c r="K246" t="s">
        <v>23</v>
      </c>
      <c r="L246">
        <v>5631</v>
      </c>
      <c r="M246" s="4">
        <v>22.114287099999999</v>
      </c>
      <c r="N246" s="4">
        <v>-5.9979544712873629</v>
      </c>
      <c r="O246" s="4">
        <v>-7.748787899003756E-3</v>
      </c>
      <c r="P246" s="1" t="str">
        <f>HYPERLINK(".\sm_car_260612_0028\sm_car_260612_0028_245_Ca170TrN_MaCMP_DrSt_ode23t_1.png","figure")</f>
        <v>figure</v>
      </c>
      <c r="Q246" t="s">
        <v>15</v>
      </c>
      <c r="R246" t="b">
        <f>B246='2024b_260221_0030'!B246</f>
        <v>1</v>
      </c>
      <c r="T246">
        <f>(L246-'2024b_260221_0030'!L246)</f>
        <v>0</v>
      </c>
      <c r="U246" s="12">
        <f>(L246-'2024b_260221_0030'!L246)/'2024b_260221_0030'!L246</f>
        <v>0</v>
      </c>
      <c r="V246" s="4">
        <f>(M246-'2024b_260221_0030'!M246)</f>
        <v>3.4177165999999986</v>
      </c>
      <c r="W246" s="12">
        <f>(M246-'2024b_260221_0030'!M246)/'2024b_260221_0030'!M246</f>
        <v>0.18279911815912969</v>
      </c>
    </row>
    <row r="247" spans="1:23" x14ac:dyDescent="0.25">
      <c r="A247">
        <v>246</v>
      </c>
      <c r="B247">
        <v>170</v>
      </c>
      <c r="C247" t="s">
        <v>45</v>
      </c>
      <c r="D247" t="s">
        <v>35</v>
      </c>
      <c r="E247" t="s">
        <v>49</v>
      </c>
      <c r="F247" t="s">
        <v>19</v>
      </c>
      <c r="G247" t="s">
        <v>188</v>
      </c>
      <c r="H247" t="s">
        <v>21</v>
      </c>
      <c r="I247" t="s">
        <v>79</v>
      </c>
      <c r="J247" t="s">
        <v>148</v>
      </c>
      <c r="K247" t="s">
        <v>23</v>
      </c>
      <c r="L247">
        <v>1580</v>
      </c>
      <c r="M247" s="4">
        <v>12.429825900000001</v>
      </c>
      <c r="N247" s="4">
        <v>-5.9979562952002521</v>
      </c>
      <c r="O247" s="4">
        <v>-7.7744401064364149E-3</v>
      </c>
      <c r="P247" s="1" t="str">
        <f>HYPERLINK(".\sm_car_260612_0028\sm_car_260612_0028_246_Ca170TrN_MaCMF_DrSt_ode23t_1.png","figure")</f>
        <v>figure</v>
      </c>
      <c r="Q247" t="s">
        <v>15</v>
      </c>
      <c r="R247" t="b">
        <f>B247='2024b_260221_0030'!B247</f>
        <v>1</v>
      </c>
      <c r="T247">
        <f>(L247-'2024b_260221_0030'!L247)</f>
        <v>0</v>
      </c>
      <c r="U247" s="12">
        <f>(L247-'2024b_260221_0030'!L247)/'2024b_260221_0030'!L247</f>
        <v>0</v>
      </c>
      <c r="V247" s="4">
        <f>(M247-'2024b_260221_0030'!M247)</f>
        <v>1.5082231000000004</v>
      </c>
      <c r="W247" s="12">
        <f>(M247-'2024b_260221_0030'!M247)/'2024b_260221_0030'!M247</f>
        <v>0.13809539933094805</v>
      </c>
    </row>
    <row r="248" spans="1:23" x14ac:dyDescent="0.25">
      <c r="A248">
        <v>247</v>
      </c>
      <c r="B248">
        <v>170</v>
      </c>
      <c r="C248" t="s">
        <v>45</v>
      </c>
      <c r="D248" t="s">
        <v>35</v>
      </c>
      <c r="E248" t="s">
        <v>49</v>
      </c>
      <c r="F248" t="s">
        <v>19</v>
      </c>
      <c r="G248" t="s">
        <v>188</v>
      </c>
      <c r="H248" t="s">
        <v>21</v>
      </c>
      <c r="I248" t="s">
        <v>80</v>
      </c>
      <c r="J248" t="s">
        <v>148</v>
      </c>
      <c r="K248" t="s">
        <v>23</v>
      </c>
      <c r="L248">
        <v>5352</v>
      </c>
      <c r="M248" s="4">
        <v>37.241619800000002</v>
      </c>
      <c r="N248" s="4">
        <v>-217.57982253801711</v>
      </c>
      <c r="O248" s="4">
        <v>5.8626187677265129</v>
      </c>
      <c r="P248" s="1" t="str">
        <f>HYPERLINK(".\sm_car_260612_0028\sm_car_260612_0028_247_Ca170TrN_MaMPO_DrSt_ode23t_1.png","figure")</f>
        <v>figure</v>
      </c>
      <c r="Q248" t="s">
        <v>15</v>
      </c>
      <c r="R248" t="b">
        <f>B248='2024b_260221_0030'!B248</f>
        <v>1</v>
      </c>
      <c r="T248">
        <f>(L248-'2024b_260221_0030'!L248)</f>
        <v>0</v>
      </c>
      <c r="U248" s="12">
        <f>(L248-'2024b_260221_0030'!L248)/'2024b_260221_0030'!L248</f>
        <v>0</v>
      </c>
      <c r="V248" s="4">
        <f>(M248-'2024b_260221_0030'!M248)</f>
        <v>2.0769633000000027</v>
      </c>
      <c r="W248" s="12">
        <f>(M248-'2024b_260221_0030'!M248)/'2024b_260221_0030'!M248</f>
        <v>5.9063943934728975E-2</v>
      </c>
    </row>
    <row r="249" spans="1:23" x14ac:dyDescent="0.25">
      <c r="A249">
        <v>248</v>
      </c>
      <c r="B249">
        <v>170</v>
      </c>
      <c r="C249" t="s">
        <v>45</v>
      </c>
      <c r="D249" t="s">
        <v>35</v>
      </c>
      <c r="E249" t="s">
        <v>49</v>
      </c>
      <c r="F249" t="s">
        <v>19</v>
      </c>
      <c r="G249" t="s">
        <v>188</v>
      </c>
      <c r="H249" t="s">
        <v>21</v>
      </c>
      <c r="I249" t="s">
        <v>81</v>
      </c>
      <c r="J249" t="s">
        <v>148</v>
      </c>
      <c r="K249" t="s">
        <v>23</v>
      </c>
      <c r="L249">
        <v>1159</v>
      </c>
      <c r="M249" s="4">
        <v>16.052536400000001</v>
      </c>
      <c r="N249" s="4">
        <v>-14.249805149059753</v>
      </c>
      <c r="O249" s="4">
        <v>-2.4005762248606288E-2</v>
      </c>
      <c r="P249" s="1" t="str">
        <f>HYPERLINK(".\sm_car_260612_0028\sm_car_260612_0028_248_Ca170TrN_MaMCI_DrSt_ode23t_1.png","figure")</f>
        <v>figure</v>
      </c>
      <c r="Q249" t="s">
        <v>15</v>
      </c>
      <c r="R249" t="b">
        <f>B249='2024b_260221_0030'!B249</f>
        <v>1</v>
      </c>
      <c r="T249">
        <f>(L249-'2024b_260221_0030'!L249)</f>
        <v>0</v>
      </c>
      <c r="U249" s="12">
        <f>(L249-'2024b_260221_0030'!L249)/'2024b_260221_0030'!L249</f>
        <v>0</v>
      </c>
      <c r="V249" s="4">
        <f>(M249-'2024b_260221_0030'!M249)</f>
        <v>0.65192160000000143</v>
      </c>
      <c r="W249" s="12">
        <f>(M249-'2024b_260221_0030'!M249)/'2024b_260221_0030'!M249</f>
        <v>4.2330881491822098E-2</v>
      </c>
    </row>
    <row r="250" spans="1:23" x14ac:dyDescent="0.25">
      <c r="A250">
        <v>249</v>
      </c>
      <c r="B250">
        <v>170</v>
      </c>
      <c r="C250" t="s">
        <v>45</v>
      </c>
      <c r="D250" t="s">
        <v>35</v>
      </c>
      <c r="E250" t="s">
        <v>49</v>
      </c>
      <c r="F250" t="s">
        <v>19</v>
      </c>
      <c r="G250" t="s">
        <v>188</v>
      </c>
      <c r="H250" t="s">
        <v>21</v>
      </c>
      <c r="I250" t="s">
        <v>110</v>
      </c>
      <c r="J250" t="s">
        <v>148</v>
      </c>
      <c r="K250" t="s">
        <v>23</v>
      </c>
      <c r="L250">
        <v>3658</v>
      </c>
      <c r="M250" s="4">
        <v>21.648671799999999</v>
      </c>
      <c r="N250" s="4">
        <v>-5.99850593522478</v>
      </c>
      <c r="O250" s="4">
        <v>-5.0284239756188433E-3</v>
      </c>
      <c r="P250" s="1" t="str">
        <f>HYPERLINK(".\sm_car_260612_0028\sm_car_260612_0028_249_Ca170TrN_MaCHO_DrSt_ode23t_1.png","figure")</f>
        <v>figure</v>
      </c>
      <c r="Q250" t="s">
        <v>15</v>
      </c>
      <c r="R250" t="b">
        <f>B250='2024b_260221_0030'!B250</f>
        <v>1</v>
      </c>
      <c r="T250">
        <f>(L250-'2024b_260221_0030'!L250)</f>
        <v>0</v>
      </c>
      <c r="U250" s="12">
        <f>(L250-'2024b_260221_0030'!L250)/'2024b_260221_0030'!L250</f>
        <v>0</v>
      </c>
      <c r="V250" s="4">
        <f>(M250-'2024b_260221_0030'!M250)</f>
        <v>1.3498167999999993</v>
      </c>
      <c r="W250" s="12">
        <f>(M250-'2024b_260221_0030'!M250)/'2024b_260221_0030'!M250</f>
        <v>6.6497189127169939E-2</v>
      </c>
    </row>
    <row r="251" spans="1:23" x14ac:dyDescent="0.25">
      <c r="A251">
        <v>250</v>
      </c>
      <c r="B251">
        <v>170</v>
      </c>
      <c r="C251" t="s">
        <v>45</v>
      </c>
      <c r="D251" t="s">
        <v>35</v>
      </c>
      <c r="E251" t="s">
        <v>49</v>
      </c>
      <c r="F251" t="s">
        <v>19</v>
      </c>
      <c r="G251" t="s">
        <v>188</v>
      </c>
      <c r="H251" t="s">
        <v>21</v>
      </c>
      <c r="I251" t="s">
        <v>111</v>
      </c>
      <c r="J251" t="s">
        <v>148</v>
      </c>
      <c r="K251" t="s">
        <v>23</v>
      </c>
      <c r="L251">
        <v>2593</v>
      </c>
      <c r="M251" s="4">
        <v>20.766906800000001</v>
      </c>
      <c r="N251" s="4">
        <v>-5.9933615670907496</v>
      </c>
      <c r="O251" s="4">
        <v>-5.0691476177880581E-3</v>
      </c>
      <c r="P251" s="1" t="str">
        <f>HYPERLINK(".\sm_car_260612_0028\sm_car_260612_0028_250_Ca170TrN_MaCHF_DrSt_ode23t_1.png","figure")</f>
        <v>figure</v>
      </c>
      <c r="Q251" t="s">
        <v>15</v>
      </c>
      <c r="R251" t="b">
        <f>B251='2024b_260221_0030'!B251</f>
        <v>1</v>
      </c>
      <c r="T251">
        <f>(L251-'2024b_260221_0030'!L251)</f>
        <v>0</v>
      </c>
      <c r="U251" s="12">
        <f>(L251-'2024b_260221_0030'!L251)/'2024b_260221_0030'!L251</f>
        <v>0</v>
      </c>
      <c r="V251" s="4">
        <f>(M251-'2024b_260221_0030'!M251)</f>
        <v>1.2315673000000018</v>
      </c>
      <c r="W251" s="12">
        <f>(M251-'2024b_260221_0030'!M251)/'2024b_260221_0030'!M251</f>
        <v>6.3043045655797381E-2</v>
      </c>
    </row>
    <row r="252" spans="1:23" x14ac:dyDescent="0.25">
      <c r="A252">
        <v>251</v>
      </c>
      <c r="B252">
        <v>170</v>
      </c>
      <c r="C252" t="s">
        <v>45</v>
      </c>
      <c r="D252" t="s">
        <v>35</v>
      </c>
      <c r="E252" t="s">
        <v>49</v>
      </c>
      <c r="F252" t="s">
        <v>19</v>
      </c>
      <c r="G252" t="s">
        <v>188</v>
      </c>
      <c r="H252" t="s">
        <v>21</v>
      </c>
      <c r="I252" t="s">
        <v>82</v>
      </c>
      <c r="J252" t="s">
        <v>148</v>
      </c>
      <c r="K252" t="s">
        <v>23</v>
      </c>
      <c r="L252">
        <v>9308</v>
      </c>
      <c r="M252" s="4">
        <v>41.8529962</v>
      </c>
      <c r="N252" s="4">
        <v>-768.43271412211141</v>
      </c>
      <c r="O252" s="4">
        <v>638.49076571092655</v>
      </c>
      <c r="P252" s="1" t="str">
        <f>HYPERLINK(".\sm_car_260612_0028\sm_car_260612_0028_251_Ca170TrN_MaCKY_DrSt_ode23t_1.png","figure")</f>
        <v>figure</v>
      </c>
      <c r="Q252" t="s">
        <v>15</v>
      </c>
      <c r="R252" t="b">
        <f>B252='2024b_260221_0030'!B252</f>
        <v>1</v>
      </c>
      <c r="T252">
        <f>(L252-'2024b_260221_0030'!L252)</f>
        <v>0</v>
      </c>
      <c r="U252" s="12">
        <f>(L252-'2024b_260221_0030'!L252)/'2024b_260221_0030'!L252</f>
        <v>0</v>
      </c>
      <c r="V252" s="4">
        <f>(M252-'2024b_260221_0030'!M252)</f>
        <v>3.1363460000000032</v>
      </c>
      <c r="W252" s="12">
        <f>(M252-'2024b_260221_0030'!M252)/'2024b_260221_0030'!M252</f>
        <v>8.1007679739813945E-2</v>
      </c>
    </row>
    <row r="253" spans="1:23" x14ac:dyDescent="0.25">
      <c r="A253">
        <v>252</v>
      </c>
      <c r="B253">
        <v>170</v>
      </c>
      <c r="C253" t="s">
        <v>45</v>
      </c>
      <c r="D253" t="s">
        <v>35</v>
      </c>
      <c r="E253" t="s">
        <v>49</v>
      </c>
      <c r="F253" t="s">
        <v>19</v>
      </c>
      <c r="G253" t="s">
        <v>188</v>
      </c>
      <c r="H253" t="s">
        <v>21</v>
      </c>
      <c r="I253" t="s">
        <v>83</v>
      </c>
      <c r="J253" t="s">
        <v>148</v>
      </c>
      <c r="K253" t="s">
        <v>23</v>
      </c>
      <c r="L253">
        <v>1664</v>
      </c>
      <c r="M253" s="4">
        <v>15.415894700000001</v>
      </c>
      <c r="N253" s="4">
        <v>-772.44725979243981</v>
      </c>
      <c r="O253" s="4">
        <v>640.62947841703226</v>
      </c>
      <c r="P253" s="1" t="str">
        <f>HYPERLINK(".\sm_car_260612_0028\sm_car_260612_0028_252_Ca170TrN_MaCKF_DrSt_ode23t_1.png","figure")</f>
        <v>figure</v>
      </c>
      <c r="Q253" t="s">
        <v>15</v>
      </c>
      <c r="R253" t="b">
        <f>B253='2024b_260221_0030'!B253</f>
        <v>1</v>
      </c>
      <c r="T253">
        <f>(L253-'2024b_260221_0030'!L253)</f>
        <v>0</v>
      </c>
      <c r="U253" s="12">
        <f>(L253-'2024b_260221_0030'!L253)/'2024b_260221_0030'!L253</f>
        <v>0</v>
      </c>
      <c r="V253" s="4">
        <f>(M253-'2024b_260221_0030'!M253)</f>
        <v>1.5415525000000017</v>
      </c>
      <c r="W253" s="12">
        <f>(M253-'2024b_260221_0030'!M253)/'2024b_260221_0030'!M253</f>
        <v>0.11110815041018678</v>
      </c>
    </row>
    <row r="254" spans="1:23" x14ac:dyDescent="0.25">
      <c r="A254">
        <v>253</v>
      </c>
      <c r="B254">
        <v>170</v>
      </c>
      <c r="C254" t="s">
        <v>45</v>
      </c>
      <c r="D254" t="s">
        <v>35</v>
      </c>
      <c r="E254" t="s">
        <v>49</v>
      </c>
      <c r="F254" t="s">
        <v>19</v>
      </c>
      <c r="G254" t="s">
        <v>188</v>
      </c>
      <c r="H254" t="s">
        <v>21</v>
      </c>
      <c r="I254" t="s">
        <v>84</v>
      </c>
      <c r="J254" t="s">
        <v>148</v>
      </c>
      <c r="K254" t="s">
        <v>23</v>
      </c>
      <c r="L254">
        <v>2156</v>
      </c>
      <c r="M254" s="4">
        <v>22.6004346</v>
      </c>
      <c r="N254" s="4">
        <v>189.26909582271711</v>
      </c>
      <c r="O254" s="4">
        <v>308.83318050725029</v>
      </c>
      <c r="P254" s="1" t="str">
        <f>HYPERLINK(".\sm_car_260612_0028\sm_car_260612_0028_253_Ca170TrN_MaCNN_DrSt_ode23t_1.png","figure")</f>
        <v>figure</v>
      </c>
      <c r="Q254" t="s">
        <v>15</v>
      </c>
      <c r="R254" t="b">
        <f>B254='2024b_260221_0030'!B254</f>
        <v>1</v>
      </c>
      <c r="T254">
        <f>(L254-'2024b_260221_0030'!L254)</f>
        <v>0</v>
      </c>
      <c r="U254" s="12">
        <f>(L254-'2024b_260221_0030'!L254)/'2024b_260221_0030'!L254</f>
        <v>0</v>
      </c>
      <c r="V254" s="4">
        <f>(M254-'2024b_260221_0030'!M254)</f>
        <v>1.6028826000000009</v>
      </c>
      <c r="W254" s="12">
        <f>(M254-'2024b_260221_0030'!M254)/'2024b_260221_0030'!M254</f>
        <v>7.6336641528498228E-2</v>
      </c>
    </row>
    <row r="255" spans="1:23" x14ac:dyDescent="0.25">
      <c r="A255">
        <v>254</v>
      </c>
      <c r="B255">
        <v>170</v>
      </c>
      <c r="C255" t="s">
        <v>45</v>
      </c>
      <c r="D255" t="s">
        <v>35</v>
      </c>
      <c r="E255" t="s">
        <v>49</v>
      </c>
      <c r="F255" t="s">
        <v>19</v>
      </c>
      <c r="G255" t="s">
        <v>188</v>
      </c>
      <c r="H255" t="s">
        <v>21</v>
      </c>
      <c r="I255" t="s">
        <v>85</v>
      </c>
      <c r="J255" t="s">
        <v>148</v>
      </c>
      <c r="K255" t="s">
        <v>23</v>
      </c>
      <c r="L255">
        <v>3524</v>
      </c>
      <c r="M255" s="4">
        <v>120.0993309</v>
      </c>
      <c r="N255" s="4">
        <v>2982.1141146931627</v>
      </c>
      <c r="O255" s="4">
        <v>-3077.3778891952375</v>
      </c>
      <c r="P255" s="1" t="str">
        <f>HYPERLINK(".\sm_car_260612_0028\sm_car_260612_0028_254_Ca170TrN_MaCNF_DrSt_ode23t_1.png","figure")</f>
        <v>figure</v>
      </c>
      <c r="Q255" t="s">
        <v>15</v>
      </c>
      <c r="R255" t="b">
        <f>B255='2024b_260221_0030'!B255</f>
        <v>1</v>
      </c>
      <c r="T255">
        <f>(L255-'2024b_260221_0030'!L255)</f>
        <v>0</v>
      </c>
      <c r="U255" s="12">
        <f>(L255-'2024b_260221_0030'!L255)/'2024b_260221_0030'!L255</f>
        <v>0</v>
      </c>
      <c r="V255" s="4">
        <f>(M255-'2024b_260221_0030'!M255)</f>
        <v>11.519480000000001</v>
      </c>
      <c r="W255" s="12">
        <f>(M255-'2024b_260221_0030'!M255)/'2024b_260221_0030'!M255</f>
        <v>0.10609224367612391</v>
      </c>
    </row>
    <row r="256" spans="1:23" x14ac:dyDescent="0.25">
      <c r="A256">
        <v>255</v>
      </c>
      <c r="B256">
        <v>170</v>
      </c>
      <c r="C256" t="s">
        <v>45</v>
      </c>
      <c r="D256" t="s">
        <v>35</v>
      </c>
      <c r="E256" t="s">
        <v>49</v>
      </c>
      <c r="F256" t="s">
        <v>19</v>
      </c>
      <c r="G256" t="s">
        <v>188</v>
      </c>
      <c r="H256" t="s">
        <v>21</v>
      </c>
      <c r="I256" t="s">
        <v>86</v>
      </c>
      <c r="J256" t="s">
        <v>148</v>
      </c>
      <c r="K256" t="s">
        <v>23</v>
      </c>
      <c r="L256">
        <v>2750</v>
      </c>
      <c r="M256" s="4">
        <v>17.865251000000001</v>
      </c>
      <c r="N256" s="4">
        <v>498.15245303762708</v>
      </c>
      <c r="O256" s="4">
        <v>-175.9600399106761</v>
      </c>
      <c r="P256" s="1" t="str">
        <f>HYPERLINK(".\sm_car_260612_0028\sm_car_260612_0028_255_Ca170TrN_MaCSZ_DrSt_ode23t_1.png","figure")</f>
        <v>figure</v>
      </c>
      <c r="Q256" t="s">
        <v>15</v>
      </c>
      <c r="R256" t="b">
        <f>B256='2024b_260221_0030'!B256</f>
        <v>1</v>
      </c>
      <c r="T256">
        <f>(L256-'2024b_260221_0030'!L256)</f>
        <v>0</v>
      </c>
      <c r="U256" s="12">
        <f>(L256-'2024b_260221_0030'!L256)/'2024b_260221_0030'!L256</f>
        <v>0</v>
      </c>
      <c r="V256" s="4">
        <f>(M256-'2024b_260221_0030'!M256)</f>
        <v>1.4778495000000014</v>
      </c>
      <c r="W256" s="12">
        <f>(M256-'2024b_260221_0030'!M256)/'2024b_260221_0030'!M256</f>
        <v>9.0182052352839548E-2</v>
      </c>
    </row>
    <row r="257" spans="1:23" x14ac:dyDescent="0.25">
      <c r="A257">
        <v>256</v>
      </c>
      <c r="B257">
        <v>170</v>
      </c>
      <c r="C257" t="s">
        <v>45</v>
      </c>
      <c r="D257" t="s">
        <v>35</v>
      </c>
      <c r="E257" t="s">
        <v>49</v>
      </c>
      <c r="F257" t="s">
        <v>19</v>
      </c>
      <c r="G257" t="s">
        <v>188</v>
      </c>
      <c r="H257" t="s">
        <v>21</v>
      </c>
      <c r="I257" t="s">
        <v>87</v>
      </c>
      <c r="J257" t="s">
        <v>148</v>
      </c>
      <c r="K257" t="s">
        <v>23</v>
      </c>
      <c r="L257">
        <v>5089</v>
      </c>
      <c r="M257" s="4">
        <v>107.2742432</v>
      </c>
      <c r="N257" s="4">
        <v>-8.9459360174484885</v>
      </c>
      <c r="O257" s="4">
        <v>6.9558450255878031E-3</v>
      </c>
      <c r="P257" s="1" t="str">
        <f>HYPERLINK(".\sm_car_260612_0028\sm_car_260612_0028_256_Ca170TrN_MaCSF_DrSt_ode23t_1.png","figure")</f>
        <v>figure</v>
      </c>
      <c r="Q257" t="s">
        <v>15</v>
      </c>
      <c r="R257" t="b">
        <f>B257='2024b_260221_0030'!B257</f>
        <v>1</v>
      </c>
      <c r="T257">
        <f>(L257-'2024b_260221_0030'!L257)</f>
        <v>0</v>
      </c>
      <c r="U257" s="12">
        <f>(L257-'2024b_260221_0030'!L257)/'2024b_260221_0030'!L257</f>
        <v>0</v>
      </c>
      <c r="V257" s="4">
        <f>(M257-'2024b_260221_0030'!M257)</f>
        <v>9.0987465999999984</v>
      </c>
      <c r="W257" s="12">
        <f>(M257-'2024b_260221_0030'!M257)/'2024b_260221_0030'!M257</f>
        <v>9.2678386309277896E-2</v>
      </c>
    </row>
    <row r="258" spans="1:23" x14ac:dyDescent="0.25">
      <c r="A258">
        <v>257</v>
      </c>
      <c r="B258">
        <v>170</v>
      </c>
      <c r="C258" t="s">
        <v>45</v>
      </c>
      <c r="D258" t="s">
        <v>35</v>
      </c>
      <c r="E258" t="s">
        <v>49</v>
      </c>
      <c r="F258" t="s">
        <v>19</v>
      </c>
      <c r="G258" t="s">
        <v>188</v>
      </c>
      <c r="H258" t="s">
        <v>21</v>
      </c>
      <c r="I258" t="s">
        <v>88</v>
      </c>
      <c r="J258" t="s">
        <v>148</v>
      </c>
      <c r="K258" t="s">
        <v>23</v>
      </c>
      <c r="L258">
        <v>1409</v>
      </c>
      <c r="M258" s="4">
        <v>30.674576800000001</v>
      </c>
      <c r="N258" s="4">
        <v>247.75492942953616</v>
      </c>
      <c r="O258" s="4">
        <v>391.38252535414676</v>
      </c>
      <c r="P258" s="1" t="str">
        <f>HYPERLINK(".\sm_car_260612_0028\sm_car_260612_0028_257_Ca170TrN_MaCPU_DrSt_ode23t_1.png","figure")</f>
        <v>figure</v>
      </c>
      <c r="Q258" t="s">
        <v>15</v>
      </c>
      <c r="R258" t="b">
        <f>B258='2024b_260221_0030'!B258</f>
        <v>1</v>
      </c>
      <c r="T258">
        <f>(L258-'2024b_260221_0030'!L258)</f>
        <v>0</v>
      </c>
      <c r="U258" s="12">
        <f>(L258-'2024b_260221_0030'!L258)/'2024b_260221_0030'!L258</f>
        <v>0</v>
      </c>
      <c r="V258" s="4">
        <f>(M258-'2024b_260221_0030'!M258)</f>
        <v>3.4699342000000009</v>
      </c>
      <c r="W258" s="12">
        <f>(M258-'2024b_260221_0030'!M258)/'2024b_260221_0030'!M258</f>
        <v>0.12754933968513157</v>
      </c>
    </row>
    <row r="259" spans="1:23" x14ac:dyDescent="0.25">
      <c r="A259">
        <v>258</v>
      </c>
      <c r="B259">
        <v>170</v>
      </c>
      <c r="C259" t="s">
        <v>45</v>
      </c>
      <c r="D259" t="s">
        <v>35</v>
      </c>
      <c r="E259" t="s">
        <v>49</v>
      </c>
      <c r="F259" t="s">
        <v>19</v>
      </c>
      <c r="G259" t="s">
        <v>188</v>
      </c>
      <c r="H259" t="s">
        <v>21</v>
      </c>
      <c r="I259" t="s">
        <v>89</v>
      </c>
      <c r="J259" t="s">
        <v>148</v>
      </c>
      <c r="K259" t="s">
        <v>23</v>
      </c>
      <c r="L259">
        <v>2231</v>
      </c>
      <c r="M259" s="4">
        <v>23.225608399999999</v>
      </c>
      <c r="N259" s="4">
        <v>179.58618435095036</v>
      </c>
      <c r="O259" s="4">
        <v>-180.28780787958567</v>
      </c>
      <c r="P259" s="1" t="str">
        <f>HYPERLINK(".\sm_car_260612_0028\sm_car_260612_0028_258_Ca170TrN_MaCPD_DrSt_ode23t_1.png","figure")</f>
        <v>figure</v>
      </c>
      <c r="Q259" t="s">
        <v>15</v>
      </c>
      <c r="R259" t="b">
        <f>B259='2024b_260221_0030'!B259</f>
        <v>1</v>
      </c>
      <c r="T259">
        <f>(L259-'2024b_260221_0030'!L259)</f>
        <v>0</v>
      </c>
      <c r="U259" s="12">
        <f>(L259-'2024b_260221_0030'!L259)/'2024b_260221_0030'!L259</f>
        <v>0</v>
      </c>
      <c r="V259" s="4">
        <f>(M259-'2024b_260221_0030'!M259)</f>
        <v>2.5427625999999997</v>
      </c>
      <c r="W259" s="12">
        <f>(M259-'2024b_260221_0030'!M259)/'2024b_260221_0030'!M259</f>
        <v>0.12294065452056892</v>
      </c>
    </row>
    <row r="260" spans="1:23" x14ac:dyDescent="0.25">
      <c r="A260">
        <v>259</v>
      </c>
      <c r="B260">
        <v>202</v>
      </c>
      <c r="C260" t="s">
        <v>45</v>
      </c>
      <c r="D260" t="s">
        <v>35</v>
      </c>
      <c r="E260" t="s">
        <v>107</v>
      </c>
      <c r="F260" t="s">
        <v>19</v>
      </c>
      <c r="G260" t="s">
        <v>188</v>
      </c>
      <c r="H260" t="s">
        <v>21</v>
      </c>
      <c r="I260" t="s">
        <v>79</v>
      </c>
      <c r="J260" t="s">
        <v>148</v>
      </c>
      <c r="K260" t="s">
        <v>23</v>
      </c>
      <c r="L260">
        <v>1579</v>
      </c>
      <c r="M260" s="4">
        <v>4.4375720000000003</v>
      </c>
      <c r="N260" s="4">
        <v>-5.9998316658648214</v>
      </c>
      <c r="O260" s="4">
        <v>-7.7678266395743512E-3</v>
      </c>
      <c r="P260" s="1" t="str">
        <f>HYPERLINK(".\sm_car_260612_0028\sm_car_260612_0028_259_Ca202TrN_MaCMF_DrSt_ode23t_1.png","figure")</f>
        <v>figure</v>
      </c>
      <c r="Q260" t="s">
        <v>15</v>
      </c>
      <c r="R260" t="b">
        <f>B260='2024b_260221_0030'!B260</f>
        <v>1</v>
      </c>
      <c r="T260">
        <f>(L260-'2024b_260221_0030'!L260)</f>
        <v>9</v>
      </c>
      <c r="U260" s="12">
        <f>(L260-'2024b_260221_0030'!L260)/'2024b_260221_0030'!L260</f>
        <v>5.7324840764331206E-3</v>
      </c>
      <c r="V260" s="4">
        <f>(M260-'2024b_260221_0030'!M260)</f>
        <v>0.52425130000000042</v>
      </c>
      <c r="W260" s="12">
        <f>(M260-'2024b_260221_0030'!M260)/'2024b_260221_0030'!M260</f>
        <v>0.13396584133776729</v>
      </c>
    </row>
    <row r="261" spans="1:23" x14ac:dyDescent="0.25">
      <c r="A261">
        <v>260</v>
      </c>
      <c r="B261">
        <v>202</v>
      </c>
      <c r="C261" t="s">
        <v>45</v>
      </c>
      <c r="D261" t="s">
        <v>35</v>
      </c>
      <c r="E261" t="s">
        <v>107</v>
      </c>
      <c r="F261" t="s">
        <v>19</v>
      </c>
      <c r="G261" t="s">
        <v>188</v>
      </c>
      <c r="H261" t="s">
        <v>21</v>
      </c>
      <c r="I261" t="s">
        <v>80</v>
      </c>
      <c r="J261" t="s">
        <v>148</v>
      </c>
      <c r="K261" t="s">
        <v>23</v>
      </c>
      <c r="L261">
        <v>5307</v>
      </c>
      <c r="M261" s="4">
        <v>24.587582699999999</v>
      </c>
      <c r="N261" s="4">
        <v>-217.47160619863675</v>
      </c>
      <c r="O261" s="4">
        <v>5.8455713999180903</v>
      </c>
      <c r="P261" s="1" t="str">
        <f>HYPERLINK(".\sm_car_260612_0028\sm_car_260612_0028_260_Ca202TrN_MaMPO_DrSt_ode23t_1.png","figure")</f>
        <v>figure</v>
      </c>
      <c r="Q261" t="s">
        <v>15</v>
      </c>
      <c r="R261" t="b">
        <f>B261='2024b_260221_0030'!B261</f>
        <v>1</v>
      </c>
      <c r="T261">
        <f>(L261-'2024b_260221_0030'!L261)</f>
        <v>-58</v>
      </c>
      <c r="U261" s="12">
        <f>(L261-'2024b_260221_0030'!L261)/'2024b_260221_0030'!L261</f>
        <v>-1.0810810810810811E-2</v>
      </c>
      <c r="V261" s="4">
        <f>(M261-'2024b_260221_0030'!M261)</f>
        <v>0.93814509999999984</v>
      </c>
      <c r="W261" s="12">
        <f>(M261-'2024b_260221_0030'!M261)/'2024b_260221_0030'!M261</f>
        <v>3.9668812251163213E-2</v>
      </c>
    </row>
    <row r="262" spans="1:23" x14ac:dyDescent="0.25">
      <c r="A262">
        <v>261</v>
      </c>
      <c r="B262">
        <v>202</v>
      </c>
      <c r="C262" t="s">
        <v>45</v>
      </c>
      <c r="D262" t="s">
        <v>35</v>
      </c>
      <c r="E262" t="s">
        <v>107</v>
      </c>
      <c r="F262" t="s">
        <v>19</v>
      </c>
      <c r="G262" t="s">
        <v>188</v>
      </c>
      <c r="H262" t="s">
        <v>21</v>
      </c>
      <c r="I262" t="s">
        <v>81</v>
      </c>
      <c r="J262" t="s">
        <v>148</v>
      </c>
      <c r="K262" t="s">
        <v>23</v>
      </c>
      <c r="L262">
        <v>1194</v>
      </c>
      <c r="M262" s="4">
        <v>9.6110805999999993</v>
      </c>
      <c r="N262" s="4">
        <v>-14.251746095493395</v>
      </c>
      <c r="O262" s="4">
        <v>-2.5640794336368344E-2</v>
      </c>
      <c r="P262" s="1" t="str">
        <f>HYPERLINK(".\sm_car_260612_0028\sm_car_260612_0028_261_Ca202TrN_MaMCI_DrSt_ode23t_1.png","figure")</f>
        <v>figure</v>
      </c>
      <c r="Q262" t="s">
        <v>15</v>
      </c>
      <c r="R262" t="b">
        <f>B262='2024b_260221_0030'!B262</f>
        <v>1</v>
      </c>
      <c r="T262">
        <f>(L262-'2024b_260221_0030'!L262)</f>
        <v>16</v>
      </c>
      <c r="U262" s="12">
        <f>(L262-'2024b_260221_0030'!L262)/'2024b_260221_0030'!L262</f>
        <v>1.3582342954159592E-2</v>
      </c>
      <c r="V262" s="4">
        <f>(M262-'2024b_260221_0030'!M262)</f>
        <v>0.74047009999999958</v>
      </c>
      <c r="W262" s="12">
        <f>(M262-'2024b_260221_0030'!M262)/'2024b_260221_0030'!M262</f>
        <v>8.3474536504561839E-2</v>
      </c>
    </row>
    <row r="263" spans="1:23" x14ac:dyDescent="0.25">
      <c r="A263">
        <v>262</v>
      </c>
      <c r="B263">
        <v>202</v>
      </c>
      <c r="C263" t="s">
        <v>45</v>
      </c>
      <c r="D263" t="s">
        <v>35</v>
      </c>
      <c r="E263" t="s">
        <v>107</v>
      </c>
      <c r="F263" t="s">
        <v>19</v>
      </c>
      <c r="G263" t="s">
        <v>188</v>
      </c>
      <c r="H263" t="s">
        <v>21</v>
      </c>
      <c r="I263" t="s">
        <v>83</v>
      </c>
      <c r="J263" t="s">
        <v>148</v>
      </c>
      <c r="K263" t="s">
        <v>23</v>
      </c>
      <c r="L263">
        <v>2866</v>
      </c>
      <c r="M263" s="4">
        <v>9.5205990000000007</v>
      </c>
      <c r="N263" s="4">
        <v>-5.903938295935812</v>
      </c>
      <c r="O263" s="4">
        <v>-2.878994364612552E-2</v>
      </c>
      <c r="P263" s="1" t="str">
        <f>HYPERLINK(".\sm_car_260612_0028\sm_car_260612_0028_262_Ca202TrN_MaCKF_DrSt_ode23t_1.png","figure")</f>
        <v>figure</v>
      </c>
      <c r="Q263" t="s">
        <v>15</v>
      </c>
      <c r="R263" t="b">
        <f>B263='2024b_260221_0030'!B263</f>
        <v>1</v>
      </c>
      <c r="T263">
        <f>(L263-'2024b_260221_0030'!L263)</f>
        <v>14</v>
      </c>
      <c r="U263" s="12">
        <f>(L263-'2024b_260221_0030'!L263)/'2024b_260221_0030'!L263</f>
        <v>4.9088359046283309E-3</v>
      </c>
      <c r="V263" s="4">
        <f>(M263-'2024b_260221_0030'!M263)</f>
        <v>0.80195720000000037</v>
      </c>
      <c r="W263" s="12">
        <f>(M263-'2024b_260221_0030'!M263)/'2024b_260221_0030'!M263</f>
        <v>9.1981895620485324E-2</v>
      </c>
    </row>
    <row r="264" spans="1:23" x14ac:dyDescent="0.25">
      <c r="A264">
        <v>263</v>
      </c>
      <c r="B264">
        <v>202</v>
      </c>
      <c r="C264" t="s">
        <v>45</v>
      </c>
      <c r="D264" t="s">
        <v>35</v>
      </c>
      <c r="E264" t="s">
        <v>107</v>
      </c>
      <c r="F264" t="s">
        <v>19</v>
      </c>
      <c r="G264" t="s">
        <v>188</v>
      </c>
      <c r="H264" t="s">
        <v>21</v>
      </c>
      <c r="I264" t="s">
        <v>85</v>
      </c>
      <c r="J264" t="s">
        <v>148</v>
      </c>
      <c r="K264" t="s">
        <v>23</v>
      </c>
      <c r="L264">
        <v>8383</v>
      </c>
      <c r="M264" s="4">
        <v>179.79987199999999</v>
      </c>
      <c r="N264" s="4">
        <v>-8.999901019335022</v>
      </c>
      <c r="O264" s="4">
        <v>1.3131077925574193E-2</v>
      </c>
      <c r="P264" s="1" t="str">
        <f>HYPERLINK(".\sm_car_260612_0028\sm_car_260612_0028_263_Ca202TrN_MaCNF_DrSt_ode23t_1.png","figure")</f>
        <v>figure</v>
      </c>
      <c r="Q264" t="s">
        <v>15</v>
      </c>
      <c r="R264" t="b">
        <f>B264='2024b_260221_0030'!B264</f>
        <v>1</v>
      </c>
      <c r="T264">
        <f>(L264-'2024b_260221_0030'!L264)</f>
        <v>30</v>
      </c>
      <c r="U264" s="12">
        <f>(L264-'2024b_260221_0030'!L264)/'2024b_260221_0030'!L264</f>
        <v>3.591524003352089E-3</v>
      </c>
      <c r="V264" s="4">
        <f>(M264-'2024b_260221_0030'!M264)</f>
        <v>20.948080500000003</v>
      </c>
      <c r="W264" s="12">
        <f>(M264-'2024b_260221_0030'!M264)/'2024b_260221_0030'!M264</f>
        <v>0.13187185553396799</v>
      </c>
    </row>
    <row r="265" spans="1:23" x14ac:dyDescent="0.25">
      <c r="A265">
        <v>264</v>
      </c>
      <c r="B265">
        <v>202</v>
      </c>
      <c r="C265" t="s">
        <v>45</v>
      </c>
      <c r="D265" t="s">
        <v>35</v>
      </c>
      <c r="E265" t="s">
        <v>107</v>
      </c>
      <c r="F265" t="s">
        <v>19</v>
      </c>
      <c r="G265" t="s">
        <v>188</v>
      </c>
      <c r="H265" t="s">
        <v>21</v>
      </c>
      <c r="I265" t="s">
        <v>87</v>
      </c>
      <c r="J265" t="s">
        <v>148</v>
      </c>
      <c r="K265" t="s">
        <v>23</v>
      </c>
      <c r="L265">
        <v>5101</v>
      </c>
      <c r="M265" s="4">
        <v>57.025190500000001</v>
      </c>
      <c r="N265" s="4">
        <v>-8.9494871101436022</v>
      </c>
      <c r="O265" s="4">
        <v>6.9435216979726192E-3</v>
      </c>
      <c r="P265" s="1" t="str">
        <f>HYPERLINK(".\sm_car_260612_0028\sm_car_260612_0028_264_Ca202TrN_MaCSF_DrSt_ode23t_1.png","figure")</f>
        <v>figure</v>
      </c>
      <c r="Q265" t="s">
        <v>15</v>
      </c>
      <c r="R265" t="b">
        <f>B265='2024b_260221_0030'!B265</f>
        <v>1</v>
      </c>
      <c r="T265">
        <f>(L265-'2024b_260221_0030'!L265)</f>
        <v>9</v>
      </c>
      <c r="U265" s="12">
        <f>(L265-'2024b_260221_0030'!L265)/'2024b_260221_0030'!L265</f>
        <v>1.767478397486253E-3</v>
      </c>
      <c r="V265" s="4">
        <f>(M265-'2024b_260221_0030'!M265)</f>
        <v>4.7921843000000024</v>
      </c>
      <c r="W265" s="12">
        <f>(M265-'2024b_260221_0030'!M265)/'2024b_260221_0030'!M265</f>
        <v>9.1746285512473574E-2</v>
      </c>
    </row>
    <row r="266" spans="1:23" x14ac:dyDescent="0.25">
      <c r="A266">
        <v>265</v>
      </c>
      <c r="B266">
        <v>202</v>
      </c>
      <c r="C266" t="s">
        <v>45</v>
      </c>
      <c r="D266" t="s">
        <v>35</v>
      </c>
      <c r="E266" t="s">
        <v>107</v>
      </c>
      <c r="F266" t="s">
        <v>19</v>
      </c>
      <c r="G266" t="s">
        <v>188</v>
      </c>
      <c r="H266" t="s">
        <v>21</v>
      </c>
      <c r="I266" t="s">
        <v>78</v>
      </c>
      <c r="J266" t="s">
        <v>148</v>
      </c>
      <c r="K266" t="s">
        <v>23</v>
      </c>
      <c r="L266">
        <v>6167</v>
      </c>
      <c r="M266" s="4">
        <v>19.164091899999999</v>
      </c>
      <c r="N266" s="4">
        <v>-5.9993347677913178</v>
      </c>
      <c r="O266" s="4">
        <v>-7.690803748755577E-3</v>
      </c>
      <c r="P266" s="1" t="str">
        <f>HYPERLINK(".\sm_car_260612_0028\sm_car_260612_0028_265_Ca202TrN_MaCMP_DrSt_ode23t_1.png","figure")</f>
        <v>figure</v>
      </c>
      <c r="Q266" t="s">
        <v>15</v>
      </c>
      <c r="R266" t="b">
        <f>B266='2024b_260221_0030'!B266</f>
        <v>1</v>
      </c>
      <c r="T266">
        <f>(L266-'2024b_260221_0030'!L266)</f>
        <v>-17</v>
      </c>
      <c r="U266" s="12">
        <f>(L266-'2024b_260221_0030'!L266)/'2024b_260221_0030'!L266</f>
        <v>-2.7490297542043986E-3</v>
      </c>
      <c r="V266" s="4">
        <f>(M266-'2024b_260221_0030'!M266)</f>
        <v>1.6121705999999989</v>
      </c>
      <c r="W266" s="12">
        <f>(M266-'2024b_260221_0030'!M266)/'2024b_260221_0030'!M266</f>
        <v>9.1851517132771038E-2</v>
      </c>
    </row>
    <row r="267" spans="1:23" x14ac:dyDescent="0.25">
      <c r="A267">
        <v>266</v>
      </c>
      <c r="B267">
        <v>202</v>
      </c>
      <c r="C267" t="s">
        <v>45</v>
      </c>
      <c r="D267" t="s">
        <v>35</v>
      </c>
      <c r="E267" t="s">
        <v>107</v>
      </c>
      <c r="F267" t="s">
        <v>19</v>
      </c>
      <c r="G267" t="s">
        <v>188</v>
      </c>
      <c r="H267" t="s">
        <v>21</v>
      </c>
      <c r="I267" t="s">
        <v>82</v>
      </c>
      <c r="J267" t="s">
        <v>148</v>
      </c>
      <c r="K267" t="s">
        <v>23</v>
      </c>
      <c r="L267">
        <v>20058</v>
      </c>
      <c r="M267" s="4">
        <v>65.143201399999995</v>
      </c>
      <c r="N267" s="4">
        <v>-5.9980309842757169</v>
      </c>
      <c r="O267" s="4">
        <v>-3.0431519449306919E-2</v>
      </c>
      <c r="P267" s="1" t="str">
        <f>HYPERLINK(".\sm_car_260612_0028\sm_car_260612_0028_266_Ca202TrN_MaCKY_DrSt_ode23t_1.png","figure")</f>
        <v>figure</v>
      </c>
      <c r="Q267" t="s">
        <v>15</v>
      </c>
      <c r="R267" t="b">
        <f>B267='2024b_260221_0030'!B267</f>
        <v>1</v>
      </c>
      <c r="T267">
        <f>(L267-'2024b_260221_0030'!L267)</f>
        <v>43</v>
      </c>
      <c r="U267" s="12">
        <f>(L267-'2024b_260221_0030'!L267)/'2024b_260221_0030'!L267</f>
        <v>2.1483887084686485E-3</v>
      </c>
      <c r="V267" s="4">
        <f>(M267-'2024b_260221_0030'!M267)</f>
        <v>5.7496894999999952</v>
      </c>
      <c r="W267" s="12">
        <f>(M267-'2024b_260221_0030'!M267)/'2024b_260221_0030'!M267</f>
        <v>9.6806693459727797E-2</v>
      </c>
    </row>
    <row r="268" spans="1:23" x14ac:dyDescent="0.25">
      <c r="A268">
        <v>267</v>
      </c>
      <c r="B268">
        <v>202</v>
      </c>
      <c r="C268" t="s">
        <v>45</v>
      </c>
      <c r="D268" t="s">
        <v>35</v>
      </c>
      <c r="E268" t="s">
        <v>107</v>
      </c>
      <c r="F268" t="s">
        <v>19</v>
      </c>
      <c r="G268" t="s">
        <v>188</v>
      </c>
      <c r="H268" t="s">
        <v>21</v>
      </c>
      <c r="I268" t="s">
        <v>75</v>
      </c>
      <c r="J268" t="s">
        <v>148</v>
      </c>
      <c r="K268" t="s">
        <v>23</v>
      </c>
      <c r="L268">
        <v>405</v>
      </c>
      <c r="M268" s="4">
        <v>2.2774622999999998</v>
      </c>
      <c r="N268" s="4">
        <v>381.50656860592665</v>
      </c>
      <c r="O268" s="4">
        <v>0.33615741550794415</v>
      </c>
      <c r="P268" s="1" t="str">
        <f>HYPERLINK(".\sm_car_260612_0028\sm_car_260612_0028_267_Ca202TrN_MaCPL_DrSt_ode23t_1.png","figure")</f>
        <v>figure</v>
      </c>
      <c r="Q268" t="s">
        <v>15</v>
      </c>
      <c r="R268" t="b">
        <f>B268='2024b_260221_0030'!B268</f>
        <v>1</v>
      </c>
      <c r="T268">
        <f>(L268-'2024b_260221_0030'!L268)</f>
        <v>0</v>
      </c>
      <c r="U268" s="12">
        <f>(L268-'2024b_260221_0030'!L268)/'2024b_260221_0030'!L268</f>
        <v>0</v>
      </c>
      <c r="V268" s="4">
        <f>(M268-'2024b_260221_0030'!M268)</f>
        <v>0.30186909999999978</v>
      </c>
      <c r="W268" s="12">
        <f>(M268-'2024b_260221_0030'!M268)/'2024b_260221_0030'!M268</f>
        <v>0.15279922000136453</v>
      </c>
    </row>
    <row r="269" spans="1:23" x14ac:dyDescent="0.25">
      <c r="A269">
        <v>268</v>
      </c>
      <c r="B269">
        <v>140</v>
      </c>
      <c r="C269" t="s">
        <v>45</v>
      </c>
      <c r="D269" t="s">
        <v>17</v>
      </c>
      <c r="E269" t="s">
        <v>49</v>
      </c>
      <c r="F269" t="s">
        <v>19</v>
      </c>
      <c r="G269" t="s">
        <v>26</v>
      </c>
      <c r="H269" t="s">
        <v>21</v>
      </c>
      <c r="I269" t="s">
        <v>112</v>
      </c>
      <c r="J269" t="s">
        <v>148</v>
      </c>
      <c r="K269" t="s">
        <v>23</v>
      </c>
      <c r="L269">
        <v>2597</v>
      </c>
      <c r="M269" s="4">
        <v>40.9565597</v>
      </c>
      <c r="N269" s="4">
        <v>189.15495290202026</v>
      </c>
      <c r="O269" s="4">
        <v>7.0242184733505645E-4</v>
      </c>
      <c r="P269" s="1" t="str">
        <f>HYPERLINK(".\sm_car_260612_0028\sm_car_260612_0028_268_Ca140TrN_MaCRR_DrSt_ode23t_1.png","figure")</f>
        <v>figure</v>
      </c>
      <c r="Q269" t="s">
        <v>15</v>
      </c>
      <c r="R269" t="b">
        <f>B269='2024b_260221_0030'!B269</f>
        <v>1</v>
      </c>
      <c r="T269">
        <f>(L269-'2024b_260221_0030'!L269)</f>
        <v>-20</v>
      </c>
      <c r="U269" s="12">
        <f>(L269-'2024b_260221_0030'!L269)/'2024b_260221_0030'!L269</f>
        <v>-7.6423385555980132E-3</v>
      </c>
      <c r="V269" s="4">
        <f>(M269-'2024b_260221_0030'!M269)</f>
        <v>1.6989447999999996</v>
      </c>
      <c r="W269" s="12">
        <f>(M269-'2024b_260221_0030'!M269)/'2024b_260221_0030'!M269</f>
        <v>4.3276821689949369E-2</v>
      </c>
    </row>
    <row r="270" spans="1:23" x14ac:dyDescent="0.25">
      <c r="A270">
        <v>269</v>
      </c>
      <c r="B270">
        <v>189</v>
      </c>
      <c r="C270" t="s">
        <v>45</v>
      </c>
      <c r="D270" t="s">
        <v>17</v>
      </c>
      <c r="E270" t="s">
        <v>107</v>
      </c>
      <c r="F270" t="s">
        <v>19</v>
      </c>
      <c r="G270" t="s">
        <v>26</v>
      </c>
      <c r="H270" t="s">
        <v>21</v>
      </c>
      <c r="I270" t="s">
        <v>112</v>
      </c>
      <c r="J270" t="s">
        <v>148</v>
      </c>
      <c r="K270" t="s">
        <v>23</v>
      </c>
      <c r="L270">
        <v>3150</v>
      </c>
      <c r="M270" s="4">
        <v>38.245055399999998</v>
      </c>
      <c r="N270" s="4">
        <v>189.19178023876037</v>
      </c>
      <c r="O270" s="4">
        <v>7.3806000583280247E-4</v>
      </c>
      <c r="P270" s="1" t="str">
        <f>HYPERLINK(".\sm_car_260612_0028\sm_car_260612_0028_269_Ca189TrN_MaCRR_DrSt_ode23t_1.png","figure")</f>
        <v>figure</v>
      </c>
      <c r="Q270" t="s">
        <v>15</v>
      </c>
      <c r="R270" t="b">
        <f>B270='2024b_260221_0030'!B270</f>
        <v>1</v>
      </c>
      <c r="T270">
        <f>(L270-'2024b_260221_0030'!L270)</f>
        <v>-89</v>
      </c>
      <c r="U270" s="12">
        <f>(L270-'2024b_260221_0030'!L270)/'2024b_260221_0030'!L270</f>
        <v>-2.7477616548317381E-2</v>
      </c>
      <c r="V270" s="4">
        <f>(M270-'2024b_260221_0030'!M270)</f>
        <v>2.6760967999999963</v>
      </c>
      <c r="W270" s="12">
        <f>(M270-'2024b_260221_0030'!M270)/'2024b_260221_0030'!M270</f>
        <v>7.5236861165791799E-2</v>
      </c>
    </row>
    <row r="271" spans="1:23" x14ac:dyDescent="0.25">
      <c r="A271">
        <v>270</v>
      </c>
      <c r="B271">
        <v>189</v>
      </c>
      <c r="C271" t="s">
        <v>45</v>
      </c>
      <c r="D271" t="s">
        <v>17</v>
      </c>
      <c r="E271" t="s">
        <v>107</v>
      </c>
      <c r="F271" t="s">
        <v>19</v>
      </c>
      <c r="G271" t="s">
        <v>26</v>
      </c>
      <c r="H271" t="s">
        <v>21</v>
      </c>
      <c r="I271" t="s">
        <v>199</v>
      </c>
      <c r="J271" t="s">
        <v>148</v>
      </c>
      <c r="K271" t="s">
        <v>23</v>
      </c>
      <c r="L271">
        <v>10210</v>
      </c>
      <c r="M271" s="4">
        <v>109.6945861</v>
      </c>
      <c r="N271" s="4">
        <v>208.8114064356717</v>
      </c>
      <c r="O271" s="4">
        <v>-0.76787624814573441</v>
      </c>
      <c r="P271" s="1" t="str">
        <f>HYPERLINK(".\sm_car_260612_0028\sm_car_260612_0028_270_Ca189TrN_MaGSU_DrSt_ode23t_1.png","figure")</f>
        <v>figure</v>
      </c>
      <c r="Q271" t="s">
        <v>15</v>
      </c>
      <c r="R271" t="b">
        <f>B271='2024b_260221_0030'!B271</f>
        <v>1</v>
      </c>
      <c r="T271">
        <f>(L271-'2024b_260221_0030'!L271)</f>
        <v>26</v>
      </c>
      <c r="U271" s="12">
        <f>(L271-'2024b_260221_0030'!L271)/'2024b_260221_0030'!L271</f>
        <v>2.5530243519245877E-3</v>
      </c>
      <c r="V271" s="4">
        <f>(M271-'2024b_260221_0030'!M271)</f>
        <v>8.5706778999999926</v>
      </c>
      <c r="W271" s="12">
        <f>(M271-'2024b_260221_0030'!M271)/'2024b_260221_0030'!M271</f>
        <v>8.4754219378558315E-2</v>
      </c>
    </row>
    <row r="272" spans="1:23" x14ac:dyDescent="0.25">
      <c r="A272">
        <v>271</v>
      </c>
      <c r="B272">
        <v>173</v>
      </c>
      <c r="C272" t="s">
        <v>45</v>
      </c>
      <c r="D272" t="s">
        <v>35</v>
      </c>
      <c r="E272" t="s">
        <v>49</v>
      </c>
      <c r="F272" t="s">
        <v>19</v>
      </c>
      <c r="G272" t="s">
        <v>90</v>
      </c>
      <c r="H272" t="s">
        <v>21</v>
      </c>
      <c r="I272" t="s">
        <v>91</v>
      </c>
      <c r="J272" t="s">
        <v>148</v>
      </c>
      <c r="K272" t="s">
        <v>92</v>
      </c>
      <c r="L272">
        <v>1487</v>
      </c>
      <c r="M272" s="4">
        <v>68.280778900000001</v>
      </c>
      <c r="N272" s="4">
        <v>51.283748483001482</v>
      </c>
      <c r="O272" s="4">
        <v>8.837049604194935E-3</v>
      </c>
      <c r="P272" s="1" t="str">
        <f>HYPERLINK(".\sm_car_260612_0028\sm_car_260612_0028_271_Ca173TrN_MaDCA_DrSt_daessc_1.png","figure")</f>
        <v>figure</v>
      </c>
      <c r="Q272" t="s">
        <v>15</v>
      </c>
      <c r="R272" t="b">
        <f>B272='2024b_260221_0030'!B272</f>
        <v>1</v>
      </c>
      <c r="T272">
        <f>(L272-'2024b_260221_0030'!L272)</f>
        <v>-70</v>
      </c>
      <c r="U272" s="12">
        <f>(L272-'2024b_260221_0030'!L272)/'2024b_260221_0030'!L272</f>
        <v>-4.4958253050738597E-2</v>
      </c>
      <c r="V272" s="4">
        <f>(M272-'2024b_260221_0030'!M272)</f>
        <v>-10.123178600000003</v>
      </c>
      <c r="W272" s="12">
        <f>(M272-'2024b_260221_0030'!M272)/'2024b_260221_0030'!M272</f>
        <v>-0.12911565847935677</v>
      </c>
    </row>
    <row r="273" spans="1:23" x14ac:dyDescent="0.25">
      <c r="A273">
        <v>272</v>
      </c>
      <c r="B273">
        <v>173</v>
      </c>
      <c r="C273" t="s">
        <v>45</v>
      </c>
      <c r="D273" t="s">
        <v>35</v>
      </c>
      <c r="E273" t="s">
        <v>49</v>
      </c>
      <c r="F273" t="s">
        <v>19</v>
      </c>
      <c r="G273" t="s">
        <v>90</v>
      </c>
      <c r="H273" t="s">
        <v>21</v>
      </c>
      <c r="I273" t="s">
        <v>93</v>
      </c>
      <c r="J273" t="s">
        <v>148</v>
      </c>
      <c r="K273" t="s">
        <v>92</v>
      </c>
      <c r="L273">
        <v>3991</v>
      </c>
      <c r="M273" s="4">
        <v>115.7221512</v>
      </c>
      <c r="N273" s="4">
        <v>980.48407328597455</v>
      </c>
      <c r="O273" s="4">
        <v>0.73298398168264434</v>
      </c>
      <c r="P273" s="1" t="str">
        <f>HYPERLINK(".\sm_car_260612_0028\sm_car_260612_0028_272_Ca173TrN_MaDC1_DrSt_daessc_1.png","figure")</f>
        <v>figure</v>
      </c>
      <c r="Q273" t="s">
        <v>15</v>
      </c>
      <c r="R273" t="b">
        <f>B273='2024b_260221_0030'!B273</f>
        <v>1</v>
      </c>
      <c r="T273">
        <f>(L273-'2024b_260221_0030'!L273)</f>
        <v>-77</v>
      </c>
      <c r="U273" s="12">
        <f>(L273-'2024b_260221_0030'!L273)/'2024b_260221_0030'!L273</f>
        <v>-1.8928220255653883E-2</v>
      </c>
      <c r="V273" s="4">
        <f>(M273-'2024b_260221_0030'!M273)</f>
        <v>-0.32714250000000789</v>
      </c>
      <c r="W273" s="12">
        <f>(M273-'2024b_260221_0030'!M273)/'2024b_260221_0030'!M273</f>
        <v>-2.8189960452987047E-3</v>
      </c>
    </row>
    <row r="274" spans="1:23" x14ac:dyDescent="0.25">
      <c r="A274">
        <v>273</v>
      </c>
      <c r="B274">
        <v>165</v>
      </c>
      <c r="C274" t="s">
        <v>45</v>
      </c>
      <c r="D274" t="s">
        <v>35</v>
      </c>
      <c r="E274" t="s">
        <v>49</v>
      </c>
      <c r="F274" t="s">
        <v>19</v>
      </c>
      <c r="G274" t="s">
        <v>26</v>
      </c>
      <c r="H274" t="s">
        <v>21</v>
      </c>
      <c r="I274" t="s">
        <v>91</v>
      </c>
      <c r="J274" t="s">
        <v>148</v>
      </c>
      <c r="K274" t="s">
        <v>23</v>
      </c>
      <c r="L274">
        <v>287</v>
      </c>
      <c r="M274" s="4">
        <v>4.4430037000000002</v>
      </c>
      <c r="N274" s="4">
        <v>53.501075408429408</v>
      </c>
      <c r="O274" s="4">
        <v>9.9074524637766132E-3</v>
      </c>
      <c r="P274" s="1" t="str">
        <f>HYPERLINK(".\sm_car_260612_0028\sm_car_260612_0028_273_Ca165TrN_MaDCA_DrSt_ode23t_1.png","figure")</f>
        <v>figure</v>
      </c>
      <c r="Q274" t="s">
        <v>15</v>
      </c>
      <c r="R274" t="b">
        <f>B274='2024b_260221_0030'!B274</f>
        <v>1</v>
      </c>
      <c r="T274">
        <f>(L274-'2024b_260221_0030'!L274)</f>
        <v>0</v>
      </c>
      <c r="U274" s="12">
        <f>(L274-'2024b_260221_0030'!L274)/'2024b_260221_0030'!L274</f>
        <v>0</v>
      </c>
      <c r="V274" s="4">
        <f>(M274-'2024b_260221_0030'!M274)</f>
        <v>1.4975825</v>
      </c>
      <c r="W274" s="12">
        <f>(M274-'2024b_260221_0030'!M274)/'2024b_260221_0030'!M274</f>
        <v>0.50844425917760083</v>
      </c>
    </row>
    <row r="275" spans="1:23" x14ac:dyDescent="0.25">
      <c r="A275">
        <v>274</v>
      </c>
      <c r="B275">
        <v>165</v>
      </c>
      <c r="C275" t="s">
        <v>45</v>
      </c>
      <c r="D275" t="s">
        <v>35</v>
      </c>
      <c r="E275" t="s">
        <v>49</v>
      </c>
      <c r="F275" t="s">
        <v>19</v>
      </c>
      <c r="G275" t="s">
        <v>26</v>
      </c>
      <c r="H275" t="s">
        <v>21</v>
      </c>
      <c r="I275" t="s">
        <v>93</v>
      </c>
      <c r="J275" t="s">
        <v>148</v>
      </c>
      <c r="K275" t="s">
        <v>23</v>
      </c>
      <c r="L275">
        <v>1155</v>
      </c>
      <c r="M275" s="4">
        <v>9.9138397999999999</v>
      </c>
      <c r="N275" s="4">
        <v>992.67891038613811</v>
      </c>
      <c r="O275" s="4">
        <v>0.78323709219535942</v>
      </c>
      <c r="P275" s="1" t="str">
        <f>HYPERLINK(".\sm_car_260612_0028\sm_car_260612_0028_274_Ca165TrN_MaDC1_DrSt_ode23t_1.png","figure")</f>
        <v>figure</v>
      </c>
      <c r="Q275" t="s">
        <v>15</v>
      </c>
      <c r="R275" t="b">
        <f>B275='2024b_260221_0030'!B275</f>
        <v>1</v>
      </c>
      <c r="T275">
        <f>(L275-'2024b_260221_0030'!L275)</f>
        <v>0</v>
      </c>
      <c r="U275" s="12">
        <f>(L275-'2024b_260221_0030'!L275)/'2024b_260221_0030'!L275</f>
        <v>0</v>
      </c>
      <c r="V275" s="4">
        <f>(M275-'2024b_260221_0030'!M275)</f>
        <v>2.3768225000000003</v>
      </c>
      <c r="W275" s="12">
        <f>(M275-'2024b_260221_0030'!M275)/'2024b_260221_0030'!M275</f>
        <v>0.31535319681434199</v>
      </c>
    </row>
    <row r="276" spans="1:23" x14ac:dyDescent="0.25">
      <c r="A276">
        <v>275</v>
      </c>
      <c r="B276">
        <v>196</v>
      </c>
      <c r="C276" t="s">
        <v>45</v>
      </c>
      <c r="D276" t="s">
        <v>35</v>
      </c>
      <c r="E276" t="s">
        <v>107</v>
      </c>
      <c r="F276" t="s">
        <v>19</v>
      </c>
      <c r="G276" t="s">
        <v>90</v>
      </c>
      <c r="H276" t="s">
        <v>21</v>
      </c>
      <c r="I276" t="s">
        <v>93</v>
      </c>
      <c r="J276" t="s">
        <v>148</v>
      </c>
      <c r="K276" t="s">
        <v>92</v>
      </c>
      <c r="L276">
        <v>4001</v>
      </c>
      <c r="M276" s="4">
        <v>68.521530400000003</v>
      </c>
      <c r="N276" s="4">
        <v>980.48610480915397</v>
      </c>
      <c r="O276" s="4">
        <v>0.73247285182036448</v>
      </c>
      <c r="P276" s="1" t="str">
        <f>HYPERLINK(".\sm_car_260612_0028\sm_car_260612_0028_275_Ca196TrN_MaDC1_DrSt_daessc_1.png","figure")</f>
        <v>figure</v>
      </c>
      <c r="Q276" t="s">
        <v>15</v>
      </c>
      <c r="R276" t="b">
        <f>B276='2024b_260221_0030'!B276</f>
        <v>1</v>
      </c>
      <c r="T276">
        <f>(L276-'2024b_260221_0030'!L276)</f>
        <v>-103208</v>
      </c>
      <c r="U276" s="12">
        <f>(L276-'2024b_260221_0030'!L276)/'2024b_260221_0030'!L276</f>
        <v>-0.96268037198369538</v>
      </c>
      <c r="V276" s="4">
        <f>(M276-'2024b_260221_0030'!M276)</f>
        <v>-8582.2433215000001</v>
      </c>
      <c r="W276" s="12">
        <f>(M276-'2024b_260221_0030'!M276)/'2024b_260221_0030'!M276</f>
        <v>-0.99207913617199417</v>
      </c>
    </row>
    <row r="277" spans="1:23" x14ac:dyDescent="0.25">
      <c r="A277">
        <v>276</v>
      </c>
      <c r="B277">
        <v>179</v>
      </c>
      <c r="C277" t="s">
        <v>45</v>
      </c>
      <c r="D277" t="s">
        <v>57</v>
      </c>
      <c r="E277" t="s">
        <v>18</v>
      </c>
      <c r="F277" t="s">
        <v>19</v>
      </c>
      <c r="G277" t="s">
        <v>26</v>
      </c>
      <c r="H277" t="s">
        <v>21</v>
      </c>
      <c r="I277" t="s">
        <v>22</v>
      </c>
      <c r="J277" t="s">
        <v>148</v>
      </c>
      <c r="K277" t="s">
        <v>23</v>
      </c>
      <c r="L277">
        <v>436</v>
      </c>
      <c r="M277" s="4">
        <v>5.7503137999999998</v>
      </c>
      <c r="N277" s="4">
        <v>147.77372875873283</v>
      </c>
      <c r="O277" s="4">
        <v>9.5733738466374466E-2</v>
      </c>
      <c r="P277" s="1" t="str">
        <f>HYPERLINK(".\sm_car_260612_0028\sm_car_260612_0028_276_Ca179TrN_MaWOT_DrSt_ode23t_1.png","figure")</f>
        <v>figure</v>
      </c>
      <c r="Q277" t="s">
        <v>15</v>
      </c>
      <c r="R277" t="b">
        <f>B277='2024b_260221_0030'!B277</f>
        <v>1</v>
      </c>
      <c r="T277">
        <f>(L277-'2024b_260221_0030'!L277)</f>
        <v>0</v>
      </c>
      <c r="U277" s="12">
        <f>(L277-'2024b_260221_0030'!L277)/'2024b_260221_0030'!L277</f>
        <v>0</v>
      </c>
      <c r="V277" s="4">
        <f>(M277-'2024b_260221_0030'!M277)</f>
        <v>0.88652219999999993</v>
      </c>
      <c r="W277" s="12">
        <f>(M277-'2024b_260221_0030'!M277)/'2024b_260221_0030'!M277</f>
        <v>0.18226977488097967</v>
      </c>
    </row>
    <row r="278" spans="1:23" x14ac:dyDescent="0.25">
      <c r="A278">
        <v>277</v>
      </c>
      <c r="B278">
        <v>180</v>
      </c>
      <c r="C278" t="s">
        <v>45</v>
      </c>
      <c r="D278" t="s">
        <v>57</v>
      </c>
      <c r="E278" t="s">
        <v>49</v>
      </c>
      <c r="F278" t="s">
        <v>19</v>
      </c>
      <c r="G278" t="s">
        <v>26</v>
      </c>
      <c r="H278" t="s">
        <v>21</v>
      </c>
      <c r="I278" t="s">
        <v>22</v>
      </c>
      <c r="J278" t="s">
        <v>148</v>
      </c>
      <c r="K278" t="s">
        <v>23</v>
      </c>
      <c r="L278">
        <v>471</v>
      </c>
      <c r="M278" s="4">
        <v>8.5445651999999992</v>
      </c>
      <c r="N278" s="4">
        <v>147.79276149562878</v>
      </c>
      <c r="O278" s="4">
        <v>9.5493524037321628E-2</v>
      </c>
      <c r="P278" s="1" t="str">
        <f>HYPERLINK(".\sm_car_260612_0028\sm_car_260612_0028_277_Ca180TrN_MaWOT_DrSt_ode23t_1.png","figure")</f>
        <v>figure</v>
      </c>
      <c r="Q278" t="s">
        <v>15</v>
      </c>
      <c r="R278" t="b">
        <f>B278='2024b_260221_0030'!B278</f>
        <v>1</v>
      </c>
      <c r="T278">
        <f>(L278-'2024b_260221_0030'!L278)</f>
        <v>0</v>
      </c>
      <c r="U278" s="12">
        <f>(L278-'2024b_260221_0030'!L278)/'2024b_260221_0030'!L278</f>
        <v>0</v>
      </c>
      <c r="V278" s="4">
        <f>(M278-'2024b_260221_0030'!M278)</f>
        <v>2.0445291999999995</v>
      </c>
      <c r="W278" s="12">
        <f>(M278-'2024b_260221_0030'!M278)/'2024b_260221_0030'!M278</f>
        <v>0.31454121177175015</v>
      </c>
    </row>
    <row r="279" spans="1:23" x14ac:dyDescent="0.25">
      <c r="A279">
        <v>278</v>
      </c>
      <c r="B279">
        <v>197</v>
      </c>
      <c r="C279" t="s">
        <v>45</v>
      </c>
      <c r="D279" t="s">
        <v>57</v>
      </c>
      <c r="E279" t="s">
        <v>107</v>
      </c>
      <c r="F279" t="s">
        <v>19</v>
      </c>
      <c r="G279" t="s">
        <v>26</v>
      </c>
      <c r="H279" t="s">
        <v>21</v>
      </c>
      <c r="I279" t="s">
        <v>22</v>
      </c>
      <c r="J279" t="s">
        <v>148</v>
      </c>
      <c r="K279" t="s">
        <v>23</v>
      </c>
      <c r="L279">
        <v>406</v>
      </c>
      <c r="M279" s="4">
        <v>2.5697218999999998</v>
      </c>
      <c r="N279" s="4">
        <v>147.77983677776265</v>
      </c>
      <c r="O279" s="4">
        <v>9.5486030092532204E-2</v>
      </c>
      <c r="P279" s="1" t="str">
        <f>HYPERLINK(".\sm_car_260612_0028\sm_car_260612_0028_278_Ca197TrN_MaWOT_DrSt_ode23t_1.png","figure")</f>
        <v>figure</v>
      </c>
      <c r="Q279" t="s">
        <v>15</v>
      </c>
      <c r="R279" t="b">
        <f>B279='2024b_260221_0030'!B279</f>
        <v>1</v>
      </c>
      <c r="T279">
        <f>(L279-'2024b_260221_0030'!L279)</f>
        <v>0</v>
      </c>
      <c r="U279" s="12">
        <f>(L279-'2024b_260221_0030'!L279)/'2024b_260221_0030'!L279</f>
        <v>0</v>
      </c>
      <c r="V279" s="4">
        <f>(M279-'2024b_260221_0030'!M279)</f>
        <v>0.78191939999999982</v>
      </c>
      <c r="W279" s="12">
        <f>(M279-'2024b_260221_0030'!M279)/'2024b_260221_0030'!M279</f>
        <v>0.43736341122691114</v>
      </c>
    </row>
    <row r="280" spans="1:23" x14ac:dyDescent="0.25">
      <c r="A280">
        <v>279</v>
      </c>
      <c r="B280">
        <v>182</v>
      </c>
      <c r="C280" t="s">
        <v>45</v>
      </c>
      <c r="D280" t="s">
        <v>17</v>
      </c>
      <c r="E280" t="s">
        <v>49</v>
      </c>
      <c r="F280" t="s">
        <v>19</v>
      </c>
      <c r="G280" t="s">
        <v>26</v>
      </c>
      <c r="H280" t="s">
        <v>21</v>
      </c>
      <c r="I280" t="s">
        <v>64</v>
      </c>
      <c r="J280" t="s">
        <v>148</v>
      </c>
      <c r="K280" t="s">
        <v>23</v>
      </c>
      <c r="L280">
        <v>425</v>
      </c>
      <c r="M280" s="4">
        <v>16.006716099999998</v>
      </c>
      <c r="N280" s="4">
        <v>61.847165800025394</v>
      </c>
      <c r="O280" s="4">
        <v>-24.161240776915008</v>
      </c>
      <c r="P280" s="1" t="str">
        <f>HYPERLINK(".\sm_car_260612_0028\sm_car_260612_0028_279_Ca182TrN_MaTUR_DrSt_ode23t_1.png","figure")</f>
        <v>figure</v>
      </c>
      <c r="Q280" t="s">
        <v>15</v>
      </c>
      <c r="R280" t="b">
        <f>B280='2024b_260221_0030'!B280</f>
        <v>1</v>
      </c>
      <c r="T280">
        <f>(L280-'2024b_260221_0030'!L280)</f>
        <v>-1</v>
      </c>
      <c r="U280" s="12">
        <f>(L280-'2024b_260221_0030'!L280)/'2024b_260221_0030'!L280</f>
        <v>-2.3474178403755869E-3</v>
      </c>
      <c r="V280" s="4">
        <f>(M280-'2024b_260221_0030'!M280)</f>
        <v>4.1548882999999979</v>
      </c>
      <c r="W280" s="12">
        <f>(M280-'2024b_260221_0030'!M280)/'2024b_260221_0030'!M280</f>
        <v>0.35056941174929979</v>
      </c>
    </row>
    <row r="281" spans="1:23" x14ac:dyDescent="0.25">
      <c r="A281">
        <v>280</v>
      </c>
      <c r="B281">
        <v>203</v>
      </c>
      <c r="C281" t="s">
        <v>45</v>
      </c>
      <c r="D281" t="s">
        <v>17</v>
      </c>
      <c r="E281" t="s">
        <v>107</v>
      </c>
      <c r="F281" t="s">
        <v>19</v>
      </c>
      <c r="G281" t="s">
        <v>26</v>
      </c>
      <c r="H281" t="s">
        <v>21</v>
      </c>
      <c r="I281" t="s">
        <v>64</v>
      </c>
      <c r="J281" t="s">
        <v>148</v>
      </c>
      <c r="K281" t="s">
        <v>23</v>
      </c>
      <c r="L281">
        <v>376</v>
      </c>
      <c r="M281" s="4">
        <v>5.3019202999999999</v>
      </c>
      <c r="N281" s="4">
        <v>61.844361348623977</v>
      </c>
      <c r="O281" s="4">
        <v>-24.167176080408726</v>
      </c>
      <c r="P281" s="1" t="str">
        <f>HYPERLINK(".\sm_car_260612_0028\sm_car_260612_0028_280_Ca203TrN_MaTUR_DrSt_ode23t_1.png","figure")</f>
        <v>figure</v>
      </c>
      <c r="Q281" t="s">
        <v>15</v>
      </c>
      <c r="R281" t="b">
        <f>B281='2024b_260221_0030'!B281</f>
        <v>1</v>
      </c>
      <c r="T281">
        <f>(L281-'2024b_260221_0030'!L281)</f>
        <v>2</v>
      </c>
      <c r="U281" s="12">
        <f>(L281-'2024b_260221_0030'!L281)/'2024b_260221_0030'!L281</f>
        <v>5.3475935828877002E-3</v>
      </c>
      <c r="V281" s="4">
        <f>(M281-'2024b_260221_0030'!M281)</f>
        <v>1.2162601999999998</v>
      </c>
      <c r="W281" s="12">
        <f>(M281-'2024b_260221_0030'!M281)/'2024b_260221_0030'!M281</f>
        <v>0.29769001097276782</v>
      </c>
    </row>
    <row r="282" spans="1:23" x14ac:dyDescent="0.25">
      <c r="A282">
        <v>281</v>
      </c>
      <c r="B282">
        <v>185</v>
      </c>
      <c r="C282" t="s">
        <v>45</v>
      </c>
      <c r="D282" t="s">
        <v>17</v>
      </c>
      <c r="E282" t="s">
        <v>18</v>
      </c>
      <c r="F282" t="s">
        <v>19</v>
      </c>
      <c r="G282" t="s">
        <v>26</v>
      </c>
      <c r="H282" t="s">
        <v>21</v>
      </c>
      <c r="I282" t="s">
        <v>64</v>
      </c>
      <c r="J282" t="s">
        <v>148</v>
      </c>
      <c r="K282" t="s">
        <v>23</v>
      </c>
      <c r="L282">
        <v>550</v>
      </c>
      <c r="M282" s="4">
        <v>26.797877799999998</v>
      </c>
      <c r="N282" s="4">
        <v>111.93841531761865</v>
      </c>
      <c r="O282" s="4">
        <v>-78.467716254070041</v>
      </c>
      <c r="P282" s="1" t="str">
        <f>HYPERLINK(".\sm_car_260612_0028\sm_car_260612_0028_281_Ca185TrN_MaTUR_DrSt_ode23t_1.png","figure")</f>
        <v>figure</v>
      </c>
      <c r="Q282" t="s">
        <v>15</v>
      </c>
      <c r="R282" t="b">
        <f>B282='2024b_260221_0030'!B282</f>
        <v>1</v>
      </c>
      <c r="T282">
        <f>(L282-'2024b_260221_0030'!L282)</f>
        <v>15</v>
      </c>
      <c r="U282" s="12">
        <f>(L282-'2024b_260221_0030'!L282)/'2024b_260221_0030'!L282</f>
        <v>2.8037383177570093E-2</v>
      </c>
      <c r="V282" s="4">
        <f>(M282-'2024b_260221_0030'!M282)</f>
        <v>4.3282534999999989</v>
      </c>
      <c r="W282" s="12">
        <f>(M282-'2024b_260221_0030'!M282)/'2024b_260221_0030'!M282</f>
        <v>0.19262687449562738</v>
      </c>
    </row>
    <row r="283" spans="1:23" x14ac:dyDescent="0.25">
      <c r="A283">
        <v>282</v>
      </c>
      <c r="B283">
        <v>188</v>
      </c>
      <c r="C283" t="s">
        <v>45</v>
      </c>
      <c r="D283" t="s">
        <v>113</v>
      </c>
      <c r="E283" t="s">
        <v>49</v>
      </c>
      <c r="F283" t="s">
        <v>19</v>
      </c>
      <c r="G283" t="s">
        <v>26</v>
      </c>
      <c r="H283" t="s">
        <v>21</v>
      </c>
      <c r="I283" t="s">
        <v>64</v>
      </c>
      <c r="J283" t="s">
        <v>148</v>
      </c>
      <c r="K283" t="s">
        <v>23</v>
      </c>
      <c r="L283">
        <v>482</v>
      </c>
      <c r="M283" s="4">
        <v>8.5091765000000006</v>
      </c>
      <c r="N283" s="4">
        <v>140.5991488509265</v>
      </c>
      <c r="O283" s="4">
        <v>-71.725481074638807</v>
      </c>
      <c r="P283" s="1" t="str">
        <f>HYPERLINK(".\sm_car_260612_0028\sm_car_260612_0028_282_Ca188TrN_MaTUR_DrSt_ode23t_1.png","figure")</f>
        <v>figure</v>
      </c>
      <c r="Q283" t="s">
        <v>15</v>
      </c>
      <c r="R283" t="b">
        <f>B283='2024b_260221_0030'!B283</f>
        <v>1</v>
      </c>
      <c r="T283">
        <f>(L283-'2024b_260221_0030'!L283)</f>
        <v>0</v>
      </c>
      <c r="U283" s="12">
        <f>(L283-'2024b_260221_0030'!L283)/'2024b_260221_0030'!L283</f>
        <v>0</v>
      </c>
      <c r="V283" s="4">
        <f>(M283-'2024b_260221_0030'!M283)</f>
        <v>2.1758092000000007</v>
      </c>
      <c r="W283" s="12">
        <f>(M283-'2024b_260221_0030'!M283)/'2024b_260221_0030'!M283</f>
        <v>0.34354697855594141</v>
      </c>
    </row>
    <row r="284" spans="1:23" x14ac:dyDescent="0.25">
      <c r="A284">
        <v>283</v>
      </c>
      <c r="B284" t="s">
        <v>94</v>
      </c>
      <c r="C284" t="s">
        <v>95</v>
      </c>
      <c r="D284" t="s">
        <v>35</v>
      </c>
      <c r="E284" t="s">
        <v>18</v>
      </c>
      <c r="F284" t="s">
        <v>19</v>
      </c>
      <c r="G284" t="s">
        <v>96</v>
      </c>
      <c r="H284" t="s">
        <v>21</v>
      </c>
      <c r="I284" t="s">
        <v>22</v>
      </c>
      <c r="J284" t="s">
        <v>148</v>
      </c>
      <c r="K284" t="s">
        <v>23</v>
      </c>
      <c r="L284">
        <v>441</v>
      </c>
      <c r="M284" s="4">
        <v>17.8485801</v>
      </c>
      <c r="N284" s="4">
        <v>79.219217868064121</v>
      </c>
      <c r="O284" s="4">
        <v>-0.333660677062386</v>
      </c>
      <c r="P284" s="1" t="str">
        <f>HYPERLINK(".\sm_car_260612_0028\sm_car_Axle3_260612_0028_283_CaAxle3_000TrN_MaWOT_DrSt_ode23t_1.png","figure")</f>
        <v>figure</v>
      </c>
      <c r="Q284" t="s">
        <v>15</v>
      </c>
      <c r="R284" t="b">
        <f>B284='2024b_260221_0030'!B284</f>
        <v>1</v>
      </c>
      <c r="T284">
        <f>(L284-'2024b_260221_0030'!L284)</f>
        <v>2</v>
      </c>
      <c r="U284" s="12">
        <f>(L284-'2024b_260221_0030'!L284)/'2024b_260221_0030'!L284</f>
        <v>4.5558086560364463E-3</v>
      </c>
      <c r="V284" s="4">
        <f>(M284-'2024b_260221_0030'!M284)</f>
        <v>5.4992770999999987</v>
      </c>
      <c r="W284" s="12">
        <f>(M284-'2024b_260221_0030'!M284)/'2024b_260221_0030'!M284</f>
        <v>0.44531072725318976</v>
      </c>
    </row>
    <row r="285" spans="1:23" x14ac:dyDescent="0.25">
      <c r="A285">
        <v>284</v>
      </c>
      <c r="B285" t="s">
        <v>99</v>
      </c>
      <c r="C285" t="s">
        <v>100</v>
      </c>
      <c r="D285" t="s">
        <v>35</v>
      </c>
      <c r="E285" t="s">
        <v>18</v>
      </c>
      <c r="F285" t="s">
        <v>19</v>
      </c>
      <c r="G285" t="s">
        <v>96</v>
      </c>
      <c r="H285" t="s">
        <v>21</v>
      </c>
      <c r="I285" t="s">
        <v>22</v>
      </c>
      <c r="J285" t="s">
        <v>148</v>
      </c>
      <c r="K285" t="s">
        <v>23</v>
      </c>
      <c r="L285">
        <v>540</v>
      </c>
      <c r="M285" s="4">
        <v>23.343975199999999</v>
      </c>
      <c r="N285" s="4">
        <v>61.777355343105157</v>
      </c>
      <c r="O285" s="4">
        <v>-7.8866104190491462E-2</v>
      </c>
      <c r="P285" s="1" t="str">
        <f>HYPERLINK(".\sm_car_260612_0028\sm_car_Axle3_260612_0028_284_CaAxle3_008TrN_MaWOT_DrSt_ode23t_1.png","figure")</f>
        <v>figure</v>
      </c>
      <c r="Q285" t="s">
        <v>15</v>
      </c>
      <c r="R285" t="b">
        <f>B285='2024b_260221_0030'!B285</f>
        <v>1</v>
      </c>
      <c r="T285">
        <f>(L285-'2024b_260221_0030'!L285)</f>
        <v>0</v>
      </c>
      <c r="U285" s="12">
        <f>(L285-'2024b_260221_0030'!L285)/'2024b_260221_0030'!L285</f>
        <v>0</v>
      </c>
      <c r="V285" s="4">
        <f>(M285-'2024b_260221_0030'!M285)</f>
        <v>7.0982646999999979</v>
      </c>
      <c r="W285" s="12">
        <f>(M285-'2024b_260221_0030'!M285)/'2024b_260221_0030'!M285</f>
        <v>0.43693162573591332</v>
      </c>
    </row>
    <row r="286" spans="1:23" x14ac:dyDescent="0.25">
      <c r="A286">
        <v>285</v>
      </c>
      <c r="B286" t="s">
        <v>97</v>
      </c>
      <c r="C286" t="s">
        <v>95</v>
      </c>
      <c r="D286" t="s">
        <v>35</v>
      </c>
      <c r="E286" t="s">
        <v>49</v>
      </c>
      <c r="F286" t="s">
        <v>19</v>
      </c>
      <c r="G286" t="s">
        <v>98</v>
      </c>
      <c r="H286" t="s">
        <v>21</v>
      </c>
      <c r="I286" t="s">
        <v>22</v>
      </c>
      <c r="J286" t="s">
        <v>148</v>
      </c>
      <c r="K286" t="s">
        <v>23</v>
      </c>
      <c r="L286">
        <v>425</v>
      </c>
      <c r="M286" s="4">
        <v>18.654055100000001</v>
      </c>
      <c r="N286" s="4">
        <v>79.269382440402595</v>
      </c>
      <c r="O286" s="4">
        <v>-0.31328649847774703</v>
      </c>
      <c r="P286" s="1" t="str">
        <f>HYPERLINK(".\sm_car_260612_0028\sm_car_Axle3_260612_0028_285_CaAxle3_003TrN_MaWOT_DrSt_ode23t_1.png","figure")</f>
        <v>figure</v>
      </c>
      <c r="Q286" t="s">
        <v>15</v>
      </c>
      <c r="R286" t="b">
        <f>B286='2024b_260221_0030'!B286</f>
        <v>1</v>
      </c>
      <c r="T286">
        <f>(L286-'2024b_260221_0030'!L286)</f>
        <v>0</v>
      </c>
      <c r="U286" s="12">
        <f>(L286-'2024b_260221_0030'!L286)/'2024b_260221_0030'!L286</f>
        <v>0</v>
      </c>
      <c r="V286" s="4">
        <f>(M286-'2024b_260221_0030'!M286)</f>
        <v>1.8770477999999997</v>
      </c>
      <c r="W286" s="12">
        <f>(M286-'2024b_260221_0030'!M286)/'2024b_260221_0030'!M286</f>
        <v>0.11188215910235669</v>
      </c>
    </row>
    <row r="287" spans="1:23" x14ac:dyDescent="0.25">
      <c r="A287">
        <v>286</v>
      </c>
      <c r="B287" t="s">
        <v>114</v>
      </c>
      <c r="C287" t="s">
        <v>95</v>
      </c>
      <c r="D287" t="s">
        <v>35</v>
      </c>
      <c r="E287" t="s">
        <v>107</v>
      </c>
      <c r="F287" t="s">
        <v>19</v>
      </c>
      <c r="G287" t="s">
        <v>98</v>
      </c>
      <c r="H287" t="s">
        <v>21</v>
      </c>
      <c r="I287" t="s">
        <v>22</v>
      </c>
      <c r="J287" t="s">
        <v>148</v>
      </c>
      <c r="K287" t="s">
        <v>23</v>
      </c>
      <c r="L287">
        <v>424</v>
      </c>
      <c r="M287" s="4">
        <v>2.5986734999999999</v>
      </c>
      <c r="N287" s="4">
        <v>80.145692378390578</v>
      </c>
      <c r="O287" s="4">
        <v>-0.31945733972396612</v>
      </c>
      <c r="P287" s="1" t="str">
        <f>HYPERLINK(".\sm_car_260612_0028\sm_car_Axle3_260612_0028_286_CaAxle3_017TrN_MaWOT_DrSt_ode23t_1.png","figure")</f>
        <v>figure</v>
      </c>
      <c r="Q287" t="s">
        <v>15</v>
      </c>
      <c r="R287" t="b">
        <f>B287='2024b_260221_0030'!B287</f>
        <v>1</v>
      </c>
      <c r="T287">
        <f>(L287-'2024b_260221_0030'!L287)</f>
        <v>0</v>
      </c>
      <c r="U287" s="12">
        <f>(L287-'2024b_260221_0030'!L287)/'2024b_260221_0030'!L287</f>
        <v>0</v>
      </c>
      <c r="V287" s="4">
        <f>(M287-'2024b_260221_0030'!M287)</f>
        <v>0.45850940000000007</v>
      </c>
      <c r="W287" s="12">
        <f>(M287-'2024b_260221_0030'!M287)/'2024b_260221_0030'!M287</f>
        <v>0.21424030054517787</v>
      </c>
    </row>
    <row r="288" spans="1:23" x14ac:dyDescent="0.25">
      <c r="A288">
        <v>287</v>
      </c>
      <c r="B288" t="s">
        <v>101</v>
      </c>
      <c r="C288" t="s">
        <v>100</v>
      </c>
      <c r="D288" t="s">
        <v>35</v>
      </c>
      <c r="E288" t="s">
        <v>49</v>
      </c>
      <c r="F288" t="s">
        <v>19</v>
      </c>
      <c r="G288" t="s">
        <v>96</v>
      </c>
      <c r="H288" t="s">
        <v>102</v>
      </c>
      <c r="I288" t="s">
        <v>22</v>
      </c>
      <c r="J288" t="s">
        <v>148</v>
      </c>
      <c r="K288" t="s">
        <v>23</v>
      </c>
      <c r="L288">
        <v>392</v>
      </c>
      <c r="M288" s="4">
        <v>45.638110099999999</v>
      </c>
      <c r="N288" s="4">
        <v>44.218963162847174</v>
      </c>
      <c r="O288" s="4">
        <v>2.2700681668862979E-2</v>
      </c>
      <c r="P288" s="1" t="str">
        <f>HYPERLINK(".\sm_car_260612_0028\sm_car_Axle3_260612_0028_287_CaAxle3_010TrK_MaWOT_DrSt_ode23t_1.png","figure")</f>
        <v>figure</v>
      </c>
      <c r="Q288" t="s">
        <v>15</v>
      </c>
      <c r="R288" t="b">
        <f>B288='2024b_260221_0030'!B288</f>
        <v>1</v>
      </c>
      <c r="T288">
        <f>(L288-'2024b_260221_0030'!L288)</f>
        <v>0</v>
      </c>
      <c r="U288" s="12">
        <f>(L288-'2024b_260221_0030'!L288)/'2024b_260221_0030'!L288</f>
        <v>0</v>
      </c>
      <c r="V288" s="4">
        <f>(M288-'2024b_260221_0030'!M288)</f>
        <v>8.7394774999999996</v>
      </c>
      <c r="W288" s="12">
        <f>(M288-'2024b_260221_0030'!M288)/'2024b_260221_0030'!M288</f>
        <v>0.23685098563787971</v>
      </c>
    </row>
    <row r="289" spans="1:23" x14ac:dyDescent="0.25">
      <c r="A289">
        <v>288</v>
      </c>
      <c r="B289" t="s">
        <v>101</v>
      </c>
      <c r="C289" t="s">
        <v>100</v>
      </c>
      <c r="D289" t="s">
        <v>35</v>
      </c>
      <c r="E289" t="s">
        <v>49</v>
      </c>
      <c r="F289" t="s">
        <v>19</v>
      </c>
      <c r="G289" t="s">
        <v>96</v>
      </c>
      <c r="H289" t="s">
        <v>102</v>
      </c>
      <c r="I289" t="s">
        <v>22</v>
      </c>
      <c r="J289" t="s">
        <v>148</v>
      </c>
      <c r="K289" t="s">
        <v>23</v>
      </c>
      <c r="L289">
        <v>405</v>
      </c>
      <c r="M289" s="4">
        <v>42.693048099999999</v>
      </c>
      <c r="N289" s="4">
        <v>44.315129398271779</v>
      </c>
      <c r="O289" s="4">
        <v>2.2834685938549718E-2</v>
      </c>
      <c r="P289" s="1" t="str">
        <f>HYPERLINK(".\sm_car_260612_0028\sm_car_Axle3_260612_0028_288_CaAxle3_010TrK_MaWOT_DrSt_ode23t_1.png","figure")</f>
        <v>figure</v>
      </c>
      <c r="Q289" t="s">
        <v>15</v>
      </c>
      <c r="R289" t="b">
        <f>B289='2024b_260221_0030'!B289</f>
        <v>1</v>
      </c>
      <c r="T289">
        <f>(L289-'2024b_260221_0030'!L289)</f>
        <v>4</v>
      </c>
      <c r="U289" s="12">
        <f>(L289-'2024b_260221_0030'!L289)/'2024b_260221_0030'!L289</f>
        <v>9.9750623441396506E-3</v>
      </c>
      <c r="V289" s="4">
        <f>(M289-'2024b_260221_0030'!M289)</f>
        <v>5.3547578000000016</v>
      </c>
      <c r="W289" s="12">
        <f>(M289-'2024b_260221_0030'!M289)/'2024b_260221_0030'!M289</f>
        <v>0.14341197084752438</v>
      </c>
    </row>
    <row r="290" spans="1:23" x14ac:dyDescent="0.25">
      <c r="A290">
        <v>289</v>
      </c>
      <c r="B290" t="s">
        <v>115</v>
      </c>
      <c r="C290" t="s">
        <v>100</v>
      </c>
      <c r="D290" t="s">
        <v>35</v>
      </c>
      <c r="E290" t="s">
        <v>107</v>
      </c>
      <c r="F290" t="s">
        <v>19</v>
      </c>
      <c r="G290" t="s">
        <v>96</v>
      </c>
      <c r="H290" t="s">
        <v>102</v>
      </c>
      <c r="I290" t="s">
        <v>22</v>
      </c>
      <c r="J290" t="s">
        <v>148</v>
      </c>
      <c r="K290" t="s">
        <v>23</v>
      </c>
      <c r="L290">
        <v>398</v>
      </c>
      <c r="M290" s="4">
        <v>3.7585514</v>
      </c>
      <c r="N290" s="4">
        <v>48.129826115469186</v>
      </c>
      <c r="O290" s="4">
        <v>2.6399404738689076E-2</v>
      </c>
      <c r="P290" s="1" t="str">
        <f>HYPERLINK(".\sm_car_260612_0028\sm_car_Axle3_260612_0028_289_CaAxle3_019TrK_MaWOT_DrSt_ode23t_1.png","figure")</f>
        <v>figure</v>
      </c>
      <c r="Q290" t="s">
        <v>15</v>
      </c>
      <c r="R290" t="b">
        <f>B290='2024b_260221_0030'!B290</f>
        <v>1</v>
      </c>
      <c r="T290">
        <f>(L290-'2024b_260221_0030'!L290)</f>
        <v>-1</v>
      </c>
      <c r="U290" s="12">
        <f>(L290-'2024b_260221_0030'!L290)/'2024b_260221_0030'!L290</f>
        <v>-2.5062656641604009E-3</v>
      </c>
      <c r="V290" s="4">
        <f>(M290-'2024b_260221_0030'!M290)</f>
        <v>0.20281409999999989</v>
      </c>
      <c r="W290" s="12">
        <f>(M290-'2024b_260221_0030'!M290)/'2024b_260221_0030'!M290</f>
        <v>5.7038550063864359E-2</v>
      </c>
    </row>
    <row r="291" spans="1:23" x14ac:dyDescent="0.25">
      <c r="A291">
        <v>290</v>
      </c>
      <c r="B291" t="s">
        <v>115</v>
      </c>
      <c r="C291" t="s">
        <v>100</v>
      </c>
      <c r="D291" t="s">
        <v>35</v>
      </c>
      <c r="E291" t="s">
        <v>107</v>
      </c>
      <c r="F291" t="s">
        <v>19</v>
      </c>
      <c r="G291" t="s">
        <v>96</v>
      </c>
      <c r="H291" t="s">
        <v>102</v>
      </c>
      <c r="I291" t="s">
        <v>22</v>
      </c>
      <c r="J291" t="s">
        <v>148</v>
      </c>
      <c r="K291" t="s">
        <v>23</v>
      </c>
      <c r="L291">
        <v>401</v>
      </c>
      <c r="M291" s="4">
        <v>3.7586990999999998</v>
      </c>
      <c r="N291" s="4">
        <v>48.113124994896268</v>
      </c>
      <c r="O291" s="4">
        <v>2.6374454044806026E-2</v>
      </c>
      <c r="P291" s="1" t="str">
        <f>HYPERLINK(".\sm_car_260612_0028\sm_car_Axle3_260612_0028_290_CaAxle3_019TrK_MaWOT_DrSt_ode23t_1.png","figure")</f>
        <v>figure</v>
      </c>
      <c r="Q291" t="s">
        <v>15</v>
      </c>
      <c r="R291" t="b">
        <f>B291='2024b_260221_0030'!B291</f>
        <v>1</v>
      </c>
      <c r="T291">
        <f>(L291-'2024b_260221_0030'!L291)</f>
        <v>0</v>
      </c>
      <c r="U291" s="12">
        <f>(L291-'2024b_260221_0030'!L291)/'2024b_260221_0030'!L291</f>
        <v>0</v>
      </c>
      <c r="V291" s="4">
        <f>(M291-'2024b_260221_0030'!M291)</f>
        <v>0.24492339999999979</v>
      </c>
      <c r="W291" s="12">
        <f>(M291-'2024b_260221_0030'!M291)/'2024b_260221_0030'!M291</f>
        <v>6.970376623641622E-2</v>
      </c>
    </row>
    <row r="292" spans="1:23" x14ac:dyDescent="0.25">
      <c r="A292">
        <v>291</v>
      </c>
      <c r="B292" t="s">
        <v>115</v>
      </c>
      <c r="C292" t="s">
        <v>100</v>
      </c>
      <c r="D292" t="s">
        <v>35</v>
      </c>
      <c r="E292" t="s">
        <v>107</v>
      </c>
      <c r="F292" t="s">
        <v>19</v>
      </c>
      <c r="G292" t="s">
        <v>96</v>
      </c>
      <c r="H292" t="s">
        <v>102</v>
      </c>
      <c r="I292" t="s">
        <v>53</v>
      </c>
      <c r="J292" t="s">
        <v>148</v>
      </c>
      <c r="K292" t="s">
        <v>23</v>
      </c>
      <c r="L292">
        <v>653</v>
      </c>
      <c r="M292" s="4">
        <v>5.6908913999999999</v>
      </c>
      <c r="N292" s="4">
        <v>255.6435763016454</v>
      </c>
      <c r="O292" s="4">
        <v>-0.11740171941747057</v>
      </c>
      <c r="P292" s="1" t="str">
        <f>HYPERLINK(".\sm_car_260612_0028\sm_car_Axle3_260612_0028_291_CaAxle3_019TrK_MaDLC_DrSt_ode23t_1.png","figure")</f>
        <v>figure</v>
      </c>
      <c r="Q292" t="s">
        <v>15</v>
      </c>
      <c r="R292" t="b">
        <f>B292='2024b_260221_0030'!B292</f>
        <v>1</v>
      </c>
      <c r="T292">
        <f>(L292-'2024b_260221_0030'!L292)</f>
        <v>11</v>
      </c>
      <c r="U292" s="12">
        <f>(L292-'2024b_260221_0030'!L292)/'2024b_260221_0030'!L292</f>
        <v>1.7133956386292833E-2</v>
      </c>
      <c r="V292" s="4">
        <f>(M292-'2024b_260221_0030'!M292)</f>
        <v>0.28753329999999977</v>
      </c>
      <c r="W292" s="12">
        <f>(M292-'2024b_260221_0030'!M292)/'2024b_260221_0030'!M292</f>
        <v>5.3213815312370238E-2</v>
      </c>
    </row>
    <row r="293" spans="1:23" x14ac:dyDescent="0.25">
      <c r="A293">
        <v>292</v>
      </c>
      <c r="B293" t="s">
        <v>115</v>
      </c>
      <c r="C293" t="s">
        <v>100</v>
      </c>
      <c r="D293" t="s">
        <v>35</v>
      </c>
      <c r="E293" t="s">
        <v>107</v>
      </c>
      <c r="F293" t="s">
        <v>19</v>
      </c>
      <c r="G293" t="s">
        <v>96</v>
      </c>
      <c r="H293" t="s">
        <v>102</v>
      </c>
      <c r="I293" t="s">
        <v>53</v>
      </c>
      <c r="J293" t="s">
        <v>148</v>
      </c>
      <c r="K293" t="s">
        <v>23</v>
      </c>
      <c r="L293">
        <v>792</v>
      </c>
      <c r="M293" s="4">
        <v>5.7489340000000002</v>
      </c>
      <c r="N293" s="4">
        <v>254.2051156328132</v>
      </c>
      <c r="O293" s="4">
        <v>-0.11498644515622569</v>
      </c>
      <c r="P293" s="1" t="str">
        <f>HYPERLINK(".\sm_car_260612_0028\sm_car_Axle3_260612_0028_292_CaAxle3_019TrK_MaDLC_DrSt_ode23t_1.png","figure")</f>
        <v>figure</v>
      </c>
      <c r="Q293" t="s">
        <v>15</v>
      </c>
      <c r="R293" t="b">
        <f>B293='2024b_260221_0030'!B293</f>
        <v>1</v>
      </c>
      <c r="T293">
        <f>(L293-'2024b_260221_0030'!L293)</f>
        <v>9</v>
      </c>
      <c r="U293" s="12">
        <f>(L293-'2024b_260221_0030'!L293)/'2024b_260221_0030'!L293</f>
        <v>1.1494252873563218E-2</v>
      </c>
      <c r="V293" s="4">
        <f>(M293-'2024b_260221_0030'!M293)</f>
        <v>-7.8517199999999399E-2</v>
      </c>
      <c r="W293" s="12">
        <f>(M293-'2024b_260221_0030'!M293)/'2024b_260221_0030'!M293</f>
        <v>-1.3473677823333708E-2</v>
      </c>
    </row>
    <row r="294" spans="1:23" x14ac:dyDescent="0.25">
      <c r="A294">
        <v>293</v>
      </c>
      <c r="B294" t="s">
        <v>115</v>
      </c>
      <c r="C294" t="s">
        <v>100</v>
      </c>
      <c r="D294" t="s">
        <v>35</v>
      </c>
      <c r="E294" t="s">
        <v>107</v>
      </c>
      <c r="F294" t="s">
        <v>19</v>
      </c>
      <c r="G294" t="s">
        <v>96</v>
      </c>
      <c r="H294" t="s">
        <v>102</v>
      </c>
      <c r="I294" t="s">
        <v>53</v>
      </c>
      <c r="J294" t="s">
        <v>148</v>
      </c>
      <c r="K294" t="s">
        <v>23</v>
      </c>
      <c r="L294">
        <v>633</v>
      </c>
      <c r="M294" s="4">
        <v>6.0155894999999999</v>
      </c>
      <c r="N294" s="4">
        <v>256.70773603257663</v>
      </c>
      <c r="O294" s="4">
        <v>-0.11848486993984864</v>
      </c>
      <c r="P294" s="1" t="str">
        <f>HYPERLINK(".\sm_car_260612_0028\sm_car_Axle3_260612_0028_293_CaAxle3_019TrK_MaDLC_DrSt_ode23t_1.png","figure")</f>
        <v>figure</v>
      </c>
      <c r="Q294" t="s">
        <v>15</v>
      </c>
      <c r="R294" t="b">
        <f>B294='2024b_260221_0030'!B294</f>
        <v>1</v>
      </c>
      <c r="T294">
        <f>(L294-'2024b_260221_0030'!L294)</f>
        <v>1</v>
      </c>
      <c r="U294" s="12">
        <f>(L294-'2024b_260221_0030'!L294)/'2024b_260221_0030'!L294</f>
        <v>1.5822784810126582E-3</v>
      </c>
      <c r="V294" s="4">
        <f>(M294-'2024b_260221_0030'!M294)</f>
        <v>0.52425310000000014</v>
      </c>
      <c r="W294" s="12">
        <f>(M294-'2024b_260221_0030'!M294)/'2024b_260221_0030'!M294</f>
        <v>9.546912842564155E-2</v>
      </c>
    </row>
    <row r="295" spans="1:23" x14ac:dyDescent="0.25">
      <c r="A295">
        <v>294</v>
      </c>
      <c r="B295" t="s">
        <v>115</v>
      </c>
      <c r="C295" t="s">
        <v>100</v>
      </c>
      <c r="D295" t="s">
        <v>35</v>
      </c>
      <c r="E295" t="s">
        <v>107</v>
      </c>
      <c r="F295" t="s">
        <v>19</v>
      </c>
      <c r="G295" t="s">
        <v>96</v>
      </c>
      <c r="H295" t="s">
        <v>102</v>
      </c>
      <c r="I295" t="s">
        <v>53</v>
      </c>
      <c r="J295" t="s">
        <v>148</v>
      </c>
      <c r="K295" t="s">
        <v>23</v>
      </c>
      <c r="L295">
        <v>835</v>
      </c>
      <c r="M295" s="4">
        <v>6.484381</v>
      </c>
      <c r="N295" s="4">
        <v>253.51589053024617</v>
      </c>
      <c r="O295" s="4">
        <v>-0.10586835784717152</v>
      </c>
      <c r="P295" s="1" t="str">
        <f>HYPERLINK(".\sm_car_260612_0028\sm_car_Axle3_260612_0028_294_CaAxle3_019TrK_MaDLC_DrSt_ode23t_1.png","figure")</f>
        <v>figure</v>
      </c>
      <c r="Q295" t="s">
        <v>15</v>
      </c>
      <c r="R295" t="b">
        <f>B295='2024b_260221_0030'!B295</f>
        <v>1</v>
      </c>
      <c r="T295">
        <f>(L295-'2024b_260221_0030'!L295)</f>
        <v>5</v>
      </c>
      <c r="U295" s="12">
        <f>(L295-'2024b_260221_0030'!L295)/'2024b_260221_0030'!L295</f>
        <v>6.024096385542169E-3</v>
      </c>
      <c r="V295" s="4">
        <f>(M295-'2024b_260221_0030'!M295)</f>
        <v>0.29338649999999955</v>
      </c>
      <c r="W295" s="12">
        <f>(M295-'2024b_260221_0030'!M295)/'2024b_260221_0030'!M295</f>
        <v>4.7389236091228887E-2</v>
      </c>
    </row>
    <row r="296" spans="1:23" x14ac:dyDescent="0.25">
      <c r="A296">
        <v>295</v>
      </c>
      <c r="B296" t="s">
        <v>138</v>
      </c>
      <c r="C296" t="s">
        <v>139</v>
      </c>
      <c r="D296" t="s">
        <v>35</v>
      </c>
      <c r="E296" t="s">
        <v>49</v>
      </c>
      <c r="F296" t="s">
        <v>19</v>
      </c>
      <c r="G296" t="s">
        <v>96</v>
      </c>
      <c r="H296" t="s">
        <v>102</v>
      </c>
      <c r="I296" t="s">
        <v>22</v>
      </c>
      <c r="J296" t="s">
        <v>148</v>
      </c>
      <c r="K296" t="s">
        <v>23</v>
      </c>
      <c r="L296">
        <v>377</v>
      </c>
      <c r="M296" s="4">
        <v>3.4365975</v>
      </c>
      <c r="N296" s="4">
        <v>136.82658216354375</v>
      </c>
      <c r="O296" s="4">
        <v>0.19640083954023752</v>
      </c>
      <c r="P296" s="1" t="str">
        <f>HYPERLINK(".\sm_car_260612_0028\sm_car_Axle3_260612_0028_295_CaAxle3_023TrK_MaWOT_DrSt_ode23t_1.png","figure")</f>
        <v>figure</v>
      </c>
      <c r="Q296" t="s">
        <v>15</v>
      </c>
      <c r="R296" t="b">
        <f>B296='2024b_260221_0030'!B296</f>
        <v>1</v>
      </c>
      <c r="T296">
        <f>(L296-'2024b_260221_0030'!L296)</f>
        <v>-1</v>
      </c>
      <c r="U296" s="12">
        <f>(L296-'2024b_260221_0030'!L296)/'2024b_260221_0030'!L296</f>
        <v>-2.6455026455026454E-3</v>
      </c>
      <c r="V296" s="4">
        <f>(M296-'2024b_260221_0030'!M296)</f>
        <v>0.1678525999999998</v>
      </c>
      <c r="W296" s="12">
        <f>(M296-'2024b_260221_0030'!M296)/'2024b_260221_0030'!M296</f>
        <v>5.1350779927794236E-2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D9953-DC09-45A2-8A6B-82FDBD338578}">
  <dimension ref="A1:S282"/>
  <sheetViews>
    <sheetView workbookViewId="0">
      <selection activeCell="L1" sqref="L1:L1048576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6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S1" s="2" t="s">
        <v>206</v>
      </c>
    </row>
    <row r="2" spans="1:19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188</v>
      </c>
      <c r="H2" t="s">
        <v>21</v>
      </c>
      <c r="I2" t="s">
        <v>22</v>
      </c>
      <c r="J2" t="s">
        <v>148</v>
      </c>
      <c r="K2" t="s">
        <v>23</v>
      </c>
      <c r="L2">
        <v>407</v>
      </c>
      <c r="M2">
        <v>8.4032181999999995</v>
      </c>
      <c r="N2">
        <v>229.79691633507201</v>
      </c>
      <c r="O2">
        <v>-8.3815857057599977E-3</v>
      </c>
      <c r="P2" s="1" t="str">
        <f>HYPERLINK(".\sm_car_260613_0002\sm_car_260613_0002_001_Ca000TrN_MaWOT_DrSt_ode23t.png","figure")</f>
        <v>figure</v>
      </c>
      <c r="Q2" t="s">
        <v>15</v>
      </c>
      <c r="S2" s="2" t="s">
        <v>116</v>
      </c>
    </row>
    <row r="3" spans="1:19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188</v>
      </c>
      <c r="H3" t="s">
        <v>21</v>
      </c>
      <c r="I3" t="s">
        <v>24</v>
      </c>
      <c r="J3" t="s">
        <v>148</v>
      </c>
      <c r="K3" t="s">
        <v>23</v>
      </c>
      <c r="L3">
        <v>526</v>
      </c>
      <c r="M3">
        <v>10.903556399999999</v>
      </c>
      <c r="N3">
        <v>70.871391609126391</v>
      </c>
      <c r="O3">
        <v>-0.53285053939936844</v>
      </c>
      <c r="P3" s="1" t="str">
        <f>HYPERLINK(".\sm_car_260613_0002\sm_car_260613_0002_002_Ca000TrN_MaLSS_DrSt_ode23t.png","figure")</f>
        <v>figure</v>
      </c>
      <c r="Q3" t="s">
        <v>15</v>
      </c>
      <c r="S3" s="2" t="s">
        <v>201</v>
      </c>
    </row>
    <row r="4" spans="1:19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188</v>
      </c>
      <c r="H4" t="s">
        <v>21</v>
      </c>
      <c r="I4" t="s">
        <v>22</v>
      </c>
      <c r="J4" t="s">
        <v>148</v>
      </c>
      <c r="K4" t="s">
        <v>23</v>
      </c>
      <c r="L4">
        <v>400</v>
      </c>
      <c r="M4">
        <v>8.7583020999999999</v>
      </c>
      <c r="N4">
        <v>228.79247659844486</v>
      </c>
      <c r="O4">
        <v>-1.7730832072156193E-2</v>
      </c>
      <c r="P4" s="1" t="str">
        <f>HYPERLINK(".\sm_car_260613_0002\sm_car_260613_0002_003_Ca001TrN_MaWOT_DrSt_ode23t.png","figure")</f>
        <v>figure</v>
      </c>
      <c r="Q4" t="s">
        <v>15</v>
      </c>
      <c r="S4" s="2" t="s">
        <v>202</v>
      </c>
    </row>
    <row r="5" spans="1:19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188</v>
      </c>
      <c r="H5" t="s">
        <v>21</v>
      </c>
      <c r="I5" t="s">
        <v>24</v>
      </c>
      <c r="J5" t="s">
        <v>148</v>
      </c>
      <c r="K5" t="s">
        <v>23</v>
      </c>
      <c r="L5">
        <v>529</v>
      </c>
      <c r="M5">
        <v>13.5317934</v>
      </c>
      <c r="N5">
        <v>70.585089640066698</v>
      </c>
      <c r="O5">
        <v>-0.52750569630891886</v>
      </c>
      <c r="P5" s="1" t="str">
        <f>HYPERLINK(".\sm_car_260613_0002\sm_car_260613_0002_004_Ca001TrN_MaLSS_DrSt_ode23t.png","figure")</f>
        <v>figure</v>
      </c>
      <c r="Q5" t="s">
        <v>15</v>
      </c>
      <c r="S5" t="s">
        <v>207</v>
      </c>
    </row>
    <row r="6" spans="1:19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188</v>
      </c>
      <c r="H6" t="s">
        <v>21</v>
      </c>
      <c r="I6" t="s">
        <v>22</v>
      </c>
      <c r="J6" t="s">
        <v>148</v>
      </c>
      <c r="K6" t="s">
        <v>23</v>
      </c>
      <c r="L6">
        <v>437</v>
      </c>
      <c r="M6">
        <v>14.412991399999999</v>
      </c>
      <c r="N6">
        <v>229.08773946583517</v>
      </c>
      <c r="O6">
        <v>5.0071604495388014E-2</v>
      </c>
      <c r="P6" s="1" t="str">
        <f>HYPERLINK(".\sm_car_260613_0002\sm_car_260613_0002_005_Ca002TrN_MaWOT_DrSt_ode23t.png","figure")</f>
        <v>figure</v>
      </c>
      <c r="Q6" t="s">
        <v>15</v>
      </c>
    </row>
    <row r="7" spans="1:19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188</v>
      </c>
      <c r="H7" t="s">
        <v>21</v>
      </c>
      <c r="I7" t="s">
        <v>24</v>
      </c>
      <c r="J7" t="s">
        <v>148</v>
      </c>
      <c r="K7" t="s">
        <v>23</v>
      </c>
      <c r="L7">
        <v>523</v>
      </c>
      <c r="M7">
        <v>25.033235999999999</v>
      </c>
      <c r="N7">
        <v>70.585041528837195</v>
      </c>
      <c r="O7">
        <v>-0.52241692713006083</v>
      </c>
      <c r="P7" s="1" t="str">
        <f>HYPERLINK(".\sm_car_260613_0002\sm_car_260613_0002_006_Ca002TrN_MaLSS_DrSt_ode23t.png","figure")</f>
        <v>figure</v>
      </c>
      <c r="Q7" t="s">
        <v>15</v>
      </c>
    </row>
    <row r="8" spans="1:19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188</v>
      </c>
      <c r="H8" t="s">
        <v>21</v>
      </c>
      <c r="I8" t="s">
        <v>22</v>
      </c>
      <c r="J8" t="s">
        <v>148</v>
      </c>
      <c r="K8" t="s">
        <v>23</v>
      </c>
      <c r="L8">
        <v>496</v>
      </c>
      <c r="M8">
        <v>25.0920968</v>
      </c>
      <c r="N8">
        <v>228.73339608383588</v>
      </c>
      <c r="O8">
        <v>4.5644975983038183E-2</v>
      </c>
      <c r="P8" s="1" t="str">
        <f>HYPERLINK(".\sm_car_260613_0002\sm_car_260613_0002_007_Ca003TrN_MaWOT_DrSt_ode23t.png","figure")</f>
        <v>figure</v>
      </c>
      <c r="Q8" t="s">
        <v>15</v>
      </c>
    </row>
    <row r="9" spans="1:19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188</v>
      </c>
      <c r="H9" t="s">
        <v>21</v>
      </c>
      <c r="I9" t="s">
        <v>24</v>
      </c>
      <c r="J9" t="s">
        <v>148</v>
      </c>
      <c r="K9" t="s">
        <v>23</v>
      </c>
      <c r="L9">
        <v>551</v>
      </c>
      <c r="M9">
        <v>17.825019099999999</v>
      </c>
      <c r="N9">
        <v>70.460182897389103</v>
      </c>
      <c r="O9">
        <v>-0.52081075266526</v>
      </c>
      <c r="P9" s="1" t="str">
        <f>HYPERLINK(".\sm_car_260613_0002\sm_car_260613_0002_008_Ca003TrN_MaLSS_DrSt_ode23t.png","figure")</f>
        <v>figure</v>
      </c>
      <c r="Q9" t="s">
        <v>15</v>
      </c>
    </row>
    <row r="10" spans="1:19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188</v>
      </c>
      <c r="H10" t="s">
        <v>21</v>
      </c>
      <c r="I10" t="s">
        <v>22</v>
      </c>
      <c r="J10" t="s">
        <v>148</v>
      </c>
      <c r="K10" t="s">
        <v>23</v>
      </c>
      <c r="L10">
        <v>1101</v>
      </c>
      <c r="M10">
        <v>18.210213599999999</v>
      </c>
      <c r="N10">
        <v>230.03726528986655</v>
      </c>
      <c r="O10">
        <v>-9.7560265766938863E-3</v>
      </c>
      <c r="P10" s="1" t="str">
        <f>HYPERLINK(".\sm_car_260613_0002\sm_car_260613_0002_009_Ca004TrN_MaWOT_DrSt_ode23t.png","figure")</f>
        <v>figure</v>
      </c>
      <c r="Q10" t="s">
        <v>15</v>
      </c>
    </row>
    <row r="11" spans="1:19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188</v>
      </c>
      <c r="H11" t="s">
        <v>21</v>
      </c>
      <c r="I11" t="s">
        <v>24</v>
      </c>
      <c r="J11" t="s">
        <v>148</v>
      </c>
      <c r="K11" t="s">
        <v>23</v>
      </c>
      <c r="L11">
        <v>1228</v>
      </c>
      <c r="M11">
        <v>24.703865799999999</v>
      </c>
      <c r="N11">
        <v>70.87933579081141</v>
      </c>
      <c r="O11">
        <v>-0.53594520575646432</v>
      </c>
      <c r="P11" s="1" t="str">
        <f>HYPERLINK(".\sm_car_260613_0002\sm_car_260613_0002_010_Ca004TrN_MaLSS_DrSt_ode23t.png","figure")</f>
        <v>figure</v>
      </c>
      <c r="Q11" t="s">
        <v>15</v>
      </c>
    </row>
    <row r="12" spans="1:19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188</v>
      </c>
      <c r="H12" t="s">
        <v>21</v>
      </c>
      <c r="I12" t="s">
        <v>22</v>
      </c>
      <c r="J12" t="s">
        <v>148</v>
      </c>
      <c r="K12" t="s">
        <v>23</v>
      </c>
      <c r="L12">
        <v>1099</v>
      </c>
      <c r="M12">
        <v>21.987568899999999</v>
      </c>
      <c r="N12">
        <v>229.19278333278774</v>
      </c>
      <c r="O12">
        <v>-1.7073341258202944E-2</v>
      </c>
      <c r="P12" s="1" t="str">
        <f>HYPERLINK(".\sm_car_260613_0002\sm_car_260613_0002_011_Ca005TrN_MaWOT_DrSt_ode23t.png","figure")</f>
        <v>figure</v>
      </c>
      <c r="Q12" t="s">
        <v>15</v>
      </c>
    </row>
    <row r="13" spans="1:19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188</v>
      </c>
      <c r="H13" t="s">
        <v>21</v>
      </c>
      <c r="I13" t="s">
        <v>24</v>
      </c>
      <c r="J13" t="s">
        <v>148</v>
      </c>
      <c r="K13" t="s">
        <v>23</v>
      </c>
      <c r="L13">
        <v>1220</v>
      </c>
      <c r="M13">
        <v>19.562414</v>
      </c>
      <c r="N13">
        <v>70.603572966874154</v>
      </c>
      <c r="O13">
        <v>-0.53148413790592375</v>
      </c>
      <c r="P13" s="1" t="str">
        <f>HYPERLINK(".\sm_car_260613_0002\sm_car_260613_0002_012_Ca005TrN_MaLSS_DrSt_ode23t.png","figure")</f>
        <v>figure</v>
      </c>
      <c r="Q13" t="s">
        <v>15</v>
      </c>
    </row>
    <row r="14" spans="1:19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188</v>
      </c>
      <c r="H14" t="s">
        <v>21</v>
      </c>
      <c r="I14" t="s">
        <v>22</v>
      </c>
      <c r="J14" t="s">
        <v>148</v>
      </c>
      <c r="K14" t="s">
        <v>23</v>
      </c>
      <c r="L14">
        <v>1219</v>
      </c>
      <c r="M14">
        <v>20.528646899999998</v>
      </c>
      <c r="N14">
        <v>229.16665208769467</v>
      </c>
      <c r="O14">
        <v>5.5425245842963183E-2</v>
      </c>
      <c r="P14" s="1" t="str">
        <f>HYPERLINK(".\sm_car_260613_0002\sm_car_260613_0002_013_Ca006TrN_MaWOT_DrSt_ode23t.png","figure")</f>
        <v>figure</v>
      </c>
      <c r="Q14" t="s">
        <v>15</v>
      </c>
    </row>
    <row r="15" spans="1:19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188</v>
      </c>
      <c r="H15" t="s">
        <v>21</v>
      </c>
      <c r="I15" t="s">
        <v>24</v>
      </c>
      <c r="J15" t="s">
        <v>148</v>
      </c>
      <c r="K15" t="s">
        <v>23</v>
      </c>
      <c r="L15">
        <v>1294</v>
      </c>
      <c r="M15">
        <v>20.129917500000001</v>
      </c>
      <c r="N15">
        <v>70.595090879542482</v>
      </c>
      <c r="O15">
        <v>-0.52640167319375897</v>
      </c>
      <c r="P15" s="1" t="str">
        <f>HYPERLINK(".\sm_car_260613_0002\sm_car_260613_0002_014_Ca006TrN_MaLSS_DrSt_ode23t.png","figure")</f>
        <v>figure</v>
      </c>
      <c r="Q15" t="s">
        <v>15</v>
      </c>
    </row>
    <row r="16" spans="1:19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188</v>
      </c>
      <c r="H16" t="s">
        <v>21</v>
      </c>
      <c r="I16" t="s">
        <v>22</v>
      </c>
      <c r="J16" t="s">
        <v>148</v>
      </c>
      <c r="K16" t="s">
        <v>23</v>
      </c>
      <c r="L16">
        <v>1186</v>
      </c>
      <c r="M16">
        <v>21.510104900000002</v>
      </c>
      <c r="N16">
        <v>228.66560738478978</v>
      </c>
      <c r="O16">
        <v>4.6681225028094069E-2</v>
      </c>
      <c r="P16" s="1" t="str">
        <f>HYPERLINK(".\sm_car_260613_0002\sm_car_260613_0002_015_Ca007TrN_MaWOT_DrSt_ode23t.png","figure")</f>
        <v>figure</v>
      </c>
      <c r="Q16" t="s">
        <v>15</v>
      </c>
    </row>
    <row r="17" spans="1:17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188</v>
      </c>
      <c r="H17" t="s">
        <v>21</v>
      </c>
      <c r="I17" t="s">
        <v>24</v>
      </c>
      <c r="J17" t="s">
        <v>148</v>
      </c>
      <c r="K17" t="s">
        <v>23</v>
      </c>
      <c r="L17">
        <v>1277</v>
      </c>
      <c r="M17">
        <v>21.576133899999999</v>
      </c>
      <c r="N17">
        <v>70.467908346729217</v>
      </c>
      <c r="O17">
        <v>-0.52324767130798622</v>
      </c>
      <c r="P17" s="1" t="str">
        <f>HYPERLINK(".\sm_car_260613_0002\sm_car_260613_0002_016_Ca007TrN_MaLSS_DrSt_ode23t.png","figure")</f>
        <v>figure</v>
      </c>
      <c r="Q17" t="s">
        <v>15</v>
      </c>
    </row>
    <row r="18" spans="1:17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188</v>
      </c>
      <c r="H18" t="s">
        <v>21</v>
      </c>
      <c r="I18" t="s">
        <v>22</v>
      </c>
      <c r="J18" t="s">
        <v>148</v>
      </c>
      <c r="K18" t="s">
        <v>23</v>
      </c>
      <c r="L18">
        <v>414</v>
      </c>
      <c r="M18">
        <v>7.3227647999999999</v>
      </c>
      <c r="N18">
        <v>230.40960672488885</v>
      </c>
      <c r="O18">
        <v>-7.5480656363989873E-2</v>
      </c>
      <c r="P18" s="1" t="str">
        <f>HYPERLINK(".\sm_car_260613_0002\sm_car_260613_0002_017_Ca016TrN_MaWOT_DrSt_ode23t.png","figure")</f>
        <v>figure</v>
      </c>
      <c r="Q18" t="s">
        <v>15</v>
      </c>
    </row>
    <row r="19" spans="1:17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188</v>
      </c>
      <c r="H19" t="s">
        <v>21</v>
      </c>
      <c r="I19" t="s">
        <v>24</v>
      </c>
      <c r="J19" t="s">
        <v>148</v>
      </c>
      <c r="K19" t="s">
        <v>23</v>
      </c>
      <c r="L19">
        <v>479</v>
      </c>
      <c r="M19">
        <v>7.5041256000000001</v>
      </c>
      <c r="N19">
        <v>71.136919732424161</v>
      </c>
      <c r="O19">
        <v>-2.1879904771588968E-2</v>
      </c>
      <c r="P19" s="1" t="str">
        <f>HYPERLINK(".\sm_car_260613_0002\sm_car_260613_0002_018_Ca016TrN_MaLSS_DrSt_ode23t.png","figure")</f>
        <v>figure</v>
      </c>
      <c r="Q19" t="s">
        <v>15</v>
      </c>
    </row>
    <row r="20" spans="1:17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188</v>
      </c>
      <c r="H20" t="s">
        <v>21</v>
      </c>
      <c r="I20" t="s">
        <v>22</v>
      </c>
      <c r="J20" t="s">
        <v>148</v>
      </c>
      <c r="K20" t="s">
        <v>23</v>
      </c>
      <c r="L20">
        <v>405</v>
      </c>
      <c r="M20">
        <v>9.1670169999999995</v>
      </c>
      <c r="N20">
        <v>230.15045365605587</v>
      </c>
      <c r="O20">
        <v>5.5534640356316141E-3</v>
      </c>
      <c r="P20" s="1" t="str">
        <f>HYPERLINK(".\sm_car_260613_0002\sm_car_260613_0002_019_Ca032TrN_MaWOT_DrSt_ode23t.png","figure")</f>
        <v>figure</v>
      </c>
      <c r="Q20" t="s">
        <v>15</v>
      </c>
    </row>
    <row r="21" spans="1:17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188</v>
      </c>
      <c r="H21" t="s">
        <v>21</v>
      </c>
      <c r="I21" t="s">
        <v>24</v>
      </c>
      <c r="J21" t="s">
        <v>148</v>
      </c>
      <c r="K21" t="s">
        <v>23</v>
      </c>
      <c r="L21">
        <v>526</v>
      </c>
      <c r="M21">
        <v>10.3795673</v>
      </c>
      <c r="N21">
        <v>70.887018122001578</v>
      </c>
      <c r="O21">
        <v>-0.51641941013081838</v>
      </c>
      <c r="P21" s="1" t="str">
        <f>HYPERLINK(".\sm_car_260613_0002\sm_car_260613_0002_020_Ca032TrN_MaLSS_DrSt_ode23t.png","figure")</f>
        <v>figure</v>
      </c>
      <c r="Q21" t="s">
        <v>15</v>
      </c>
    </row>
    <row r="22" spans="1:17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188</v>
      </c>
      <c r="H22" t="s">
        <v>21</v>
      </c>
      <c r="I22" t="s">
        <v>22</v>
      </c>
      <c r="J22" t="s">
        <v>148</v>
      </c>
      <c r="K22" t="s">
        <v>23</v>
      </c>
      <c r="L22">
        <v>408</v>
      </c>
      <c r="M22">
        <v>9.7353932000000007</v>
      </c>
      <c r="N22">
        <v>230.07116592822823</v>
      </c>
      <c r="O22">
        <v>-2.2803956668757609E-2</v>
      </c>
      <c r="P22" s="1" t="str">
        <f>HYPERLINK(".\sm_car_260613_0002\sm_car_260613_0002_021_Ca048TrN_MaWOT_DrSt_ode23t.png","figure")</f>
        <v>figure</v>
      </c>
      <c r="Q22" t="s">
        <v>15</v>
      </c>
    </row>
    <row r="23" spans="1:17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188</v>
      </c>
      <c r="H23" t="s">
        <v>21</v>
      </c>
      <c r="I23" t="s">
        <v>24</v>
      </c>
      <c r="J23" t="s">
        <v>148</v>
      </c>
      <c r="K23" t="s">
        <v>23</v>
      </c>
      <c r="L23">
        <v>532</v>
      </c>
      <c r="M23">
        <v>10.5304257</v>
      </c>
      <c r="N23">
        <v>70.879734943070645</v>
      </c>
      <c r="O23">
        <v>-0.52128276122161854</v>
      </c>
      <c r="P23" s="1" t="str">
        <f>HYPERLINK(".\sm_car_260613_0002\sm_car_260613_0002_022_Ca048TrN_MaLSS_DrSt_ode23t.png","figure")</f>
        <v>figure</v>
      </c>
      <c r="Q23" t="s">
        <v>15</v>
      </c>
    </row>
    <row r="24" spans="1:17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188</v>
      </c>
      <c r="H24" t="s">
        <v>21</v>
      </c>
      <c r="I24" t="s">
        <v>22</v>
      </c>
      <c r="J24" t="s">
        <v>148</v>
      </c>
      <c r="K24" t="s">
        <v>23</v>
      </c>
      <c r="L24">
        <v>400</v>
      </c>
      <c r="M24">
        <v>10.531549099999999</v>
      </c>
      <c r="N24">
        <v>230.15012909419332</v>
      </c>
      <c r="O24">
        <v>4.0306009787751344E-3</v>
      </c>
      <c r="P24" s="1" t="str">
        <f>HYPERLINK(".\sm_car_260613_0002\sm_car_260613_0002_023_Ca064TrN_MaWOT_DrSt_ode23t.png","figure")</f>
        <v>figure</v>
      </c>
      <c r="Q24" t="s">
        <v>15</v>
      </c>
    </row>
    <row r="25" spans="1:17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188</v>
      </c>
      <c r="H25" t="s">
        <v>21</v>
      </c>
      <c r="I25" t="s">
        <v>24</v>
      </c>
      <c r="J25" t="s">
        <v>148</v>
      </c>
      <c r="K25" t="s">
        <v>23</v>
      </c>
      <c r="L25">
        <v>512</v>
      </c>
      <c r="M25">
        <v>10.5718125</v>
      </c>
      <c r="N25">
        <v>70.903978167550335</v>
      </c>
      <c r="O25">
        <v>-0.50998323756179686</v>
      </c>
      <c r="P25" s="1" t="str">
        <f>HYPERLINK(".\sm_car_260613_0002\sm_car_260613_0002_024_Ca064TrN_MaLSS_DrSt_ode23t.png","figure")</f>
        <v>figure</v>
      </c>
      <c r="Q25" t="s">
        <v>15</v>
      </c>
    </row>
    <row r="26" spans="1:17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188</v>
      </c>
      <c r="H26" t="s">
        <v>21</v>
      </c>
      <c r="I26" t="s">
        <v>22</v>
      </c>
      <c r="J26" t="s">
        <v>148</v>
      </c>
      <c r="K26" t="s">
        <v>23</v>
      </c>
      <c r="L26">
        <v>407</v>
      </c>
      <c r="M26">
        <v>10.4693054</v>
      </c>
      <c r="N26">
        <v>229.977002942746</v>
      </c>
      <c r="O26">
        <v>-2.5215828614378225E-2</v>
      </c>
      <c r="P26" s="1" t="str">
        <f>HYPERLINK(".\sm_car_260613_0002\sm_car_260613_0002_025_Ca080TrN_MaWOT_DrSt_ode23t.png","figure")</f>
        <v>figure</v>
      </c>
      <c r="Q26" t="s">
        <v>15</v>
      </c>
    </row>
    <row r="27" spans="1:17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188</v>
      </c>
      <c r="H27" t="s">
        <v>21</v>
      </c>
      <c r="I27" t="s">
        <v>24</v>
      </c>
      <c r="J27" t="s">
        <v>148</v>
      </c>
      <c r="K27" t="s">
        <v>23</v>
      </c>
      <c r="L27">
        <v>521</v>
      </c>
      <c r="M27">
        <v>11.0354543</v>
      </c>
      <c r="N27">
        <v>70.871571113951205</v>
      </c>
      <c r="O27">
        <v>-0.51798401216276602</v>
      </c>
      <c r="P27" s="1" t="str">
        <f>HYPERLINK(".\sm_car_260613_0002\sm_car_260613_0002_026_Ca080TrN_MaLSS_DrSt_ode23t.png","figure")</f>
        <v>figure</v>
      </c>
      <c r="Q27" t="s">
        <v>15</v>
      </c>
    </row>
    <row r="28" spans="1:17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188</v>
      </c>
      <c r="H28" t="s">
        <v>21</v>
      </c>
      <c r="I28" t="s">
        <v>22</v>
      </c>
      <c r="J28" t="s">
        <v>148</v>
      </c>
      <c r="K28" t="s">
        <v>23</v>
      </c>
      <c r="L28">
        <v>400</v>
      </c>
      <c r="M28">
        <v>7.4514813000000002</v>
      </c>
      <c r="N28">
        <v>231.7060108500074</v>
      </c>
      <c r="O28">
        <v>1.6013963503973151E-2</v>
      </c>
      <c r="P28" s="1" t="str">
        <f>HYPERLINK(".\sm_car_260613_0002\sm_car_260613_0002_027_Ca096TrN_MaWOT_DrSt_ode23t.png","figure")</f>
        <v>figure</v>
      </c>
      <c r="Q28" t="s">
        <v>15</v>
      </c>
    </row>
    <row r="29" spans="1:17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188</v>
      </c>
      <c r="H29" t="s">
        <v>21</v>
      </c>
      <c r="I29" t="s">
        <v>24</v>
      </c>
      <c r="J29" t="s">
        <v>148</v>
      </c>
      <c r="K29" t="s">
        <v>23</v>
      </c>
      <c r="L29">
        <v>516</v>
      </c>
      <c r="M29">
        <v>8.7629005000000006</v>
      </c>
      <c r="N29">
        <v>71.376201274642568</v>
      </c>
      <c r="O29">
        <v>-0.52101015842835785</v>
      </c>
      <c r="P29" s="1" t="str">
        <f>HYPERLINK(".\sm_car_260613_0002\sm_car_260613_0002_028_Ca096TrN_MaLSS_DrSt_ode23t.png","figure")</f>
        <v>figure</v>
      </c>
      <c r="Q29" t="s">
        <v>15</v>
      </c>
    </row>
    <row r="30" spans="1:17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188</v>
      </c>
      <c r="H30" t="s">
        <v>21</v>
      </c>
      <c r="I30" t="s">
        <v>22</v>
      </c>
      <c r="J30" t="s">
        <v>148</v>
      </c>
      <c r="K30" t="s">
        <v>23</v>
      </c>
      <c r="L30">
        <v>340</v>
      </c>
      <c r="M30">
        <v>3.5584837</v>
      </c>
      <c r="N30">
        <v>242.65904852954554</v>
      </c>
      <c r="O30">
        <v>0.23508611437023519</v>
      </c>
      <c r="P30" s="1" t="str">
        <f>HYPERLINK(".\sm_car_260613_0002\sm_car_260613_0002_029_Ca112TrN_MaWOT_DrSt_ode23t.png","figure")</f>
        <v>figure</v>
      </c>
      <c r="Q30" t="s">
        <v>15</v>
      </c>
    </row>
    <row r="31" spans="1:17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188</v>
      </c>
      <c r="H31" t="s">
        <v>21</v>
      </c>
      <c r="I31" t="s">
        <v>24</v>
      </c>
      <c r="J31" t="s">
        <v>148</v>
      </c>
      <c r="K31" t="s">
        <v>23</v>
      </c>
      <c r="L31">
        <v>464</v>
      </c>
      <c r="M31">
        <v>3.9225401</v>
      </c>
      <c r="N31">
        <v>74.659845886614946</v>
      </c>
      <c r="O31">
        <v>-0.33918263869399817</v>
      </c>
      <c r="P31" s="1" t="str">
        <f>HYPERLINK(".\sm_car_260613_0002\sm_car_260613_0002_030_Ca112TrN_MaLSS_DrSt_ode23t.png","figure")</f>
        <v>figure</v>
      </c>
      <c r="Q31" t="s">
        <v>15</v>
      </c>
    </row>
    <row r="32" spans="1:17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188</v>
      </c>
      <c r="H32" t="s">
        <v>21</v>
      </c>
      <c r="I32" t="s">
        <v>22</v>
      </c>
      <c r="J32" t="s">
        <v>148</v>
      </c>
      <c r="K32" t="s">
        <v>23</v>
      </c>
      <c r="L32">
        <v>352</v>
      </c>
      <c r="M32">
        <v>3.8507813</v>
      </c>
      <c r="N32">
        <v>241.65371917161139</v>
      </c>
      <c r="O32">
        <v>0.23560336015383312</v>
      </c>
      <c r="P32" s="1" t="str">
        <f>HYPERLINK(".\sm_car_260613_0002\sm_car_260613_0002_031_Ca113TrN_MaWOT_DrSt_ode23t.png","figure")</f>
        <v>figure</v>
      </c>
      <c r="Q32" t="s">
        <v>15</v>
      </c>
    </row>
    <row r="33" spans="1:17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188</v>
      </c>
      <c r="H33" t="s">
        <v>21</v>
      </c>
      <c r="I33" t="s">
        <v>24</v>
      </c>
      <c r="J33" t="s">
        <v>148</v>
      </c>
      <c r="K33" t="s">
        <v>23</v>
      </c>
      <c r="L33">
        <v>438</v>
      </c>
      <c r="M33">
        <v>3.8719328000000002</v>
      </c>
      <c r="N33">
        <v>74.337594395979281</v>
      </c>
      <c r="O33">
        <v>-0.33368443340247128</v>
      </c>
      <c r="P33" s="1" t="str">
        <f>HYPERLINK(".\sm_car_260613_0002\sm_car_260613_0002_032_Ca113TrN_MaLSS_DrSt_ode23t.png","figure")</f>
        <v>figure</v>
      </c>
      <c r="Q33" t="s">
        <v>15</v>
      </c>
    </row>
    <row r="34" spans="1:17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188</v>
      </c>
      <c r="H34" t="s">
        <v>21</v>
      </c>
      <c r="I34" t="s">
        <v>22</v>
      </c>
      <c r="J34" t="s">
        <v>148</v>
      </c>
      <c r="K34" t="s">
        <v>23</v>
      </c>
      <c r="L34">
        <v>350</v>
      </c>
      <c r="M34">
        <v>4.3712590000000002</v>
      </c>
      <c r="N34">
        <v>241.71640257114368</v>
      </c>
      <c r="O34">
        <v>0.23189789846087985</v>
      </c>
      <c r="P34" s="1" t="str">
        <f>HYPERLINK(".\sm_car_260613_0002\sm_car_260613_0002_033_Ca114TrN_MaWOT_DrSt_ode23t.png","figure")</f>
        <v>figure</v>
      </c>
      <c r="Q34" t="s">
        <v>15</v>
      </c>
    </row>
    <row r="35" spans="1:17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188</v>
      </c>
      <c r="H35" t="s">
        <v>21</v>
      </c>
      <c r="I35" t="s">
        <v>24</v>
      </c>
      <c r="J35" t="s">
        <v>148</v>
      </c>
      <c r="K35" t="s">
        <v>23</v>
      </c>
      <c r="L35">
        <v>465</v>
      </c>
      <c r="M35">
        <v>4.5685836999999996</v>
      </c>
      <c r="N35">
        <v>74.367642072011961</v>
      </c>
      <c r="O35">
        <v>-0.3342840242789345</v>
      </c>
      <c r="P35" s="1" t="str">
        <f>HYPERLINK(".\sm_car_260613_0002\sm_car_260613_0002_034_Ca114TrN_MaLSS_DrSt_ode23t.png","figure")</f>
        <v>figure</v>
      </c>
      <c r="Q35" t="s">
        <v>15</v>
      </c>
    </row>
    <row r="36" spans="1:17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188</v>
      </c>
      <c r="H36" t="s">
        <v>21</v>
      </c>
      <c r="I36" t="s">
        <v>22</v>
      </c>
      <c r="J36" t="s">
        <v>148</v>
      </c>
      <c r="K36" t="s">
        <v>23</v>
      </c>
      <c r="L36">
        <v>401</v>
      </c>
      <c r="M36">
        <v>4.2891969999999997</v>
      </c>
      <c r="N36">
        <v>241.1066674505787</v>
      </c>
      <c r="O36">
        <v>0.23032878572739057</v>
      </c>
      <c r="P36" s="1" t="str">
        <f>HYPERLINK(".\sm_car_260613_0002\sm_car_260613_0002_035_Ca115TrN_MaWOT_DrSt_ode23t.png","figure")</f>
        <v>figure</v>
      </c>
      <c r="Q36" t="s">
        <v>15</v>
      </c>
    </row>
    <row r="37" spans="1:17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188</v>
      </c>
      <c r="H37" t="s">
        <v>21</v>
      </c>
      <c r="I37" t="s">
        <v>24</v>
      </c>
      <c r="J37" t="s">
        <v>148</v>
      </c>
      <c r="K37" t="s">
        <v>23</v>
      </c>
      <c r="L37">
        <v>491</v>
      </c>
      <c r="M37">
        <v>4.3022844999999998</v>
      </c>
      <c r="N37">
        <v>74.204302182050029</v>
      </c>
      <c r="O37">
        <v>-0.3310847870579216</v>
      </c>
      <c r="P37" s="1" t="str">
        <f>HYPERLINK(".\sm_car_260613_0002\sm_car_260613_0002_036_Ca115TrN_MaLSS_DrSt_ode23t.png","figure")</f>
        <v>figure</v>
      </c>
      <c r="Q37" t="s">
        <v>15</v>
      </c>
    </row>
    <row r="38" spans="1:17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188</v>
      </c>
      <c r="H38" t="s">
        <v>21</v>
      </c>
      <c r="I38" t="s">
        <v>22</v>
      </c>
      <c r="J38" t="s">
        <v>148</v>
      </c>
      <c r="K38" t="s">
        <v>23</v>
      </c>
      <c r="L38">
        <v>875</v>
      </c>
      <c r="M38">
        <v>6.0109896000000003</v>
      </c>
      <c r="N38">
        <v>242.45597777116052</v>
      </c>
      <c r="O38">
        <v>0.23923104679217641</v>
      </c>
      <c r="P38" s="1" t="str">
        <f>HYPERLINK(".\sm_car_260613_0002\sm_car_260613_0002_037_Ca116TrN_MaWOT_DrSt_ode23t.png","figure")</f>
        <v>figure</v>
      </c>
      <c r="Q38" t="s">
        <v>15</v>
      </c>
    </row>
    <row r="39" spans="1:17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188</v>
      </c>
      <c r="H39" t="s">
        <v>21</v>
      </c>
      <c r="I39" t="s">
        <v>24</v>
      </c>
      <c r="J39" t="s">
        <v>148</v>
      </c>
      <c r="K39" t="s">
        <v>23</v>
      </c>
      <c r="L39">
        <v>1011</v>
      </c>
      <c r="M39">
        <v>6.0515097000000004</v>
      </c>
      <c r="N39">
        <v>74.664605556017747</v>
      </c>
      <c r="O39">
        <v>-0.3426896570905365</v>
      </c>
      <c r="P39" s="1" t="str">
        <f>HYPERLINK(".\sm_car_260613_0002\sm_car_260613_0002_038_Ca116TrN_MaLSS_DrSt_ode23t.png","figure")</f>
        <v>figure</v>
      </c>
      <c r="Q39" t="s">
        <v>15</v>
      </c>
    </row>
    <row r="40" spans="1:17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188</v>
      </c>
      <c r="H40" t="s">
        <v>21</v>
      </c>
      <c r="I40" t="s">
        <v>22</v>
      </c>
      <c r="J40" t="s">
        <v>148</v>
      </c>
      <c r="K40" t="s">
        <v>23</v>
      </c>
      <c r="L40">
        <v>931</v>
      </c>
      <c r="M40">
        <v>6.3176404000000002</v>
      </c>
      <c r="N40">
        <v>241.56239904430362</v>
      </c>
      <c r="O40">
        <v>0.23271091874733171</v>
      </c>
      <c r="P40" s="1" t="str">
        <f>HYPERLINK(".\sm_car_260613_0002\sm_car_260613_0002_039_Ca117TrN_MaWOT_DrSt_ode23t.png","figure")</f>
        <v>figure</v>
      </c>
      <c r="Q40" t="s">
        <v>15</v>
      </c>
    </row>
    <row r="41" spans="1:17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188</v>
      </c>
      <c r="H41" t="s">
        <v>21</v>
      </c>
      <c r="I41" t="s">
        <v>24</v>
      </c>
      <c r="J41" t="s">
        <v>148</v>
      </c>
      <c r="K41" t="s">
        <v>23</v>
      </c>
      <c r="L41">
        <v>1058</v>
      </c>
      <c r="M41">
        <v>7.5580885000000002</v>
      </c>
      <c r="N41">
        <v>74.345019516979576</v>
      </c>
      <c r="O41">
        <v>-0.33668575136759538</v>
      </c>
      <c r="P41" s="1" t="str">
        <f>HYPERLINK(".\sm_car_260613_0002\sm_car_260613_0002_040_Ca117TrN_MaLSS_DrSt_ode23t.png","figure")</f>
        <v>figure</v>
      </c>
      <c r="Q41" t="s">
        <v>15</v>
      </c>
    </row>
    <row r="42" spans="1:17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188</v>
      </c>
      <c r="H42" t="s">
        <v>21</v>
      </c>
      <c r="I42" t="s">
        <v>22</v>
      </c>
      <c r="J42" t="s">
        <v>148</v>
      </c>
      <c r="K42" t="s">
        <v>23</v>
      </c>
      <c r="L42">
        <v>925</v>
      </c>
      <c r="M42">
        <v>6.9560801999999997</v>
      </c>
      <c r="N42">
        <v>241.62182950278316</v>
      </c>
      <c r="O42">
        <v>0.23409608453939706</v>
      </c>
      <c r="P42" s="1" t="str">
        <f>HYPERLINK(".\sm_car_260613_0002\sm_car_260613_0002_041_Ca118TrN_MaWOT_DrSt_ode23t.png","figure")</f>
        <v>figure</v>
      </c>
      <c r="Q42" t="s">
        <v>15</v>
      </c>
    </row>
    <row r="43" spans="1:17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188</v>
      </c>
      <c r="H43" t="s">
        <v>21</v>
      </c>
      <c r="I43" t="s">
        <v>24</v>
      </c>
      <c r="J43" t="s">
        <v>148</v>
      </c>
      <c r="K43" t="s">
        <v>23</v>
      </c>
      <c r="L43">
        <v>1037</v>
      </c>
      <c r="M43">
        <v>7.7869029000000003</v>
      </c>
      <c r="N43">
        <v>74.336398269438448</v>
      </c>
      <c r="O43">
        <v>-0.33418513425676322</v>
      </c>
      <c r="P43" s="1" t="str">
        <f>HYPERLINK(".\sm_car_260613_0002\sm_car_260613_0002_042_Ca118TrN_MaLSS_DrSt_ode23t.png","figure")</f>
        <v>figure</v>
      </c>
      <c r="Q43" t="s">
        <v>15</v>
      </c>
    </row>
    <row r="44" spans="1:17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188</v>
      </c>
      <c r="H44" t="s">
        <v>21</v>
      </c>
      <c r="I44" t="s">
        <v>22</v>
      </c>
      <c r="J44" t="s">
        <v>148</v>
      </c>
      <c r="K44" t="s">
        <v>23</v>
      </c>
      <c r="L44">
        <v>1027</v>
      </c>
      <c r="M44">
        <v>7.5446762999999999</v>
      </c>
      <c r="N44">
        <v>241.14123936107282</v>
      </c>
      <c r="O44">
        <v>0.23011749256855932</v>
      </c>
      <c r="P44" s="1" t="str">
        <f>HYPERLINK(".\sm_car_260613_0002\sm_car_260613_0002_043_Ca119TrN_MaWOT_DrSt_ode23t.png","figure")</f>
        <v>figure</v>
      </c>
      <c r="Q44" t="s">
        <v>15</v>
      </c>
    </row>
    <row r="45" spans="1:17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188</v>
      </c>
      <c r="H45" t="s">
        <v>21</v>
      </c>
      <c r="I45" t="s">
        <v>24</v>
      </c>
      <c r="J45" t="s">
        <v>148</v>
      </c>
      <c r="K45" t="s">
        <v>23</v>
      </c>
      <c r="L45">
        <v>1131</v>
      </c>
      <c r="M45">
        <v>8.0368364999999997</v>
      </c>
      <c r="N45">
        <v>74.194121539639212</v>
      </c>
      <c r="O45">
        <v>-0.33350967422691991</v>
      </c>
      <c r="P45" s="1" t="str">
        <f>HYPERLINK(".\sm_car_260613_0002\sm_car_260613_0002_044_Ca119TrN_MaLSS_DrSt_ode23t.png","figure")</f>
        <v>figure</v>
      </c>
      <c r="Q45" t="s">
        <v>15</v>
      </c>
    </row>
    <row r="46" spans="1:17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148</v>
      </c>
      <c r="K46" t="s">
        <v>23</v>
      </c>
      <c r="L46">
        <v>305</v>
      </c>
      <c r="M46">
        <v>7.2350515</v>
      </c>
      <c r="N46">
        <v>98.905132615580698</v>
      </c>
      <c r="O46">
        <v>-1.8389809806720947E-2</v>
      </c>
      <c r="P46" s="1" t="str">
        <f>HYPERLINK(".\sm_car_260613_0002\sm_car_260613_0002_045_Ca128TrN_MaWOT_DrSt_ode23t.png","figure")</f>
        <v>figure</v>
      </c>
      <c r="Q46" t="s">
        <v>15</v>
      </c>
    </row>
    <row r="47" spans="1:17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148</v>
      </c>
      <c r="K47" t="s">
        <v>23</v>
      </c>
      <c r="L47">
        <v>445</v>
      </c>
      <c r="M47">
        <v>9.1737617</v>
      </c>
      <c r="N47">
        <v>36.70631630629979</v>
      </c>
      <c r="O47">
        <v>-0.12873562717565487</v>
      </c>
      <c r="P47" s="1" t="str">
        <f>HYPERLINK(".\sm_car_260613_0002\sm_car_260613_0002_046_Ca128TrN_MaLSS_DrSt_ode23t.png","figure")</f>
        <v>figure</v>
      </c>
      <c r="Q47" t="s">
        <v>15</v>
      </c>
    </row>
    <row r="48" spans="1:17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148</v>
      </c>
      <c r="K48" t="s">
        <v>23</v>
      </c>
      <c r="L48">
        <v>340</v>
      </c>
      <c r="M48">
        <v>7.7196284999999998</v>
      </c>
      <c r="N48">
        <v>228.49138734111415</v>
      </c>
      <c r="O48">
        <v>5.5899735783450963E-2</v>
      </c>
      <c r="P48" s="1" t="str">
        <f>HYPERLINK(".\sm_car_260613_0002\sm_car_260613_0002_047_Ca129TrN_MaWOT_DrSt_ode23t.png","figure")</f>
        <v>figure</v>
      </c>
      <c r="Q48" t="s">
        <v>15</v>
      </c>
    </row>
    <row r="49" spans="1:17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148</v>
      </c>
      <c r="K49" t="s">
        <v>23</v>
      </c>
      <c r="L49">
        <v>464</v>
      </c>
      <c r="M49">
        <v>10.254216599999999</v>
      </c>
      <c r="N49">
        <v>70.410408908651092</v>
      </c>
      <c r="O49">
        <v>-0.51729311881616591</v>
      </c>
      <c r="P49" s="1" t="str">
        <f>HYPERLINK(".\sm_car_260613_0002\sm_car_260613_0002_048_Ca129TrN_MaLSS_DrSt_ode23t.png","figure")</f>
        <v>figure</v>
      </c>
      <c r="Q49" t="s">
        <v>15</v>
      </c>
    </row>
    <row r="50" spans="1:17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148</v>
      </c>
      <c r="K50" t="s">
        <v>23</v>
      </c>
      <c r="L50">
        <v>798</v>
      </c>
      <c r="M50">
        <v>28.938871899999999</v>
      </c>
      <c r="N50">
        <v>215.49592981197338</v>
      </c>
      <c r="O50">
        <v>-1.5842523165782656</v>
      </c>
      <c r="P50" s="1" t="str">
        <f>HYPERLINK(".\sm_car_260613_0002\sm_car_260613_0002_049_Ca130TrN_MaWOT_DrSt_ode23t.png","figure")</f>
        <v>figure</v>
      </c>
      <c r="Q50" t="s">
        <v>15</v>
      </c>
    </row>
    <row r="51" spans="1:17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148</v>
      </c>
      <c r="K51" t="s">
        <v>23</v>
      </c>
      <c r="L51">
        <v>792</v>
      </c>
      <c r="M51">
        <v>26.692709900000001</v>
      </c>
      <c r="N51">
        <v>68.387924209595624</v>
      </c>
      <c r="O51">
        <v>-0.54121421832985628</v>
      </c>
      <c r="P51" s="1" t="str">
        <f>HYPERLINK(".\sm_car_260613_0002\sm_car_260613_0002_050_Ca130TrN_MaLSS_DrSt_ode23t.png","figure")</f>
        <v>figure</v>
      </c>
      <c r="Q51" t="s">
        <v>15</v>
      </c>
    </row>
    <row r="52" spans="1:17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148</v>
      </c>
      <c r="K52" t="s">
        <v>23</v>
      </c>
      <c r="L52">
        <v>356</v>
      </c>
      <c r="M52">
        <v>5.6496728000000003</v>
      </c>
      <c r="N52">
        <v>229.11905441886239</v>
      </c>
      <c r="O52">
        <v>-4.7816246526490795E-2</v>
      </c>
      <c r="P52" s="1" t="str">
        <f>HYPERLINK(".\sm_car_260613_0002\sm_car_260613_0002_051_Ca131TrN_MaWOT_DrSt_ode23t.png","figure")</f>
        <v>figure</v>
      </c>
      <c r="Q52" t="s">
        <v>15</v>
      </c>
    </row>
    <row r="53" spans="1:17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148</v>
      </c>
      <c r="K53" t="s">
        <v>23</v>
      </c>
      <c r="L53">
        <v>505</v>
      </c>
      <c r="M53">
        <v>7.1476324</v>
      </c>
      <c r="N53">
        <v>70.60222016311036</v>
      </c>
      <c r="O53">
        <v>-0.53455392269452051</v>
      </c>
      <c r="P53" s="1" t="str">
        <f>HYPERLINK(".\sm_car_260613_0002\sm_car_260613_0002_052_Ca131TrN_MaLSS_DrSt_ode23t.png","figure")</f>
        <v>figure</v>
      </c>
      <c r="Q53" t="s">
        <v>15</v>
      </c>
    </row>
    <row r="54" spans="1:17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148</v>
      </c>
      <c r="K54" t="s">
        <v>23</v>
      </c>
      <c r="L54">
        <v>339</v>
      </c>
      <c r="M54">
        <v>5.4847447999999996</v>
      </c>
      <c r="N54">
        <v>229.25337281647057</v>
      </c>
      <c r="O54">
        <v>-8.6633399065435494E-3</v>
      </c>
      <c r="P54" s="1" t="str">
        <f>HYPERLINK(".\sm_car_260613_0002\sm_car_260613_0002_053_Ca132TrN_MaWOT_DrSt_ode23t.png","figure")</f>
        <v>figure</v>
      </c>
      <c r="Q54" t="s">
        <v>15</v>
      </c>
    </row>
    <row r="55" spans="1:17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148</v>
      </c>
      <c r="K55" t="s">
        <v>23</v>
      </c>
      <c r="L55">
        <v>488</v>
      </c>
      <c r="M55">
        <v>6.9882879000000004</v>
      </c>
      <c r="N55">
        <v>70.62044035761177</v>
      </c>
      <c r="O55">
        <v>-0.52723975122945566</v>
      </c>
      <c r="P55" s="1" t="str">
        <f>HYPERLINK(".\sm_car_260613_0002\sm_car_260613_0002_054_Ca132TrN_MaLSS_DrSt_ode23t.png","figure")</f>
        <v>figure</v>
      </c>
      <c r="Q55" t="s">
        <v>15</v>
      </c>
    </row>
    <row r="56" spans="1:17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148</v>
      </c>
      <c r="K56" t="s">
        <v>23</v>
      </c>
      <c r="L56">
        <v>345</v>
      </c>
      <c r="M56">
        <v>5.6427852999999999</v>
      </c>
      <c r="N56">
        <v>229.14869085949624</v>
      </c>
      <c r="O56">
        <v>-1.7578090973460955E-2</v>
      </c>
      <c r="P56" s="1" t="str">
        <f>HYPERLINK(".\sm_car_260613_0002\sm_car_260613_0002_055_Ca133TrN_MaWOT_DrSt_ode23t.png","figure")</f>
        <v>figure</v>
      </c>
      <c r="Q56" t="s">
        <v>15</v>
      </c>
    </row>
    <row r="57" spans="1:17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148</v>
      </c>
      <c r="K57" t="s">
        <v>23</v>
      </c>
      <c r="L57">
        <v>502</v>
      </c>
      <c r="M57">
        <v>7.0635076000000003</v>
      </c>
      <c r="N57">
        <v>70.609447291143297</v>
      </c>
      <c r="O57">
        <v>-0.52903538561802355</v>
      </c>
      <c r="P57" s="1" t="str">
        <f>HYPERLINK(".\sm_car_260613_0002\sm_car_260613_0002_056_Ca133TrN_MaLSS_DrSt_ode23t.png","figure")</f>
        <v>figure</v>
      </c>
      <c r="Q57" t="s">
        <v>15</v>
      </c>
    </row>
    <row r="58" spans="1:17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148</v>
      </c>
      <c r="K58" t="s">
        <v>23</v>
      </c>
      <c r="L58">
        <v>349</v>
      </c>
      <c r="M58">
        <v>6.0377346999999997</v>
      </c>
      <c r="N58">
        <v>229.05819025984169</v>
      </c>
      <c r="O58">
        <v>-1.5801782669782983E-2</v>
      </c>
      <c r="P58" s="1" t="str">
        <f>HYPERLINK(".\sm_car_260613_0002\sm_car_260613_0002_057_Ca134TrN_MaWOT_DrSt_ode23t.png","figure")</f>
        <v>figure</v>
      </c>
      <c r="Q58" t="s">
        <v>15</v>
      </c>
    </row>
    <row r="59" spans="1:17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148</v>
      </c>
      <c r="K59" t="s">
        <v>23</v>
      </c>
      <c r="L59">
        <v>495</v>
      </c>
      <c r="M59">
        <v>7.2101148999999998</v>
      </c>
      <c r="N59">
        <v>70.607940933891314</v>
      </c>
      <c r="O59">
        <v>-0.526079742338319</v>
      </c>
      <c r="P59" s="1" t="str">
        <f>HYPERLINK(".\sm_car_260613_0002\sm_car_260613_0002_058_Ca134TrN_MaLSS_DrSt_ode23t.png","figure")</f>
        <v>figure</v>
      </c>
      <c r="Q59" t="s">
        <v>15</v>
      </c>
    </row>
    <row r="60" spans="1:17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148</v>
      </c>
      <c r="K60" t="s">
        <v>23</v>
      </c>
      <c r="L60">
        <v>348</v>
      </c>
      <c r="M60">
        <v>6.1097326000000001</v>
      </c>
      <c r="N60">
        <v>229.14676108388736</v>
      </c>
      <c r="O60">
        <v>-1.6075947080496096E-2</v>
      </c>
      <c r="P60" s="1" t="str">
        <f>HYPERLINK(".\sm_car_260613_0002\sm_car_260613_0002_059_Ca135TrN_MaWOT_DrSt_ode23t.png","figure")</f>
        <v>figure</v>
      </c>
      <c r="Q60" t="s">
        <v>15</v>
      </c>
    </row>
    <row r="61" spans="1:17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148</v>
      </c>
      <c r="K61" t="s">
        <v>23</v>
      </c>
      <c r="L61">
        <v>478</v>
      </c>
      <c r="M61">
        <v>6.9995077999999999</v>
      </c>
      <c r="N61">
        <v>70.601102122400349</v>
      </c>
      <c r="O61">
        <v>-0.53047340103390839</v>
      </c>
      <c r="P61" s="1" t="str">
        <f>HYPERLINK(".\sm_car_260613_0002\sm_car_260613_0002_060_Ca135TrN_MaLSS_DrSt_ode23t.png","figure")</f>
        <v>figure</v>
      </c>
      <c r="Q61" t="s">
        <v>15</v>
      </c>
    </row>
    <row r="62" spans="1:17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148</v>
      </c>
      <c r="K62" t="s">
        <v>23</v>
      </c>
      <c r="L62">
        <v>391</v>
      </c>
      <c r="M62">
        <v>6.8603060999999999</v>
      </c>
      <c r="N62">
        <v>229.17963939580071</v>
      </c>
      <c r="O62">
        <v>4.9066083340325008E-2</v>
      </c>
      <c r="P62" s="1" t="str">
        <f>HYPERLINK(".\sm_car_260613_0002\sm_car_260613_0002_061_Ca136TrN_MaWOT_DrSt_ode23t.png","figure")</f>
        <v>figure</v>
      </c>
      <c r="Q62" t="s">
        <v>15</v>
      </c>
    </row>
    <row r="63" spans="1:17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148</v>
      </c>
      <c r="K63" t="s">
        <v>23</v>
      </c>
      <c r="L63">
        <v>503</v>
      </c>
      <c r="M63">
        <v>9.0100277999999996</v>
      </c>
      <c r="N63">
        <v>70.609264913113648</v>
      </c>
      <c r="O63">
        <v>-0.52394393501213488</v>
      </c>
      <c r="P63" s="1" t="str">
        <f>HYPERLINK(".\sm_car_260613_0002\sm_car_260613_0002_062_Ca136TrN_MaLSS_DrSt_ode23t.png","figure")</f>
        <v>figure</v>
      </c>
      <c r="Q63" t="s">
        <v>15</v>
      </c>
    </row>
    <row r="64" spans="1:17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148</v>
      </c>
      <c r="K64" t="s">
        <v>23</v>
      </c>
      <c r="L64">
        <v>330</v>
      </c>
      <c r="M64">
        <v>4.7485549999999996</v>
      </c>
      <c r="N64">
        <v>229.94797420659091</v>
      </c>
      <c r="O64">
        <v>0.13777795377562196</v>
      </c>
      <c r="P64" s="1" t="str">
        <f>HYPERLINK(".\sm_car_260613_0002\sm_car_260613_0002_063_Ca137TrN_MaWOT_DrSt_ode23t.png","figure")</f>
        <v>figure</v>
      </c>
      <c r="Q64" t="s">
        <v>15</v>
      </c>
    </row>
    <row r="65" spans="1:17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148</v>
      </c>
      <c r="K65" t="s">
        <v>23</v>
      </c>
      <c r="L65">
        <v>474</v>
      </c>
      <c r="M65">
        <v>5.7442092999999996</v>
      </c>
      <c r="N65">
        <v>70.870244846970778</v>
      </c>
      <c r="O65">
        <v>-0.5047364521263743</v>
      </c>
      <c r="P65" s="1" t="str">
        <f>HYPERLINK(".\sm_car_260613_0002\sm_car_260613_0002_064_Ca137TrN_MaLSS_DrSt_ode23t.png","figure")</f>
        <v>figure</v>
      </c>
      <c r="Q65" t="s">
        <v>15</v>
      </c>
    </row>
    <row r="66" spans="1:17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148</v>
      </c>
      <c r="K66" t="s">
        <v>23</v>
      </c>
      <c r="L66">
        <v>332</v>
      </c>
      <c r="M66">
        <v>7.3223504000000004</v>
      </c>
      <c r="N66">
        <v>230.05876567133805</v>
      </c>
      <c r="O66">
        <v>0.14738864367911098</v>
      </c>
      <c r="P66" s="1" t="str">
        <f>HYPERLINK(".\sm_car_260613_0002\sm_car_260613_0002_065_Ca138TrN_MaWOT_DrSt_ode23t.png","figure")</f>
        <v>figure</v>
      </c>
      <c r="Q66" t="s">
        <v>15</v>
      </c>
    </row>
    <row r="67" spans="1:17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148</v>
      </c>
      <c r="K67" t="s">
        <v>23</v>
      </c>
      <c r="L67">
        <v>480</v>
      </c>
      <c r="M67">
        <v>8.2952849999999998</v>
      </c>
      <c r="N67">
        <v>70.767388403341698</v>
      </c>
      <c r="O67">
        <v>-0.81576892462230555</v>
      </c>
      <c r="P67" s="1" t="str">
        <f>HYPERLINK(".\sm_car_260613_0002\sm_car_260613_0002_066_Ca138TrN_MaLSS_DrSt_ode23t.png","figure")</f>
        <v>figure</v>
      </c>
      <c r="Q67" t="s">
        <v>15</v>
      </c>
    </row>
    <row r="68" spans="1:17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148</v>
      </c>
      <c r="K68" t="s">
        <v>23</v>
      </c>
      <c r="L68">
        <v>648</v>
      </c>
      <c r="M68">
        <v>34.5222008</v>
      </c>
      <c r="N68">
        <v>402.21653160390974</v>
      </c>
      <c r="O68">
        <v>1.8377187216160997</v>
      </c>
      <c r="P68" s="1" t="str">
        <f>HYPERLINK(".\sm_car_260613_0002\sm_car_260613_0002_067_Ca139TrN_MaWOT_DrSt_ode23t.png","figure")</f>
        <v>figure</v>
      </c>
      <c r="Q68" t="s">
        <v>15</v>
      </c>
    </row>
    <row r="69" spans="1:17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148</v>
      </c>
      <c r="K69" t="s">
        <v>23</v>
      </c>
      <c r="L69">
        <v>658</v>
      </c>
      <c r="M69">
        <v>23.359905099999999</v>
      </c>
      <c r="N69">
        <v>153.02596754046718</v>
      </c>
      <c r="O69">
        <v>-0.56806201722586691</v>
      </c>
      <c r="P69" s="1" t="str">
        <f>HYPERLINK(".\sm_car_260613_0002\sm_car_260613_0002_068_Ca139TrN_MaLSS_DrSt_ode23t.png","figure")</f>
        <v>figure</v>
      </c>
      <c r="Q69" t="s">
        <v>15</v>
      </c>
    </row>
    <row r="70" spans="1:17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148</v>
      </c>
      <c r="K70" t="s">
        <v>23</v>
      </c>
      <c r="L70">
        <v>1893</v>
      </c>
      <c r="M70">
        <v>41.094772399999997</v>
      </c>
      <c r="N70">
        <v>402.2808484513186</v>
      </c>
      <c r="O70">
        <v>1.7015828578754275</v>
      </c>
      <c r="P70" s="1" t="str">
        <f>HYPERLINK(".\sm_car_260613_0002\sm_car_260613_0002_069_Ca141TrN_MaWOT_DrSt_ode23t.png","figure")</f>
        <v>figure</v>
      </c>
      <c r="Q70" t="s">
        <v>15</v>
      </c>
    </row>
    <row r="71" spans="1:17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148</v>
      </c>
      <c r="K71" t="s">
        <v>23</v>
      </c>
      <c r="L71">
        <v>1840</v>
      </c>
      <c r="M71">
        <v>29.545249099999999</v>
      </c>
      <c r="N71">
        <v>153.10318885373826</v>
      </c>
      <c r="O71">
        <v>-0.57022301653120655</v>
      </c>
      <c r="P71" s="1" t="str">
        <f>HYPERLINK(".\sm_car_260613_0002\sm_car_260613_0002_070_Ca141TrN_MaLSS_DrSt_ode23t.png","figure")</f>
        <v>figure</v>
      </c>
      <c r="Q71" t="s">
        <v>15</v>
      </c>
    </row>
    <row r="72" spans="1:17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148</v>
      </c>
      <c r="K72" t="s">
        <v>23</v>
      </c>
      <c r="L72">
        <v>339</v>
      </c>
      <c r="M72">
        <v>18.372844400000002</v>
      </c>
      <c r="N72">
        <v>62.429228728995554</v>
      </c>
      <c r="O72">
        <v>2.0360010244354493E-2</v>
      </c>
      <c r="P72" s="1" t="str">
        <f>HYPERLINK(".\sm_car_260613_0002\sm_car_260613_0002_071_Ca143TrN_MaWOT_DrSt_ode23t.png","figure")</f>
        <v>figure</v>
      </c>
      <c r="Q72" t="s">
        <v>15</v>
      </c>
    </row>
    <row r="73" spans="1:17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148</v>
      </c>
      <c r="K73" t="s">
        <v>23</v>
      </c>
      <c r="L73">
        <v>455</v>
      </c>
      <c r="M73">
        <v>19.385283099999999</v>
      </c>
      <c r="N73">
        <v>24.932453038047335</v>
      </c>
      <c r="O73">
        <v>-5.2412360246060913E-2</v>
      </c>
      <c r="P73" s="1" t="str">
        <f>HYPERLINK(".\sm_car_260613_0002\sm_car_260613_0002_072_Ca143TrN_MaLSS_DrSt_ode23t.png","figure")</f>
        <v>figure</v>
      </c>
      <c r="Q73" t="s">
        <v>15</v>
      </c>
    </row>
    <row r="74" spans="1:17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148</v>
      </c>
      <c r="K74" t="s">
        <v>23</v>
      </c>
      <c r="L74">
        <v>333</v>
      </c>
      <c r="M74">
        <v>12.1072712</v>
      </c>
      <c r="N74">
        <v>76.994184260676107</v>
      </c>
      <c r="O74">
        <v>0.24481820331855314</v>
      </c>
      <c r="P74" s="1" t="str">
        <f>HYPERLINK(".\sm_car_260613_0002\sm_car_260613_0002_073_Ca144TrN_MaWOT_DrSt_ode23t.png","figure")</f>
        <v>figure</v>
      </c>
      <c r="Q74" t="s">
        <v>15</v>
      </c>
    </row>
    <row r="75" spans="1:17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148</v>
      </c>
      <c r="K75" t="s">
        <v>23</v>
      </c>
      <c r="L75">
        <v>466</v>
      </c>
      <c r="M75">
        <v>14.6242068</v>
      </c>
      <c r="N75">
        <v>35.47184757229526</v>
      </c>
      <c r="O75">
        <v>-3.1656986960444493E-2</v>
      </c>
      <c r="P75" s="1" t="str">
        <f>HYPERLINK(".\sm_car_260613_0002\sm_car_260613_0002_074_Ca144TrN_MaLSS_DrSt_ode23t.png","figure")</f>
        <v>figure</v>
      </c>
      <c r="Q75" t="s">
        <v>15</v>
      </c>
    </row>
    <row r="76" spans="1:17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148</v>
      </c>
      <c r="K76" t="s">
        <v>23</v>
      </c>
      <c r="L76">
        <v>2413</v>
      </c>
      <c r="M76">
        <v>32.5375412</v>
      </c>
      <c r="N76">
        <v>396.65916909498793</v>
      </c>
      <c r="O76">
        <v>-14.181918288066388</v>
      </c>
      <c r="P76" s="1" t="str">
        <f>HYPERLINK(".\sm_car_260613_0002\sm_car_260613_0002_075_Ca147TrN_MaWOT_DrSt_ode23t.png","figure")</f>
        <v>figure</v>
      </c>
      <c r="Q76" t="s">
        <v>15</v>
      </c>
    </row>
    <row r="77" spans="1:17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148</v>
      </c>
      <c r="K77" t="s">
        <v>23</v>
      </c>
      <c r="L77">
        <v>1294</v>
      </c>
      <c r="M77">
        <v>22.961129100000001</v>
      </c>
      <c r="N77">
        <v>150.42667435708194</v>
      </c>
      <c r="O77">
        <v>-2.1884972565529126</v>
      </c>
      <c r="P77" s="1" t="str">
        <f>HYPERLINK(".\sm_car_260613_0002\sm_car_260613_0002_076_Ca147TrN_MaLSS_DrSt_ode23t.png","figure")</f>
        <v>figure</v>
      </c>
      <c r="Q77" t="s">
        <v>15</v>
      </c>
    </row>
    <row r="78" spans="1:17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148</v>
      </c>
      <c r="K78" t="s">
        <v>23</v>
      </c>
      <c r="L78">
        <v>268</v>
      </c>
      <c r="M78">
        <v>7.7078663000000001</v>
      </c>
      <c r="N78">
        <v>135.64635108456901</v>
      </c>
      <c r="O78">
        <v>1.734073910455962E-3</v>
      </c>
      <c r="P78" s="1" t="str">
        <f>HYPERLINK(".\sm_car_260613_0002\sm_car_260613_0002_077_Ca215TrN_MaWOT_DrSt_ode23t.png","figure")</f>
        <v>figure</v>
      </c>
      <c r="Q78" t="s">
        <v>15</v>
      </c>
    </row>
    <row r="79" spans="1:17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148</v>
      </c>
      <c r="K79" t="s">
        <v>23</v>
      </c>
      <c r="L79">
        <v>424</v>
      </c>
      <c r="M79">
        <v>9.9082068000000003</v>
      </c>
      <c r="N79">
        <v>50.384969697075952</v>
      </c>
      <c r="O79">
        <v>-0.1145654662065273</v>
      </c>
      <c r="P79" s="1" t="str">
        <f>HYPERLINK(".\sm_car_260613_0002\sm_car_260613_0002_078_Ca215TrN_MaLSS_DrSt_ode23t.png","figure")</f>
        <v>figure</v>
      </c>
      <c r="Q79" t="s">
        <v>15</v>
      </c>
    </row>
    <row r="80" spans="1:17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188</v>
      </c>
      <c r="H80" t="s">
        <v>21</v>
      </c>
      <c r="I80" t="s">
        <v>22</v>
      </c>
      <c r="J80" t="s">
        <v>148</v>
      </c>
      <c r="K80" t="s">
        <v>23</v>
      </c>
      <c r="L80">
        <v>351</v>
      </c>
      <c r="M80">
        <v>5.6735395000000004</v>
      </c>
      <c r="N80">
        <v>229.74498702627719</v>
      </c>
      <c r="O80">
        <v>0.17073094729661317</v>
      </c>
      <c r="P80" s="1" t="str">
        <f>HYPERLINK(".\sm_car_260613_0002\sm_car_260613_0002_079_Ca218TrN_MaWOT_DrSt_ode23t.png","figure")</f>
        <v>figure</v>
      </c>
      <c r="Q80" t="s">
        <v>15</v>
      </c>
    </row>
    <row r="81" spans="1:17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188</v>
      </c>
      <c r="H81" t="s">
        <v>21</v>
      </c>
      <c r="I81" t="s">
        <v>24</v>
      </c>
      <c r="J81" t="s">
        <v>148</v>
      </c>
      <c r="K81" t="s">
        <v>23</v>
      </c>
      <c r="L81">
        <v>498</v>
      </c>
      <c r="M81">
        <v>7.4182138000000002</v>
      </c>
      <c r="N81">
        <v>70.783538509552258</v>
      </c>
      <c r="O81">
        <v>-0.53140827757455522</v>
      </c>
      <c r="P81" s="1" t="str">
        <f>HYPERLINK(".\sm_car_260613_0002\sm_car_260613_0002_080_Ca218TrN_MaLSS_DrSt_ode23t.png","figure")</f>
        <v>figure</v>
      </c>
      <c r="Q81" t="s">
        <v>15</v>
      </c>
    </row>
    <row r="82" spans="1:17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188</v>
      </c>
      <c r="H82" t="s">
        <v>21</v>
      </c>
      <c r="I82" t="s">
        <v>22</v>
      </c>
      <c r="J82" t="s">
        <v>148</v>
      </c>
      <c r="K82" t="s">
        <v>23</v>
      </c>
      <c r="L82">
        <v>390</v>
      </c>
      <c r="M82">
        <v>8.6028514999999999</v>
      </c>
      <c r="N82">
        <v>228.883369845462</v>
      </c>
      <c r="O82">
        <v>0.17055872515439321</v>
      </c>
      <c r="P82" s="1" t="str">
        <f>HYPERLINK(".\sm_car_260613_0002\sm_car_260613_0002_081_Ca219TrN_MaWOT_DrSt_ode23t.png","figure")</f>
        <v>figure</v>
      </c>
      <c r="Q82" t="s">
        <v>15</v>
      </c>
    </row>
    <row r="83" spans="1:17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188</v>
      </c>
      <c r="H83" t="s">
        <v>21</v>
      </c>
      <c r="I83" t="s">
        <v>24</v>
      </c>
      <c r="J83" t="s">
        <v>148</v>
      </c>
      <c r="K83" t="s">
        <v>23</v>
      </c>
      <c r="L83">
        <v>523</v>
      </c>
      <c r="M83">
        <v>10.766128500000001</v>
      </c>
      <c r="N83">
        <v>70.605155295623987</v>
      </c>
      <c r="O83">
        <v>-0.55662754192891428</v>
      </c>
      <c r="P83" s="1" t="str">
        <f>HYPERLINK(".\sm_car_260613_0002\sm_car_260613_0002_082_Ca219TrN_MaLSS_DrSt_ode23t.png","figure")</f>
        <v>figure</v>
      </c>
      <c r="Q83" t="s">
        <v>15</v>
      </c>
    </row>
    <row r="84" spans="1:17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188</v>
      </c>
      <c r="H84" t="s">
        <v>21</v>
      </c>
      <c r="I84" t="s">
        <v>22</v>
      </c>
      <c r="J84" t="s">
        <v>148</v>
      </c>
      <c r="K84" t="s">
        <v>23</v>
      </c>
      <c r="L84">
        <v>912</v>
      </c>
      <c r="M84">
        <v>48.479371499999999</v>
      </c>
      <c r="N84">
        <v>223.43379885657546</v>
      </c>
      <c r="O84">
        <v>-1.1974108895548197</v>
      </c>
      <c r="P84" s="1" t="str">
        <f>HYPERLINK(".\sm_car_260613_0002\sm_car_260613_0002_083_Ca220TrN_MaWOT_DrSt_ode23t.png","figure")</f>
        <v>figure</v>
      </c>
      <c r="Q84" t="s">
        <v>15</v>
      </c>
    </row>
    <row r="85" spans="1:17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188</v>
      </c>
      <c r="H85" t="s">
        <v>21</v>
      </c>
      <c r="I85" t="s">
        <v>24</v>
      </c>
      <c r="J85" t="s">
        <v>148</v>
      </c>
      <c r="K85" t="s">
        <v>23</v>
      </c>
      <c r="L85">
        <v>1078</v>
      </c>
      <c r="M85">
        <v>59.072358299999998</v>
      </c>
      <c r="N85">
        <v>69.32783050671263</v>
      </c>
      <c r="O85">
        <v>-1.497739295946485</v>
      </c>
      <c r="P85" s="1" t="str">
        <f>HYPERLINK(".\sm_car_260613_0002\sm_car_260613_0002_084_Ca220TrN_MaLSS_DrSt_ode23t.png","figure")</f>
        <v>figure</v>
      </c>
      <c r="Q85" t="s">
        <v>15</v>
      </c>
    </row>
    <row r="86" spans="1:17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148</v>
      </c>
      <c r="K86" t="s">
        <v>23</v>
      </c>
      <c r="L86">
        <v>460</v>
      </c>
      <c r="M86">
        <v>9.4280846</v>
      </c>
      <c r="N86">
        <v>293.79411245454202</v>
      </c>
      <c r="O86">
        <v>-5.1846489817811072E-5</v>
      </c>
      <c r="P86" s="1" t="str">
        <f>HYPERLINK(".\sm_car_260613_0002\sm_car_260613_0002_085_Ca223TrN_MaWOT_DrSt_ode23t.png","figure")</f>
        <v>figure</v>
      </c>
      <c r="Q86" t="s">
        <v>15</v>
      </c>
    </row>
    <row r="87" spans="1:17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148</v>
      </c>
      <c r="K87" t="s">
        <v>23</v>
      </c>
      <c r="L87">
        <v>634</v>
      </c>
      <c r="M87">
        <v>9.2420021999999999</v>
      </c>
      <c r="N87">
        <v>103.81976274715086</v>
      </c>
      <c r="O87">
        <v>-0.14055131333798809</v>
      </c>
      <c r="P87" s="1" t="str">
        <f>HYPERLINK(".\sm_car_260613_0002\sm_car_260613_0002_086_Ca223TrN_MaLSS_DrSt_ode23t.png","figure")</f>
        <v>figure</v>
      </c>
      <c r="Q87" t="s">
        <v>15</v>
      </c>
    </row>
    <row r="88" spans="1:17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148</v>
      </c>
      <c r="K88" t="s">
        <v>23</v>
      </c>
      <c r="L88">
        <v>735</v>
      </c>
      <c r="M88">
        <v>27.8243455</v>
      </c>
      <c r="N88">
        <v>405.66767314222051</v>
      </c>
      <c r="O88">
        <v>-12.173042108292648</v>
      </c>
      <c r="P88" s="1" t="str">
        <f>HYPERLINK(".\sm_car_260613_0002\sm_car_260613_0002_087_Ca227TrN_MaWOT_DrSt_ode23t.png","figure")</f>
        <v>figure</v>
      </c>
      <c r="Q88" t="s">
        <v>15</v>
      </c>
    </row>
    <row r="89" spans="1:17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148</v>
      </c>
      <c r="K89" t="s">
        <v>23</v>
      </c>
      <c r="L89">
        <v>725</v>
      </c>
      <c r="M89">
        <v>18.215851099999998</v>
      </c>
      <c r="N89">
        <v>154.52735813549413</v>
      </c>
      <c r="O89">
        <v>-2.8457631205867453</v>
      </c>
      <c r="P89" s="1" t="str">
        <f>HYPERLINK(".\sm_car_260613_0002\sm_car_260613_0002_088_Ca227TrN_MaLSS_DrSt_ode23t.png","figure")</f>
        <v>figure</v>
      </c>
      <c r="Q89" t="s">
        <v>15</v>
      </c>
    </row>
    <row r="90" spans="1:17" x14ac:dyDescent="0.25">
      <c r="A90">
        <v>89</v>
      </c>
      <c r="B90">
        <v>237</v>
      </c>
      <c r="C90" t="s">
        <v>45</v>
      </c>
      <c r="D90" t="s">
        <v>17</v>
      </c>
      <c r="E90" t="s">
        <v>107</v>
      </c>
      <c r="F90" t="s">
        <v>19</v>
      </c>
      <c r="G90" t="s">
        <v>191</v>
      </c>
      <c r="H90" t="s">
        <v>21</v>
      </c>
      <c r="I90" t="s">
        <v>22</v>
      </c>
      <c r="J90" t="s">
        <v>148</v>
      </c>
      <c r="K90" t="s">
        <v>23</v>
      </c>
      <c r="L90">
        <v>638</v>
      </c>
      <c r="M90">
        <v>58.532641900000002</v>
      </c>
      <c r="N90">
        <v>402.53872471435466</v>
      </c>
      <c r="O90">
        <v>1.5437255274215937</v>
      </c>
      <c r="P90" s="1" t="str">
        <f>HYPERLINK(".\sm_car_260613_0002\sm_car_260613_0002_089_Ca237TrN_MaWOT_DrSt_ode23t.png","figure")</f>
        <v>figure</v>
      </c>
      <c r="Q90" t="s">
        <v>15</v>
      </c>
    </row>
    <row r="91" spans="1:17" x14ac:dyDescent="0.25">
      <c r="A91">
        <v>90</v>
      </c>
      <c r="B91">
        <v>237</v>
      </c>
      <c r="C91" t="s">
        <v>45</v>
      </c>
      <c r="D91" t="s">
        <v>17</v>
      </c>
      <c r="E91" t="s">
        <v>107</v>
      </c>
      <c r="F91" t="s">
        <v>19</v>
      </c>
      <c r="G91" t="s">
        <v>191</v>
      </c>
      <c r="H91" t="s">
        <v>21</v>
      </c>
      <c r="I91" t="s">
        <v>24</v>
      </c>
      <c r="J91" t="s">
        <v>148</v>
      </c>
      <c r="K91" t="s">
        <v>23</v>
      </c>
      <c r="L91">
        <v>638</v>
      </c>
      <c r="M91">
        <v>37.316305700000001</v>
      </c>
      <c r="N91">
        <v>153.53781122891871</v>
      </c>
      <c r="O91">
        <v>-0.35066709220778491</v>
      </c>
      <c r="P91" s="1" t="str">
        <f>HYPERLINK(".\sm_car_260613_0002\sm_car_260613_0002_090_Ca237TrN_MaLSS_DrSt_ode23t.png","figure")</f>
        <v>figure</v>
      </c>
      <c r="Q91" t="s">
        <v>15</v>
      </c>
    </row>
    <row r="92" spans="1:17" x14ac:dyDescent="0.25">
      <c r="A92">
        <v>91</v>
      </c>
      <c r="B92">
        <v>238</v>
      </c>
      <c r="C92" t="s">
        <v>45</v>
      </c>
      <c r="D92" t="s">
        <v>17</v>
      </c>
      <c r="E92" t="s">
        <v>107</v>
      </c>
      <c r="F92" t="s">
        <v>19</v>
      </c>
      <c r="G92" t="s">
        <v>192</v>
      </c>
      <c r="H92" t="s">
        <v>21</v>
      </c>
      <c r="I92" t="s">
        <v>22</v>
      </c>
      <c r="J92" t="s">
        <v>148</v>
      </c>
      <c r="K92" t="s">
        <v>23</v>
      </c>
      <c r="L92">
        <v>746</v>
      </c>
      <c r="M92">
        <v>75.369955200000007</v>
      </c>
      <c r="N92">
        <v>402.51493321519757</v>
      </c>
      <c r="O92">
        <v>1.6409457243071328</v>
      </c>
      <c r="P92" s="1" t="str">
        <f>HYPERLINK(".\sm_car_260613_0002\sm_car_260613_0002_091_Ca238TrN_MaWOT_DrSt_ode23t.png","figure")</f>
        <v>figure</v>
      </c>
      <c r="Q92" t="s">
        <v>15</v>
      </c>
    </row>
    <row r="93" spans="1:17" x14ac:dyDescent="0.25">
      <c r="A93">
        <v>92</v>
      </c>
      <c r="B93">
        <v>238</v>
      </c>
      <c r="C93" t="s">
        <v>45</v>
      </c>
      <c r="D93" t="s">
        <v>17</v>
      </c>
      <c r="E93" t="s">
        <v>107</v>
      </c>
      <c r="F93" t="s">
        <v>19</v>
      </c>
      <c r="G93" t="s">
        <v>192</v>
      </c>
      <c r="H93" t="s">
        <v>21</v>
      </c>
      <c r="I93" t="s">
        <v>24</v>
      </c>
      <c r="J93" t="s">
        <v>148</v>
      </c>
      <c r="K93" t="s">
        <v>23</v>
      </c>
      <c r="L93">
        <v>691</v>
      </c>
      <c r="M93">
        <v>45.859607799999999</v>
      </c>
      <c r="N93">
        <v>153.44359394468142</v>
      </c>
      <c r="O93">
        <v>-0.34880226698314043</v>
      </c>
      <c r="P93" s="1" t="str">
        <f>HYPERLINK(".\sm_car_260613_0002\sm_car_260613_0002_092_Ca238TrN_MaLSS_DrSt_ode23t.png","figure")</f>
        <v>figure</v>
      </c>
      <c r="Q93" t="s">
        <v>15</v>
      </c>
    </row>
    <row r="94" spans="1:17" x14ac:dyDescent="0.25">
      <c r="A94">
        <v>93</v>
      </c>
      <c r="B94">
        <v>217</v>
      </c>
      <c r="C94" t="s">
        <v>45</v>
      </c>
      <c r="D94" t="s">
        <v>17</v>
      </c>
      <c r="E94" t="s">
        <v>107</v>
      </c>
      <c r="F94" t="s">
        <v>119</v>
      </c>
      <c r="G94" t="s">
        <v>26</v>
      </c>
      <c r="H94" t="s">
        <v>21</v>
      </c>
      <c r="I94" t="s">
        <v>22</v>
      </c>
      <c r="J94" t="s">
        <v>148</v>
      </c>
      <c r="K94" t="s">
        <v>23</v>
      </c>
      <c r="L94">
        <v>700</v>
      </c>
      <c r="M94">
        <v>36.525801899999998</v>
      </c>
      <c r="N94">
        <v>165.32909919008193</v>
      </c>
      <c r="O94">
        <v>0.26595782899636206</v>
      </c>
      <c r="P94" s="1" t="str">
        <f>HYPERLINK(".\sm_car_260613_0002\sm_car_260613_0002_093_Ca217TrN_MaWOT_DrSt_ode23t_1.png","figure")</f>
        <v>figure</v>
      </c>
      <c r="Q94" t="s">
        <v>15</v>
      </c>
    </row>
    <row r="95" spans="1:17" x14ac:dyDescent="0.25">
      <c r="A95">
        <v>94</v>
      </c>
      <c r="B95">
        <v>217</v>
      </c>
      <c r="C95" t="s">
        <v>45</v>
      </c>
      <c r="D95" t="s">
        <v>17</v>
      </c>
      <c r="E95" t="s">
        <v>107</v>
      </c>
      <c r="F95" t="s">
        <v>119</v>
      </c>
      <c r="G95" t="s">
        <v>26</v>
      </c>
      <c r="H95" t="s">
        <v>21</v>
      </c>
      <c r="I95" t="s">
        <v>24</v>
      </c>
      <c r="J95" t="s">
        <v>148</v>
      </c>
      <c r="K95" t="s">
        <v>23</v>
      </c>
      <c r="L95">
        <v>822</v>
      </c>
      <c r="M95">
        <v>46.689129299999998</v>
      </c>
      <c r="N95">
        <v>69.531316392821338</v>
      </c>
      <c r="O95">
        <v>-0.18142050993403994</v>
      </c>
      <c r="P95" s="1" t="str">
        <f>HYPERLINK(".\sm_car_260613_0002\sm_car_260613_0002_094_Ca217TrN_MaLSS_DrSt_ode23t_1.png","figure")</f>
        <v>figure</v>
      </c>
      <c r="Q95" t="s">
        <v>15</v>
      </c>
    </row>
    <row r="96" spans="1:17" x14ac:dyDescent="0.25">
      <c r="A96">
        <v>95</v>
      </c>
      <c r="B96">
        <v>12</v>
      </c>
      <c r="C96" t="s">
        <v>16</v>
      </c>
      <c r="D96" t="s">
        <v>17</v>
      </c>
      <c r="E96" t="s">
        <v>49</v>
      </c>
      <c r="F96" t="s">
        <v>28</v>
      </c>
      <c r="G96" t="s">
        <v>188</v>
      </c>
      <c r="H96" t="s">
        <v>21</v>
      </c>
      <c r="I96" t="s">
        <v>53</v>
      </c>
      <c r="J96" t="s">
        <v>148</v>
      </c>
      <c r="K96" t="s">
        <v>23</v>
      </c>
      <c r="L96">
        <v>859</v>
      </c>
      <c r="M96">
        <v>13.4719826</v>
      </c>
      <c r="N96">
        <v>255.38978732848261</v>
      </c>
      <c r="O96">
        <v>4.0241209167115599E-2</v>
      </c>
      <c r="P96" s="1" t="str">
        <f>HYPERLINK(".\sm_car_260613_0002\sm_car_260613_0002_095_Ca012TrN_MaDLC_DrSt_ode23t_1.png","figure")</f>
        <v>figure</v>
      </c>
      <c r="Q96" t="s">
        <v>15</v>
      </c>
    </row>
    <row r="97" spans="1:17" x14ac:dyDescent="0.25">
      <c r="A97">
        <v>96</v>
      </c>
      <c r="B97">
        <v>12</v>
      </c>
      <c r="C97" t="s">
        <v>16</v>
      </c>
      <c r="D97" t="s">
        <v>17</v>
      </c>
      <c r="E97" t="s">
        <v>49</v>
      </c>
      <c r="F97" t="s">
        <v>28</v>
      </c>
      <c r="G97" t="s">
        <v>188</v>
      </c>
      <c r="H97" t="s">
        <v>21</v>
      </c>
      <c r="I97" t="s">
        <v>54</v>
      </c>
      <c r="J97" t="s">
        <v>148</v>
      </c>
      <c r="K97" t="s">
        <v>23</v>
      </c>
      <c r="L97">
        <v>916</v>
      </c>
      <c r="M97">
        <v>18.700949300000001</v>
      </c>
      <c r="N97">
        <v>74.405157923793482</v>
      </c>
      <c r="O97">
        <v>0.70196288454669575</v>
      </c>
      <c r="P97" s="1" t="str">
        <f>HYPERLINK(".\sm_car_260613_0002\sm_car_260613_0002_096_Ca012TrN_MaIPA_DrSt_ode23t_1.png","figure")</f>
        <v>figure</v>
      </c>
      <c r="Q97" t="s">
        <v>15</v>
      </c>
    </row>
    <row r="98" spans="1:17" x14ac:dyDescent="0.25">
      <c r="A98">
        <v>97</v>
      </c>
      <c r="B98">
        <v>142</v>
      </c>
      <c r="C98" t="s">
        <v>45</v>
      </c>
      <c r="D98" t="s">
        <v>17</v>
      </c>
      <c r="E98" t="s">
        <v>49</v>
      </c>
      <c r="F98" t="s">
        <v>28</v>
      </c>
      <c r="G98" t="s">
        <v>26</v>
      </c>
      <c r="H98" t="s">
        <v>21</v>
      </c>
      <c r="I98" t="s">
        <v>53</v>
      </c>
      <c r="J98" t="s">
        <v>148</v>
      </c>
      <c r="K98" t="s">
        <v>23</v>
      </c>
      <c r="L98">
        <v>967</v>
      </c>
      <c r="M98">
        <v>18.087324200000001</v>
      </c>
      <c r="N98">
        <v>256.09731443136121</v>
      </c>
      <c r="O98">
        <v>-6.5188373070448336E-3</v>
      </c>
      <c r="P98" s="1" t="str">
        <f>HYPERLINK(".\sm_car_260613_0002\sm_car_260613_0002_097_Ca142TrN_MaDLC_DrSt_ode23t_1.png","figure")</f>
        <v>figure</v>
      </c>
      <c r="Q98" t="s">
        <v>15</v>
      </c>
    </row>
    <row r="99" spans="1:17" x14ac:dyDescent="0.25">
      <c r="A99">
        <v>98</v>
      </c>
      <c r="B99">
        <v>142</v>
      </c>
      <c r="C99" t="s">
        <v>45</v>
      </c>
      <c r="D99" t="s">
        <v>17</v>
      </c>
      <c r="E99" t="s">
        <v>49</v>
      </c>
      <c r="F99" t="s">
        <v>28</v>
      </c>
      <c r="G99" t="s">
        <v>26</v>
      </c>
      <c r="H99" t="s">
        <v>21</v>
      </c>
      <c r="I99" t="s">
        <v>54</v>
      </c>
      <c r="J99" t="s">
        <v>148</v>
      </c>
      <c r="K99" t="s">
        <v>23</v>
      </c>
      <c r="L99">
        <v>1327</v>
      </c>
      <c r="M99">
        <v>44.847274599999999</v>
      </c>
      <c r="N99">
        <v>82.596974996646566</v>
      </c>
      <c r="O99">
        <v>0.6480420336223941</v>
      </c>
      <c r="P99" s="1" t="str">
        <f>HYPERLINK(".\sm_car_260613_0002\sm_car_260613_0002_098_Ca142TrN_MaIPA_DrSt_ode23t_1.png","figure")</f>
        <v>figure</v>
      </c>
      <c r="Q99" t="s">
        <v>15</v>
      </c>
    </row>
    <row r="100" spans="1:17" x14ac:dyDescent="0.25">
      <c r="A100">
        <v>99</v>
      </c>
      <c r="B100">
        <v>145</v>
      </c>
      <c r="C100" t="s">
        <v>46</v>
      </c>
      <c r="D100" t="s">
        <v>17</v>
      </c>
      <c r="E100" t="s">
        <v>50</v>
      </c>
      <c r="F100" t="s">
        <v>19</v>
      </c>
      <c r="G100" t="s">
        <v>26</v>
      </c>
      <c r="H100" t="s">
        <v>21</v>
      </c>
      <c r="I100" t="s">
        <v>53</v>
      </c>
      <c r="J100" t="s">
        <v>148</v>
      </c>
      <c r="K100" t="s">
        <v>23</v>
      </c>
      <c r="L100">
        <v>460</v>
      </c>
      <c r="M100">
        <v>20.474230800000001</v>
      </c>
      <c r="N100">
        <v>253.86917723600635</v>
      </c>
      <c r="O100">
        <v>7.5096697584914551E-2</v>
      </c>
      <c r="P100" s="1" t="str">
        <f>HYPERLINK(".\sm_car_260613_0002\sm_car_260613_0002_099_Ca145TrN_MaDLC_DrSt_ode23t_1.png","figure")</f>
        <v>figure</v>
      </c>
      <c r="Q100" t="s">
        <v>15</v>
      </c>
    </row>
    <row r="101" spans="1:17" x14ac:dyDescent="0.25">
      <c r="A101">
        <v>100</v>
      </c>
      <c r="B101">
        <v>145</v>
      </c>
      <c r="C101" t="s">
        <v>46</v>
      </c>
      <c r="D101" t="s">
        <v>17</v>
      </c>
      <c r="E101" t="s">
        <v>50</v>
      </c>
      <c r="F101" t="s">
        <v>19</v>
      </c>
      <c r="G101" t="s">
        <v>26</v>
      </c>
      <c r="H101" t="s">
        <v>21</v>
      </c>
      <c r="I101" t="s">
        <v>54</v>
      </c>
      <c r="J101" t="s">
        <v>148</v>
      </c>
      <c r="K101" t="s">
        <v>23</v>
      </c>
      <c r="L101">
        <v>309</v>
      </c>
      <c r="M101">
        <v>16.010389799999999</v>
      </c>
      <c r="N101">
        <v>27.997911261613311</v>
      </c>
      <c r="O101">
        <v>1.570779722111211E-2</v>
      </c>
      <c r="P101" s="1" t="str">
        <f>HYPERLINK(".\sm_car_260613_0002\sm_car_260613_0002_100_Ca145TrN_MaIPA_DrSt_ode23t_1.png","figure")</f>
        <v>figure</v>
      </c>
      <c r="Q101" t="s">
        <v>15</v>
      </c>
    </row>
    <row r="102" spans="1:17" x14ac:dyDescent="0.25">
      <c r="A102">
        <v>101</v>
      </c>
      <c r="B102">
        <v>184</v>
      </c>
      <c r="C102" t="s">
        <v>105</v>
      </c>
      <c r="D102" t="s">
        <v>120</v>
      </c>
      <c r="E102" t="s">
        <v>49</v>
      </c>
      <c r="F102" t="s">
        <v>19</v>
      </c>
      <c r="G102" t="s">
        <v>20</v>
      </c>
      <c r="H102" t="s">
        <v>21</v>
      </c>
      <c r="I102" t="s">
        <v>53</v>
      </c>
      <c r="J102" t="s">
        <v>148</v>
      </c>
      <c r="K102" t="s">
        <v>23</v>
      </c>
      <c r="L102">
        <v>383</v>
      </c>
      <c r="M102">
        <v>13.881518099999999</v>
      </c>
      <c r="N102">
        <v>253.56712213477283</v>
      </c>
      <c r="O102">
        <v>1.1316161180240591E-2</v>
      </c>
      <c r="P102" s="1" t="str">
        <f>HYPERLINK(".\sm_car_260613_0002\sm_car_260613_0002_101_Ca184TrN_MaDLC_DrSt_ode23t_1.png","figure")</f>
        <v>figure</v>
      </c>
      <c r="Q102" t="s">
        <v>15</v>
      </c>
    </row>
    <row r="103" spans="1:17" x14ac:dyDescent="0.25">
      <c r="A103">
        <v>102</v>
      </c>
      <c r="B103">
        <v>184</v>
      </c>
      <c r="C103" t="s">
        <v>105</v>
      </c>
      <c r="D103" t="s">
        <v>120</v>
      </c>
      <c r="E103" t="s">
        <v>49</v>
      </c>
      <c r="F103" t="s">
        <v>19</v>
      </c>
      <c r="G103" t="s">
        <v>20</v>
      </c>
      <c r="H103" t="s">
        <v>21</v>
      </c>
      <c r="I103" t="s">
        <v>54</v>
      </c>
      <c r="J103" t="s">
        <v>148</v>
      </c>
      <c r="K103" t="s">
        <v>23</v>
      </c>
      <c r="L103">
        <v>321</v>
      </c>
      <c r="M103">
        <v>16.024272799999999</v>
      </c>
      <c r="N103">
        <v>55.279528556092167</v>
      </c>
      <c r="O103">
        <v>6.5719118617946111E-3</v>
      </c>
      <c r="P103" s="1" t="str">
        <f>HYPERLINK(".\sm_car_260613_0002\sm_car_260613_0002_102_Ca184TrN_MaIPA_DrSt_ode23t_1.png","figure")</f>
        <v>figure</v>
      </c>
      <c r="Q103" t="s">
        <v>15</v>
      </c>
    </row>
    <row r="104" spans="1:17" x14ac:dyDescent="0.25">
      <c r="A104">
        <v>103</v>
      </c>
      <c r="B104">
        <v>204</v>
      </c>
      <c r="C104" t="s">
        <v>105</v>
      </c>
      <c r="D104" t="s">
        <v>106</v>
      </c>
      <c r="E104" t="s">
        <v>18</v>
      </c>
      <c r="F104" t="s">
        <v>19</v>
      </c>
      <c r="G104" t="s">
        <v>20</v>
      </c>
      <c r="H104" t="s">
        <v>21</v>
      </c>
      <c r="I104" t="s">
        <v>53</v>
      </c>
      <c r="J104" t="s">
        <v>148</v>
      </c>
      <c r="K104" t="s">
        <v>23</v>
      </c>
      <c r="L104">
        <v>1828</v>
      </c>
      <c r="M104">
        <v>33.824587200000003</v>
      </c>
      <c r="N104">
        <v>254.41154763444962</v>
      </c>
      <c r="O104">
        <v>1.8567527511646809E-2</v>
      </c>
      <c r="P104" s="1" t="str">
        <f>HYPERLINK(".\sm_car_260613_0002\sm_car_260613_0002_103_Ca204TrN_MaDLC_DrSt_ode23t_1.png","figure")</f>
        <v>figure</v>
      </c>
      <c r="Q104" t="s">
        <v>15</v>
      </c>
    </row>
    <row r="105" spans="1:17" x14ac:dyDescent="0.25">
      <c r="A105">
        <v>104</v>
      </c>
      <c r="B105">
        <v>204</v>
      </c>
      <c r="C105" t="s">
        <v>105</v>
      </c>
      <c r="D105" t="s">
        <v>106</v>
      </c>
      <c r="E105" t="s">
        <v>18</v>
      </c>
      <c r="F105" t="s">
        <v>19</v>
      </c>
      <c r="G105" t="s">
        <v>20</v>
      </c>
      <c r="H105" t="s">
        <v>21</v>
      </c>
      <c r="I105" t="s">
        <v>54</v>
      </c>
      <c r="J105" t="s">
        <v>148</v>
      </c>
      <c r="K105" t="s">
        <v>23</v>
      </c>
      <c r="L105">
        <v>689</v>
      </c>
      <c r="M105">
        <v>16.920211800000001</v>
      </c>
      <c r="N105">
        <v>26.037122672845488</v>
      </c>
      <c r="O105">
        <v>9.6389907040024796E-3</v>
      </c>
      <c r="P105" s="1" t="str">
        <f>HYPERLINK(".\sm_car_260613_0002\sm_car_260613_0002_104_Ca204TrN_MaIPA_DrSt_ode23t_1.png","figure")</f>
        <v>figure</v>
      </c>
      <c r="Q105" t="s">
        <v>15</v>
      </c>
    </row>
    <row r="106" spans="1:17" x14ac:dyDescent="0.25">
      <c r="A106">
        <v>105</v>
      </c>
      <c r="B106">
        <v>12</v>
      </c>
      <c r="C106" t="s">
        <v>16</v>
      </c>
      <c r="D106" t="s">
        <v>17</v>
      </c>
      <c r="E106" t="s">
        <v>49</v>
      </c>
      <c r="F106" t="s">
        <v>28</v>
      </c>
      <c r="G106" t="s">
        <v>188</v>
      </c>
      <c r="H106" t="s">
        <v>21</v>
      </c>
      <c r="I106" t="s">
        <v>55</v>
      </c>
      <c r="J106" t="s">
        <v>148</v>
      </c>
      <c r="K106" t="s">
        <v>23</v>
      </c>
      <c r="L106">
        <v>2579</v>
      </c>
      <c r="M106">
        <v>31.451692999999999</v>
      </c>
      <c r="N106">
        <v>-1.5535072751644549E-2</v>
      </c>
      <c r="O106">
        <v>-0.64601161232637283</v>
      </c>
      <c r="P106" s="1" t="str">
        <f>HYPERLINK(".\sm_car_260613_0002\sm_car_260613_0002_105_Ca012TrN_MaMPK_DrSt_ode23t_1.png","figure")</f>
        <v>figure</v>
      </c>
      <c r="Q106" t="s">
        <v>15</v>
      </c>
    </row>
    <row r="107" spans="1:17" x14ac:dyDescent="0.25">
      <c r="A107">
        <v>106</v>
      </c>
      <c r="B107">
        <v>12</v>
      </c>
      <c r="C107" t="s">
        <v>16</v>
      </c>
      <c r="D107" t="s">
        <v>17</v>
      </c>
      <c r="E107" t="s">
        <v>49</v>
      </c>
      <c r="F107" t="s">
        <v>28</v>
      </c>
      <c r="G107" t="s">
        <v>188</v>
      </c>
      <c r="H107" t="s">
        <v>21</v>
      </c>
      <c r="I107" t="s">
        <v>55</v>
      </c>
      <c r="J107" t="s">
        <v>149</v>
      </c>
      <c r="K107" t="s">
        <v>23</v>
      </c>
      <c r="L107">
        <v>2401</v>
      </c>
      <c r="M107">
        <v>29.815416599999999</v>
      </c>
      <c r="N107">
        <v>-9.3576876739216164E-3</v>
      </c>
      <c r="O107">
        <v>-3.7524624150169425E-2</v>
      </c>
      <c r="P107" s="1" t="str">
        <f>HYPERLINK(".\sm_car_260613_0002\sm_car_260613_0002_106_Ca012TrN_MaMPK_DrSt_ode23t_1.png","figure")</f>
        <v>figure</v>
      </c>
      <c r="Q107" t="s">
        <v>15</v>
      </c>
    </row>
    <row r="108" spans="1:17" x14ac:dyDescent="0.25">
      <c r="A108">
        <v>107</v>
      </c>
      <c r="B108">
        <v>12</v>
      </c>
      <c r="C108" t="s">
        <v>16</v>
      </c>
      <c r="D108" t="s">
        <v>17</v>
      </c>
      <c r="E108" t="s">
        <v>49</v>
      </c>
      <c r="F108" t="s">
        <v>28</v>
      </c>
      <c r="G108" t="s">
        <v>188</v>
      </c>
      <c r="H108" t="s">
        <v>21</v>
      </c>
      <c r="I108" t="s">
        <v>56</v>
      </c>
      <c r="J108" t="s">
        <v>148</v>
      </c>
      <c r="K108" t="s">
        <v>23</v>
      </c>
      <c r="L108">
        <v>2414</v>
      </c>
      <c r="M108">
        <v>29.431798400000002</v>
      </c>
      <c r="N108">
        <v>0.7877851761905923</v>
      </c>
      <c r="O108">
        <v>-0.33088366372090522</v>
      </c>
      <c r="P108" s="1" t="str">
        <f>HYPERLINK(".\sm_car_260613_0002\sm_car_260613_0002_107_Ca012TrN_MaMPC_DrSt_ode23t_1.png","figure")</f>
        <v>figure</v>
      </c>
      <c r="Q108" t="s">
        <v>15</v>
      </c>
    </row>
    <row r="109" spans="1:17" x14ac:dyDescent="0.25">
      <c r="A109">
        <v>108</v>
      </c>
      <c r="B109">
        <v>12</v>
      </c>
      <c r="C109" t="s">
        <v>16</v>
      </c>
      <c r="D109" t="s">
        <v>17</v>
      </c>
      <c r="E109" t="s">
        <v>49</v>
      </c>
      <c r="F109" t="s">
        <v>28</v>
      </c>
      <c r="G109" t="s">
        <v>188</v>
      </c>
      <c r="H109" t="s">
        <v>21</v>
      </c>
      <c r="I109" t="s">
        <v>56</v>
      </c>
      <c r="J109" t="s">
        <v>149</v>
      </c>
      <c r="K109" t="s">
        <v>23</v>
      </c>
      <c r="L109">
        <v>2241</v>
      </c>
      <c r="M109">
        <v>28.778655400000002</v>
      </c>
      <c r="N109">
        <v>0.78901198833632691</v>
      </c>
      <c r="O109">
        <v>0.10467080845013405</v>
      </c>
      <c r="P109" s="1" t="str">
        <f>HYPERLINK(".\sm_car_260613_0002\sm_car_260613_0002_108_Ca012TrN_MaMPC_DrSt_ode23t_1.png","figure")</f>
        <v>figure</v>
      </c>
      <c r="Q109" t="s">
        <v>15</v>
      </c>
    </row>
    <row r="110" spans="1:17" x14ac:dyDescent="0.25">
      <c r="A110">
        <v>109</v>
      </c>
      <c r="B110">
        <v>142</v>
      </c>
      <c r="C110" t="s">
        <v>45</v>
      </c>
      <c r="D110" t="s">
        <v>17</v>
      </c>
      <c r="E110" t="s">
        <v>49</v>
      </c>
      <c r="F110" t="s">
        <v>28</v>
      </c>
      <c r="G110" t="s">
        <v>26</v>
      </c>
      <c r="H110" t="s">
        <v>21</v>
      </c>
      <c r="I110" t="s">
        <v>55</v>
      </c>
      <c r="J110" t="s">
        <v>148</v>
      </c>
      <c r="K110" t="s">
        <v>23</v>
      </c>
      <c r="L110">
        <v>2537</v>
      </c>
      <c r="M110">
        <v>37.1211147</v>
      </c>
      <c r="N110">
        <v>-1.8685330618640056E-2</v>
      </c>
      <c r="O110">
        <v>-0.55889358526921173</v>
      </c>
      <c r="P110" s="1" t="str">
        <f>HYPERLINK(".\sm_car_260613_0002\sm_car_260613_0002_109_Ca142TrN_MaMPK_DrSt_ode23t_1.png","figure")</f>
        <v>figure</v>
      </c>
      <c r="Q110" t="s">
        <v>15</v>
      </c>
    </row>
    <row r="111" spans="1:17" x14ac:dyDescent="0.25">
      <c r="A111">
        <v>110</v>
      </c>
      <c r="B111">
        <v>142</v>
      </c>
      <c r="C111" t="s">
        <v>45</v>
      </c>
      <c r="D111" t="s">
        <v>17</v>
      </c>
      <c r="E111" t="s">
        <v>49</v>
      </c>
      <c r="F111" t="s">
        <v>28</v>
      </c>
      <c r="G111" t="s">
        <v>26</v>
      </c>
      <c r="H111" t="s">
        <v>21</v>
      </c>
      <c r="I111" t="s">
        <v>55</v>
      </c>
      <c r="J111" t="s">
        <v>149</v>
      </c>
      <c r="K111" t="s">
        <v>23</v>
      </c>
      <c r="L111">
        <v>2925</v>
      </c>
      <c r="M111">
        <v>41.308993100000002</v>
      </c>
      <c r="N111">
        <v>-7.2422977177813846E-3</v>
      </c>
      <c r="O111">
        <v>-8.1832071440970211E-2</v>
      </c>
      <c r="P111" s="1" t="str">
        <f>HYPERLINK(".\sm_car_260613_0002\sm_car_260613_0002_110_Ca142TrN_MaMPK_DrSt_ode23t_1.png","figure")</f>
        <v>figure</v>
      </c>
      <c r="Q111" t="s">
        <v>15</v>
      </c>
    </row>
    <row r="112" spans="1:17" x14ac:dyDescent="0.25">
      <c r="A112">
        <v>111</v>
      </c>
      <c r="B112">
        <v>142</v>
      </c>
      <c r="C112" t="s">
        <v>45</v>
      </c>
      <c r="D112" t="s">
        <v>17</v>
      </c>
      <c r="E112" t="s">
        <v>49</v>
      </c>
      <c r="F112" t="s">
        <v>28</v>
      </c>
      <c r="G112" t="s">
        <v>26</v>
      </c>
      <c r="H112" t="s">
        <v>21</v>
      </c>
      <c r="I112" t="s">
        <v>56</v>
      </c>
      <c r="J112" t="s">
        <v>148</v>
      </c>
      <c r="K112" t="s">
        <v>23</v>
      </c>
      <c r="L112">
        <v>2379</v>
      </c>
      <c r="M112">
        <v>42.288364399999999</v>
      </c>
      <c r="N112">
        <v>0.78178783592806056</v>
      </c>
      <c r="O112">
        <v>-0.3719153836113247</v>
      </c>
      <c r="P112" s="1" t="str">
        <f>HYPERLINK(".\sm_car_260613_0002\sm_car_260613_0002_111_Ca142TrN_MaMPC_DrSt_ode23t_1.png","figure")</f>
        <v>figure</v>
      </c>
      <c r="Q112" t="s">
        <v>15</v>
      </c>
    </row>
    <row r="113" spans="1:17" x14ac:dyDescent="0.25">
      <c r="A113">
        <v>112</v>
      </c>
      <c r="B113">
        <v>142</v>
      </c>
      <c r="C113" t="s">
        <v>45</v>
      </c>
      <c r="D113" t="s">
        <v>17</v>
      </c>
      <c r="E113" t="s">
        <v>49</v>
      </c>
      <c r="F113" t="s">
        <v>28</v>
      </c>
      <c r="G113" t="s">
        <v>26</v>
      </c>
      <c r="H113" t="s">
        <v>21</v>
      </c>
      <c r="I113" t="s">
        <v>56</v>
      </c>
      <c r="J113" t="s">
        <v>149</v>
      </c>
      <c r="K113" t="s">
        <v>23</v>
      </c>
      <c r="L113">
        <v>2777</v>
      </c>
      <c r="M113">
        <v>45.844937600000002</v>
      </c>
      <c r="N113">
        <v>0.76551766703820157</v>
      </c>
      <c r="O113">
        <v>1.6727677061340811E-2</v>
      </c>
      <c r="P113" s="1" t="str">
        <f>HYPERLINK(".\sm_car_260613_0002\sm_car_260613_0002_112_Ca142TrN_MaMPC_DrSt_ode23t_1.png","figure")</f>
        <v>figure</v>
      </c>
      <c r="Q113" t="s">
        <v>15</v>
      </c>
    </row>
    <row r="114" spans="1:17" x14ac:dyDescent="0.25">
      <c r="A114">
        <v>113</v>
      </c>
      <c r="B114">
        <v>116</v>
      </c>
      <c r="C114" t="s">
        <v>16</v>
      </c>
      <c r="D114" t="s">
        <v>35</v>
      </c>
      <c r="E114" t="s">
        <v>18</v>
      </c>
      <c r="F114" t="s">
        <v>28</v>
      </c>
      <c r="G114" t="s">
        <v>188</v>
      </c>
      <c r="H114" t="s">
        <v>21</v>
      </c>
      <c r="I114" t="s">
        <v>55</v>
      </c>
      <c r="J114" t="s">
        <v>148</v>
      </c>
      <c r="K114" t="s">
        <v>23</v>
      </c>
      <c r="L114">
        <v>2844</v>
      </c>
      <c r="M114">
        <v>14.6875821</v>
      </c>
      <c r="N114">
        <v>-1.3631253826489637E-2</v>
      </c>
      <c r="O114">
        <v>-0.54252601575801551</v>
      </c>
      <c r="P114" s="1" t="str">
        <f>HYPERLINK(".\sm_car_260613_0002\sm_car_260613_0002_113_Ca116TrN_MaMPK_DrSt_ode23t_1.png","figure")</f>
        <v>figure</v>
      </c>
      <c r="Q114" t="s">
        <v>15</v>
      </c>
    </row>
    <row r="115" spans="1:17" x14ac:dyDescent="0.25">
      <c r="A115">
        <v>114</v>
      </c>
      <c r="B115">
        <v>116</v>
      </c>
      <c r="C115" t="s">
        <v>16</v>
      </c>
      <c r="D115" t="s">
        <v>35</v>
      </c>
      <c r="E115" t="s">
        <v>18</v>
      </c>
      <c r="F115" t="s">
        <v>28</v>
      </c>
      <c r="G115" t="s">
        <v>188</v>
      </c>
      <c r="H115" t="s">
        <v>21</v>
      </c>
      <c r="I115" t="s">
        <v>55</v>
      </c>
      <c r="J115" t="s">
        <v>149</v>
      </c>
      <c r="K115" t="s">
        <v>23</v>
      </c>
      <c r="L115">
        <v>2775</v>
      </c>
      <c r="M115">
        <v>14.890205699999999</v>
      </c>
      <c r="N115">
        <v>-1.8849442838768535E-2</v>
      </c>
      <c r="O115">
        <v>-0.53577962454098049</v>
      </c>
      <c r="P115" s="1" t="str">
        <f>HYPERLINK(".\sm_car_260613_0002\sm_car_260613_0002_114_Ca116TrN_MaMPK_DrSt_ode23t_1.png","figure")</f>
        <v>figure</v>
      </c>
      <c r="Q115" t="s">
        <v>15</v>
      </c>
    </row>
    <row r="116" spans="1:17" x14ac:dyDescent="0.25">
      <c r="A116">
        <v>115</v>
      </c>
      <c r="B116">
        <v>116</v>
      </c>
      <c r="C116" t="s">
        <v>16</v>
      </c>
      <c r="D116" t="s">
        <v>35</v>
      </c>
      <c r="E116" t="s">
        <v>18</v>
      </c>
      <c r="F116" t="s">
        <v>28</v>
      </c>
      <c r="G116" t="s">
        <v>188</v>
      </c>
      <c r="H116" t="s">
        <v>21</v>
      </c>
      <c r="I116" t="s">
        <v>56</v>
      </c>
      <c r="J116" t="s">
        <v>148</v>
      </c>
      <c r="K116" t="s">
        <v>23</v>
      </c>
      <c r="L116">
        <v>2729</v>
      </c>
      <c r="M116">
        <v>13.865283700000001</v>
      </c>
      <c r="N116">
        <v>0.78783349860022867</v>
      </c>
      <c r="O116">
        <v>-0.36274204669494903</v>
      </c>
      <c r="P116" s="1" t="str">
        <f>HYPERLINK(".\sm_car_260613_0002\sm_car_260613_0002_115_Ca116TrN_MaMPC_DrSt_ode23t_1.png","figure")</f>
        <v>figure</v>
      </c>
      <c r="Q116" t="s">
        <v>15</v>
      </c>
    </row>
    <row r="117" spans="1:17" x14ac:dyDescent="0.25">
      <c r="A117">
        <v>116</v>
      </c>
      <c r="B117">
        <v>116</v>
      </c>
      <c r="C117" t="s">
        <v>16</v>
      </c>
      <c r="D117" t="s">
        <v>35</v>
      </c>
      <c r="E117" t="s">
        <v>18</v>
      </c>
      <c r="F117" t="s">
        <v>28</v>
      </c>
      <c r="G117" t="s">
        <v>188</v>
      </c>
      <c r="H117" t="s">
        <v>21</v>
      </c>
      <c r="I117" t="s">
        <v>56</v>
      </c>
      <c r="J117" t="s">
        <v>149</v>
      </c>
      <c r="K117" t="s">
        <v>23</v>
      </c>
      <c r="L117">
        <v>2610</v>
      </c>
      <c r="M117">
        <v>13.664881299999999</v>
      </c>
      <c r="N117">
        <v>0.78855520247341993</v>
      </c>
      <c r="O117">
        <v>0.44069597343998751</v>
      </c>
      <c r="P117" s="1" t="str">
        <f>HYPERLINK(".\sm_car_260613_0002\sm_car_260613_0002_116_Ca116TrN_MaMPC_DrSt_ode23t_1.png","figure")</f>
        <v>figure</v>
      </c>
      <c r="Q117" t="s">
        <v>15</v>
      </c>
    </row>
    <row r="118" spans="1:17" x14ac:dyDescent="0.25">
      <c r="A118">
        <v>117</v>
      </c>
      <c r="B118">
        <v>143</v>
      </c>
      <c r="C118" t="s">
        <v>46</v>
      </c>
      <c r="D118" t="s">
        <v>17</v>
      </c>
      <c r="E118" t="s">
        <v>47</v>
      </c>
      <c r="F118" t="s">
        <v>19</v>
      </c>
      <c r="G118" t="s">
        <v>26</v>
      </c>
      <c r="H118" t="s">
        <v>21</v>
      </c>
      <c r="I118" t="s">
        <v>55</v>
      </c>
      <c r="J118" t="s">
        <v>148</v>
      </c>
      <c r="K118" t="s">
        <v>23</v>
      </c>
      <c r="L118">
        <v>2477</v>
      </c>
      <c r="M118">
        <v>59.993549399999999</v>
      </c>
      <c r="N118">
        <v>-1.6197574552802158E-2</v>
      </c>
      <c r="O118">
        <v>-0.40383765429822882</v>
      </c>
      <c r="P118" s="1" t="str">
        <f>HYPERLINK(".\sm_car_260613_0002\sm_car_260613_0002_117_Ca143TrN_MaMPK_DrSt_ode23t_1.png","figure")</f>
        <v>figure</v>
      </c>
      <c r="Q118" t="s">
        <v>15</v>
      </c>
    </row>
    <row r="119" spans="1:17" x14ac:dyDescent="0.25">
      <c r="A119">
        <v>118</v>
      </c>
      <c r="B119">
        <v>143</v>
      </c>
      <c r="C119" t="s">
        <v>46</v>
      </c>
      <c r="D119" t="s">
        <v>17</v>
      </c>
      <c r="E119" t="s">
        <v>47</v>
      </c>
      <c r="F119" t="s">
        <v>19</v>
      </c>
      <c r="G119" t="s">
        <v>26</v>
      </c>
      <c r="H119" t="s">
        <v>21</v>
      </c>
      <c r="I119" t="s">
        <v>55</v>
      </c>
      <c r="J119" t="s">
        <v>149</v>
      </c>
      <c r="K119" t="s">
        <v>23</v>
      </c>
      <c r="L119">
        <v>2183</v>
      </c>
      <c r="M119">
        <v>53.325847899999999</v>
      </c>
      <c r="N119">
        <v>-1.1334291310578976E-2</v>
      </c>
      <c r="O119">
        <v>-9.2031024521524563E-2</v>
      </c>
      <c r="P119" s="1" t="str">
        <f>HYPERLINK(".\sm_car_260613_0002\sm_car_260613_0002_118_Ca143TrN_MaMPK_DrSt_ode23t_1.png","figure")</f>
        <v>figure</v>
      </c>
      <c r="Q119" t="s">
        <v>15</v>
      </c>
    </row>
    <row r="120" spans="1:17" x14ac:dyDescent="0.25">
      <c r="A120">
        <v>119</v>
      </c>
      <c r="B120">
        <v>143</v>
      </c>
      <c r="C120" t="s">
        <v>46</v>
      </c>
      <c r="D120" t="s">
        <v>17</v>
      </c>
      <c r="E120" t="s">
        <v>47</v>
      </c>
      <c r="F120" t="s">
        <v>19</v>
      </c>
      <c r="G120" t="s">
        <v>26</v>
      </c>
      <c r="H120" t="s">
        <v>21</v>
      </c>
      <c r="I120" t="s">
        <v>56</v>
      </c>
      <c r="J120" t="s">
        <v>148</v>
      </c>
      <c r="K120" t="s">
        <v>23</v>
      </c>
      <c r="L120">
        <v>2360</v>
      </c>
      <c r="M120">
        <v>59.307849300000001</v>
      </c>
      <c r="N120">
        <v>0.7883531230580374</v>
      </c>
      <c r="O120">
        <v>-0.27169982877223076</v>
      </c>
      <c r="P120" s="1" t="str">
        <f>HYPERLINK(".\sm_car_260613_0002\sm_car_260613_0002_119_Ca143TrN_MaMPC_DrSt_ode23t_1.png","figure")</f>
        <v>figure</v>
      </c>
      <c r="Q120" t="s">
        <v>15</v>
      </c>
    </row>
    <row r="121" spans="1:17" x14ac:dyDescent="0.25">
      <c r="A121">
        <v>120</v>
      </c>
      <c r="B121">
        <v>143</v>
      </c>
      <c r="C121" t="s">
        <v>46</v>
      </c>
      <c r="D121" t="s">
        <v>17</v>
      </c>
      <c r="E121" t="s">
        <v>47</v>
      </c>
      <c r="F121" t="s">
        <v>19</v>
      </c>
      <c r="G121" t="s">
        <v>26</v>
      </c>
      <c r="H121" t="s">
        <v>21</v>
      </c>
      <c r="I121" t="s">
        <v>56</v>
      </c>
      <c r="J121" t="s">
        <v>149</v>
      </c>
      <c r="K121" t="s">
        <v>23</v>
      </c>
      <c r="L121">
        <v>2128</v>
      </c>
      <c r="M121">
        <v>61.639599199999999</v>
      </c>
      <c r="N121">
        <v>0.7823389645776615</v>
      </c>
      <c r="O121">
        <v>-0.15967760718727048</v>
      </c>
      <c r="P121" s="1" t="str">
        <f>HYPERLINK(".\sm_car_260613_0002\sm_car_260613_0002_120_Ca143TrN_MaMPC_DrSt_ode23t_1.png","figure")</f>
        <v>figure</v>
      </c>
      <c r="Q121" t="s">
        <v>15</v>
      </c>
    </row>
    <row r="122" spans="1:17" x14ac:dyDescent="0.25">
      <c r="A122">
        <v>121</v>
      </c>
      <c r="B122">
        <v>166</v>
      </c>
      <c r="C122" t="s">
        <v>45</v>
      </c>
      <c r="D122" t="s">
        <v>57</v>
      </c>
      <c r="E122" t="s">
        <v>18</v>
      </c>
      <c r="F122" t="s">
        <v>19</v>
      </c>
      <c r="G122" t="s">
        <v>26</v>
      </c>
      <c r="H122" t="s">
        <v>21</v>
      </c>
      <c r="I122" t="s">
        <v>55</v>
      </c>
      <c r="J122" t="s">
        <v>148</v>
      </c>
      <c r="K122" t="s">
        <v>23</v>
      </c>
      <c r="L122">
        <v>3143</v>
      </c>
      <c r="M122">
        <v>57.250377299999997</v>
      </c>
      <c r="N122">
        <v>-1.5131871524762197E-2</v>
      </c>
      <c r="O122">
        <v>-0.57030155540509841</v>
      </c>
      <c r="P122" s="1" t="str">
        <f>HYPERLINK(".\sm_car_260613_0002\sm_car_260613_0002_121_Ca166TrN_MaMPK_DrSt_ode23t_1.png","figure")</f>
        <v>figure</v>
      </c>
      <c r="Q122" t="s">
        <v>15</v>
      </c>
    </row>
    <row r="123" spans="1:17" x14ac:dyDescent="0.25">
      <c r="A123">
        <v>122</v>
      </c>
      <c r="B123">
        <v>166</v>
      </c>
      <c r="C123" t="s">
        <v>45</v>
      </c>
      <c r="D123" t="s">
        <v>57</v>
      </c>
      <c r="E123" t="s">
        <v>18</v>
      </c>
      <c r="F123" t="s">
        <v>19</v>
      </c>
      <c r="G123" t="s">
        <v>26</v>
      </c>
      <c r="H123" t="s">
        <v>21</v>
      </c>
      <c r="I123" t="s">
        <v>55</v>
      </c>
      <c r="J123" t="s">
        <v>149</v>
      </c>
      <c r="K123" t="s">
        <v>23</v>
      </c>
      <c r="L123">
        <v>3730</v>
      </c>
      <c r="M123">
        <v>63.714609500000002</v>
      </c>
      <c r="N123">
        <v>-1.0654784525253772E-2</v>
      </c>
      <c r="O123">
        <v>-8.4914455738377054E-2</v>
      </c>
      <c r="P123" s="1" t="str">
        <f>HYPERLINK(".\sm_car_260613_0002\sm_car_260613_0002_122_Ca166TrN_MaMPK_DrSt_ode23t_1.png","figure")</f>
        <v>figure</v>
      </c>
      <c r="Q123" t="s">
        <v>15</v>
      </c>
    </row>
    <row r="124" spans="1:17" x14ac:dyDescent="0.25">
      <c r="A124">
        <v>123</v>
      </c>
      <c r="B124">
        <v>166</v>
      </c>
      <c r="C124" t="s">
        <v>45</v>
      </c>
      <c r="D124" t="s">
        <v>57</v>
      </c>
      <c r="E124" t="s">
        <v>18</v>
      </c>
      <c r="F124" t="s">
        <v>19</v>
      </c>
      <c r="G124" t="s">
        <v>26</v>
      </c>
      <c r="H124" t="s">
        <v>21</v>
      </c>
      <c r="I124" t="s">
        <v>56</v>
      </c>
      <c r="J124" t="s">
        <v>148</v>
      </c>
      <c r="K124" t="s">
        <v>23</v>
      </c>
      <c r="L124">
        <v>2981</v>
      </c>
      <c r="M124">
        <v>58.8178859</v>
      </c>
      <c r="N124">
        <v>0.78916376870249216</v>
      </c>
      <c r="O124">
        <v>-0.36291981805802354</v>
      </c>
      <c r="P124" s="1" t="str">
        <f>HYPERLINK(".\sm_car_260613_0002\sm_car_260613_0002_123_Ca166TrN_MaMPC_DrSt_ode23t_1.png","figure")</f>
        <v>figure</v>
      </c>
      <c r="Q124" t="s">
        <v>15</v>
      </c>
    </row>
    <row r="125" spans="1:17" x14ac:dyDescent="0.25">
      <c r="A125">
        <v>124</v>
      </c>
      <c r="B125">
        <v>166</v>
      </c>
      <c r="C125" t="s">
        <v>45</v>
      </c>
      <c r="D125" t="s">
        <v>57</v>
      </c>
      <c r="E125" t="s">
        <v>18</v>
      </c>
      <c r="F125" t="s">
        <v>19</v>
      </c>
      <c r="G125" t="s">
        <v>26</v>
      </c>
      <c r="H125" t="s">
        <v>21</v>
      </c>
      <c r="I125" t="s">
        <v>56</v>
      </c>
      <c r="J125" t="s">
        <v>149</v>
      </c>
      <c r="K125" t="s">
        <v>23</v>
      </c>
      <c r="L125">
        <v>3438</v>
      </c>
      <c r="M125">
        <v>59.993607300000001</v>
      </c>
      <c r="N125">
        <v>0.78518026002695329</v>
      </c>
      <c r="O125">
        <v>2.41245249311055E-2</v>
      </c>
      <c r="P125" s="1" t="str">
        <f>HYPERLINK(".\sm_car_260613_0002\sm_car_260613_0002_124_Ca166TrN_MaMPC_DrSt_ode23t_1.png","figure")</f>
        <v>figure</v>
      </c>
      <c r="Q125" t="s">
        <v>15</v>
      </c>
    </row>
    <row r="126" spans="1:17" x14ac:dyDescent="0.25">
      <c r="A126">
        <v>125</v>
      </c>
      <c r="B126">
        <v>169</v>
      </c>
      <c r="C126" t="s">
        <v>45</v>
      </c>
      <c r="D126" t="s">
        <v>58</v>
      </c>
      <c r="E126" t="s">
        <v>49</v>
      </c>
      <c r="F126" t="s">
        <v>19</v>
      </c>
      <c r="G126" t="s">
        <v>26</v>
      </c>
      <c r="H126" t="s">
        <v>21</v>
      </c>
      <c r="I126" t="s">
        <v>55</v>
      </c>
      <c r="J126" t="s">
        <v>148</v>
      </c>
      <c r="K126" t="s">
        <v>23</v>
      </c>
      <c r="L126">
        <v>3179</v>
      </c>
      <c r="M126">
        <v>59.651232499999999</v>
      </c>
      <c r="N126">
        <v>-1.9109556856405197E-2</v>
      </c>
      <c r="O126">
        <v>-0.57088527551769253</v>
      </c>
      <c r="P126" s="1" t="str">
        <f>HYPERLINK(".\sm_car_260613_0002\sm_car_260613_0002_125_Ca169TrN_MaMPK_DrSt_ode23t_1.png","figure")</f>
        <v>figure</v>
      </c>
      <c r="Q126" t="s">
        <v>15</v>
      </c>
    </row>
    <row r="127" spans="1:17" x14ac:dyDescent="0.25">
      <c r="A127">
        <v>126</v>
      </c>
      <c r="B127">
        <v>169</v>
      </c>
      <c r="C127" t="s">
        <v>45</v>
      </c>
      <c r="D127" t="s">
        <v>58</v>
      </c>
      <c r="E127" t="s">
        <v>49</v>
      </c>
      <c r="F127" t="s">
        <v>19</v>
      </c>
      <c r="G127" t="s">
        <v>26</v>
      </c>
      <c r="H127" t="s">
        <v>21</v>
      </c>
      <c r="I127" t="s">
        <v>55</v>
      </c>
      <c r="J127" t="s">
        <v>149</v>
      </c>
      <c r="K127" t="s">
        <v>23</v>
      </c>
      <c r="L127">
        <v>3742</v>
      </c>
      <c r="M127">
        <v>65.027638800000005</v>
      </c>
      <c r="N127">
        <v>9.1084000162663936E-4</v>
      </c>
      <c r="O127">
        <v>-8.4947164235398526E-2</v>
      </c>
      <c r="P127" s="1" t="str">
        <f>HYPERLINK(".\sm_car_260613_0002\sm_car_260613_0002_126_Ca169TrN_MaMPK_DrSt_ode23t_1.png","figure")</f>
        <v>figure</v>
      </c>
      <c r="Q127" t="s">
        <v>15</v>
      </c>
    </row>
    <row r="128" spans="1:17" x14ac:dyDescent="0.25">
      <c r="A128">
        <v>127</v>
      </c>
      <c r="B128">
        <v>169</v>
      </c>
      <c r="C128" t="s">
        <v>45</v>
      </c>
      <c r="D128" t="s">
        <v>58</v>
      </c>
      <c r="E128" t="s">
        <v>49</v>
      </c>
      <c r="F128" t="s">
        <v>19</v>
      </c>
      <c r="G128" t="s">
        <v>26</v>
      </c>
      <c r="H128" t="s">
        <v>21</v>
      </c>
      <c r="I128" t="s">
        <v>56</v>
      </c>
      <c r="J128" t="s">
        <v>148</v>
      </c>
      <c r="K128" t="s">
        <v>23</v>
      </c>
      <c r="L128">
        <v>2930</v>
      </c>
      <c r="M128">
        <v>53.809736700000002</v>
      </c>
      <c r="N128">
        <v>0.78072887762990995</v>
      </c>
      <c r="O128">
        <v>-0.36227570243450019</v>
      </c>
      <c r="P128" s="1" t="str">
        <f>HYPERLINK(".\sm_car_260613_0002\sm_car_260613_0002_127_Ca169TrN_MaMPC_DrSt_ode23t_1.png","figure")</f>
        <v>figure</v>
      </c>
      <c r="Q128" t="s">
        <v>15</v>
      </c>
    </row>
    <row r="129" spans="1:17" x14ac:dyDescent="0.25">
      <c r="A129">
        <v>128</v>
      </c>
      <c r="B129">
        <v>169</v>
      </c>
      <c r="C129" t="s">
        <v>45</v>
      </c>
      <c r="D129" t="s">
        <v>58</v>
      </c>
      <c r="E129" t="s">
        <v>49</v>
      </c>
      <c r="F129" t="s">
        <v>19</v>
      </c>
      <c r="G129" t="s">
        <v>26</v>
      </c>
      <c r="H129" t="s">
        <v>21</v>
      </c>
      <c r="I129" t="s">
        <v>56</v>
      </c>
      <c r="J129" t="s">
        <v>149</v>
      </c>
      <c r="K129" t="s">
        <v>23</v>
      </c>
      <c r="L129">
        <v>3381</v>
      </c>
      <c r="M129">
        <v>55.740506500000002</v>
      </c>
      <c r="N129">
        <v>0.78564528587193116</v>
      </c>
      <c r="O129">
        <v>2.5218025484192916E-2</v>
      </c>
      <c r="P129" s="1" t="str">
        <f>HYPERLINK(".\sm_car_260613_0002\sm_car_260613_0002_128_Ca169TrN_MaMPC_DrSt_ode23t_1.png","figure")</f>
        <v>figure</v>
      </c>
      <c r="Q129" t="s">
        <v>15</v>
      </c>
    </row>
    <row r="130" spans="1:17" x14ac:dyDescent="0.25">
      <c r="A130">
        <v>129</v>
      </c>
      <c r="B130">
        <v>184</v>
      </c>
      <c r="C130" t="s">
        <v>105</v>
      </c>
      <c r="D130" t="s">
        <v>120</v>
      </c>
      <c r="E130" t="s">
        <v>49</v>
      </c>
      <c r="F130" t="s">
        <v>19</v>
      </c>
      <c r="G130" t="s">
        <v>20</v>
      </c>
      <c r="H130" t="s">
        <v>21</v>
      </c>
      <c r="I130" t="s">
        <v>55</v>
      </c>
      <c r="J130" t="s">
        <v>148</v>
      </c>
      <c r="K130" t="s">
        <v>23</v>
      </c>
      <c r="L130">
        <v>2227</v>
      </c>
      <c r="M130">
        <v>62.384032400000002</v>
      </c>
      <c r="N130">
        <v>-2.2972285074280355E-2</v>
      </c>
      <c r="O130">
        <v>-0.74275555606248056</v>
      </c>
      <c r="P130" s="1" t="str">
        <f>HYPERLINK(".\sm_car_260613_0002\sm_car_260613_0002_129_Ca184TrN_MaMPK_DrSt_ode23t_1.png","figure")</f>
        <v>figure</v>
      </c>
      <c r="Q130" t="s">
        <v>15</v>
      </c>
    </row>
    <row r="131" spans="1:17" x14ac:dyDescent="0.25">
      <c r="A131">
        <v>130</v>
      </c>
      <c r="B131">
        <v>184</v>
      </c>
      <c r="C131" t="s">
        <v>105</v>
      </c>
      <c r="D131" t="s">
        <v>120</v>
      </c>
      <c r="E131" t="s">
        <v>49</v>
      </c>
      <c r="F131" t="s">
        <v>19</v>
      </c>
      <c r="G131" t="s">
        <v>20</v>
      </c>
      <c r="H131" t="s">
        <v>21</v>
      </c>
      <c r="I131" t="s">
        <v>55</v>
      </c>
      <c r="J131" t="s">
        <v>149</v>
      </c>
      <c r="K131" t="s">
        <v>23</v>
      </c>
      <c r="L131">
        <v>2309</v>
      </c>
      <c r="M131">
        <v>64.415024099999997</v>
      </c>
      <c r="N131">
        <v>-9.7115186893210609E-3</v>
      </c>
      <c r="O131">
        <v>-2.997595799822193E-2</v>
      </c>
      <c r="P131" s="1" t="str">
        <f>HYPERLINK(".\sm_car_260613_0002\sm_car_260613_0002_130_Ca184TrN_MaMPK_DrSt_ode23t_1.png","figure")</f>
        <v>figure</v>
      </c>
      <c r="Q131" t="s">
        <v>15</v>
      </c>
    </row>
    <row r="132" spans="1:17" x14ac:dyDescent="0.25">
      <c r="A132">
        <v>131</v>
      </c>
      <c r="B132">
        <v>184</v>
      </c>
      <c r="C132" t="s">
        <v>105</v>
      </c>
      <c r="D132" t="s">
        <v>120</v>
      </c>
      <c r="E132" t="s">
        <v>49</v>
      </c>
      <c r="F132" t="s">
        <v>19</v>
      </c>
      <c r="G132" t="s">
        <v>20</v>
      </c>
      <c r="H132" t="s">
        <v>21</v>
      </c>
      <c r="I132" t="s">
        <v>56</v>
      </c>
      <c r="J132" t="s">
        <v>148</v>
      </c>
      <c r="K132" t="s">
        <v>23</v>
      </c>
      <c r="L132">
        <v>2060</v>
      </c>
      <c r="M132">
        <v>59.850617499999998</v>
      </c>
      <c r="N132">
        <v>0.78740642121275251</v>
      </c>
      <c r="O132">
        <v>-0.33805111009068478</v>
      </c>
      <c r="P132" s="1" t="str">
        <f>HYPERLINK(".\sm_car_260613_0002\sm_car_260613_0002_131_Ca184TrN_MaMPC_DrSt_ode23t_1.png","figure")</f>
        <v>figure</v>
      </c>
      <c r="Q132" t="s">
        <v>15</v>
      </c>
    </row>
    <row r="133" spans="1:17" x14ac:dyDescent="0.25">
      <c r="A133">
        <v>132</v>
      </c>
      <c r="B133">
        <v>184</v>
      </c>
      <c r="C133" t="s">
        <v>105</v>
      </c>
      <c r="D133" t="s">
        <v>120</v>
      </c>
      <c r="E133" t="s">
        <v>49</v>
      </c>
      <c r="F133" t="s">
        <v>19</v>
      </c>
      <c r="G133" t="s">
        <v>20</v>
      </c>
      <c r="H133" t="s">
        <v>21</v>
      </c>
      <c r="I133" t="s">
        <v>56</v>
      </c>
      <c r="J133" t="s">
        <v>149</v>
      </c>
      <c r="K133" t="s">
        <v>23</v>
      </c>
      <c r="L133">
        <v>2044</v>
      </c>
      <c r="M133">
        <v>64.297832799999995</v>
      </c>
      <c r="N133">
        <v>0.75881524208450379</v>
      </c>
      <c r="O133">
        <v>-8.2144984597842752E-2</v>
      </c>
      <c r="P133" s="1" t="str">
        <f>HYPERLINK(".\sm_car_260613_0002\sm_car_260613_0002_132_Ca184TrN_MaMPC_DrSt_ode23t_1.png","figure")</f>
        <v>figure</v>
      </c>
      <c r="Q133" t="s">
        <v>15</v>
      </c>
    </row>
    <row r="134" spans="1:17" x14ac:dyDescent="0.25">
      <c r="A134">
        <v>133</v>
      </c>
      <c r="B134">
        <v>195</v>
      </c>
      <c r="C134" t="s">
        <v>45</v>
      </c>
      <c r="D134" t="s">
        <v>58</v>
      </c>
      <c r="E134" t="s">
        <v>107</v>
      </c>
      <c r="F134" t="s">
        <v>19</v>
      </c>
      <c r="G134" t="s">
        <v>26</v>
      </c>
      <c r="H134" t="s">
        <v>21</v>
      </c>
      <c r="I134" t="s">
        <v>55</v>
      </c>
      <c r="J134" t="s">
        <v>148</v>
      </c>
      <c r="K134" t="s">
        <v>23</v>
      </c>
      <c r="L134">
        <v>3177</v>
      </c>
      <c r="M134">
        <v>52.711371300000003</v>
      </c>
      <c r="N134">
        <v>-1.8770915669385782E-2</v>
      </c>
      <c r="O134">
        <v>-0.57091092993895098</v>
      </c>
      <c r="P134" s="1" t="str">
        <f>HYPERLINK(".\sm_car_260613_0002\sm_car_260613_0002_133_Ca195TrN_MaMPK_DrSt_ode23t_1.png","figure")</f>
        <v>figure</v>
      </c>
      <c r="Q134" t="s">
        <v>15</v>
      </c>
    </row>
    <row r="135" spans="1:17" x14ac:dyDescent="0.25">
      <c r="A135">
        <v>134</v>
      </c>
      <c r="B135">
        <v>195</v>
      </c>
      <c r="C135" t="s">
        <v>45</v>
      </c>
      <c r="D135" t="s">
        <v>58</v>
      </c>
      <c r="E135" t="s">
        <v>107</v>
      </c>
      <c r="F135" t="s">
        <v>19</v>
      </c>
      <c r="G135" t="s">
        <v>26</v>
      </c>
      <c r="H135" t="s">
        <v>21</v>
      </c>
      <c r="I135" t="s">
        <v>55</v>
      </c>
      <c r="J135" t="s">
        <v>149</v>
      </c>
      <c r="K135" t="s">
        <v>23</v>
      </c>
      <c r="L135">
        <v>3746</v>
      </c>
      <c r="M135">
        <v>56.469226599999999</v>
      </c>
      <c r="N135">
        <v>-1.1273752822937064E-2</v>
      </c>
      <c r="O135">
        <v>-8.4980135193009662E-2</v>
      </c>
      <c r="P135" s="1" t="str">
        <f>HYPERLINK(".\sm_car_260613_0002\sm_car_260613_0002_134_Ca195TrN_MaMPK_DrSt_ode23t_1.png","figure")</f>
        <v>figure</v>
      </c>
      <c r="Q135" t="s">
        <v>15</v>
      </c>
    </row>
    <row r="136" spans="1:17" x14ac:dyDescent="0.25">
      <c r="A136">
        <v>135</v>
      </c>
      <c r="B136">
        <v>195</v>
      </c>
      <c r="C136" t="s">
        <v>45</v>
      </c>
      <c r="D136" t="s">
        <v>58</v>
      </c>
      <c r="E136" t="s">
        <v>107</v>
      </c>
      <c r="F136" t="s">
        <v>19</v>
      </c>
      <c r="G136" t="s">
        <v>26</v>
      </c>
      <c r="H136" t="s">
        <v>21</v>
      </c>
      <c r="I136" t="s">
        <v>56</v>
      </c>
      <c r="J136" t="s">
        <v>148</v>
      </c>
      <c r="K136" t="s">
        <v>23</v>
      </c>
      <c r="L136">
        <v>2941</v>
      </c>
      <c r="M136">
        <v>53.223900399999998</v>
      </c>
      <c r="N136">
        <v>0.78810382861033013</v>
      </c>
      <c r="O136">
        <v>-0.36233053365601081</v>
      </c>
      <c r="P136" s="1" t="str">
        <f>HYPERLINK(".\sm_car_260613_0002\sm_car_260613_0002_135_Ca195TrN_MaMPC_DrSt_ode23t_1.png","figure")</f>
        <v>figure</v>
      </c>
      <c r="Q136" t="s">
        <v>15</v>
      </c>
    </row>
    <row r="137" spans="1:17" x14ac:dyDescent="0.25">
      <c r="A137">
        <v>136</v>
      </c>
      <c r="B137">
        <v>195</v>
      </c>
      <c r="C137" t="s">
        <v>45</v>
      </c>
      <c r="D137" t="s">
        <v>58</v>
      </c>
      <c r="E137" t="s">
        <v>107</v>
      </c>
      <c r="F137" t="s">
        <v>19</v>
      </c>
      <c r="G137" t="s">
        <v>26</v>
      </c>
      <c r="H137" t="s">
        <v>21</v>
      </c>
      <c r="I137" t="s">
        <v>56</v>
      </c>
      <c r="J137" t="s">
        <v>149</v>
      </c>
      <c r="K137" t="s">
        <v>23</v>
      </c>
      <c r="L137">
        <v>3390</v>
      </c>
      <c r="M137">
        <v>50.436557000000001</v>
      </c>
      <c r="N137">
        <v>0.76940928380175677</v>
      </c>
      <c r="O137">
        <v>2.5437942228621856E-2</v>
      </c>
      <c r="P137" s="1" t="str">
        <f>HYPERLINK(".\sm_car_260613_0002\sm_car_260613_0002_136_Ca195TrN_MaMPC_DrSt_ode23t_1.png","figure")</f>
        <v>figure</v>
      </c>
      <c r="Q137" t="s">
        <v>15</v>
      </c>
    </row>
    <row r="138" spans="1:17" x14ac:dyDescent="0.25">
      <c r="A138">
        <v>137</v>
      </c>
      <c r="B138">
        <v>198</v>
      </c>
      <c r="C138" t="s">
        <v>105</v>
      </c>
      <c r="D138" t="s">
        <v>120</v>
      </c>
      <c r="E138" t="s">
        <v>107</v>
      </c>
      <c r="F138" t="s">
        <v>19</v>
      </c>
      <c r="G138" t="s">
        <v>20</v>
      </c>
      <c r="H138" t="s">
        <v>21</v>
      </c>
      <c r="I138" t="s">
        <v>55</v>
      </c>
      <c r="J138" t="s">
        <v>148</v>
      </c>
      <c r="K138" t="s">
        <v>23</v>
      </c>
      <c r="L138">
        <v>2278</v>
      </c>
      <c r="M138">
        <v>40.669941199999997</v>
      </c>
      <c r="N138">
        <v>-8.5735388843032195E-3</v>
      </c>
      <c r="O138">
        <v>-0.7430773875855452</v>
      </c>
      <c r="P138" s="1" t="str">
        <f>HYPERLINK(".\sm_car_260613_0002\sm_car_260613_0002_137_Ca198TrN_MaMPK_DrSt_ode23t_1.png","figure")</f>
        <v>figure</v>
      </c>
      <c r="Q138" t="s">
        <v>15</v>
      </c>
    </row>
    <row r="139" spans="1:17" x14ac:dyDescent="0.25">
      <c r="A139">
        <v>138</v>
      </c>
      <c r="B139">
        <v>198</v>
      </c>
      <c r="C139" t="s">
        <v>105</v>
      </c>
      <c r="D139" t="s">
        <v>120</v>
      </c>
      <c r="E139" t="s">
        <v>107</v>
      </c>
      <c r="F139" t="s">
        <v>19</v>
      </c>
      <c r="G139" t="s">
        <v>20</v>
      </c>
      <c r="H139" t="s">
        <v>21</v>
      </c>
      <c r="I139" t="s">
        <v>55</v>
      </c>
      <c r="J139" t="s">
        <v>149</v>
      </c>
      <c r="K139" t="s">
        <v>23</v>
      </c>
      <c r="L139">
        <v>2550</v>
      </c>
      <c r="M139">
        <v>43.261208600000003</v>
      </c>
      <c r="N139">
        <v>-8.4844534785731007E-3</v>
      </c>
      <c r="O139">
        <v>-3.0452399384162741E-2</v>
      </c>
      <c r="P139" s="1" t="str">
        <f>HYPERLINK(".\sm_car_260613_0002\sm_car_260613_0002_138_Ca198TrN_MaMPK_DrSt_ode23t_1.png","figure")</f>
        <v>figure</v>
      </c>
      <c r="Q139" t="s">
        <v>15</v>
      </c>
    </row>
    <row r="140" spans="1:17" x14ac:dyDescent="0.25">
      <c r="A140">
        <v>139</v>
      </c>
      <c r="B140">
        <v>198</v>
      </c>
      <c r="C140" t="s">
        <v>105</v>
      </c>
      <c r="D140" t="s">
        <v>120</v>
      </c>
      <c r="E140" t="s">
        <v>107</v>
      </c>
      <c r="F140" t="s">
        <v>19</v>
      </c>
      <c r="G140" t="s">
        <v>20</v>
      </c>
      <c r="H140" t="s">
        <v>21</v>
      </c>
      <c r="I140" t="s">
        <v>56</v>
      </c>
      <c r="J140" t="s">
        <v>148</v>
      </c>
      <c r="K140" t="s">
        <v>23</v>
      </c>
      <c r="L140">
        <v>2088</v>
      </c>
      <c r="M140">
        <v>39.059740900000001</v>
      </c>
      <c r="N140">
        <v>0.78665783735535832</v>
      </c>
      <c r="O140">
        <v>-0.3379542418854885</v>
      </c>
      <c r="P140" s="1" t="str">
        <f>HYPERLINK(".\sm_car_260613_0002\sm_car_260613_0002_139_Ca198TrN_MaMPC_DrSt_ode23t_1.png","figure")</f>
        <v>figure</v>
      </c>
      <c r="Q140" t="s">
        <v>15</v>
      </c>
    </row>
    <row r="141" spans="1:17" x14ac:dyDescent="0.25">
      <c r="A141">
        <v>140</v>
      </c>
      <c r="B141">
        <v>198</v>
      </c>
      <c r="C141" t="s">
        <v>105</v>
      </c>
      <c r="D141" t="s">
        <v>120</v>
      </c>
      <c r="E141" t="s">
        <v>107</v>
      </c>
      <c r="F141" t="s">
        <v>19</v>
      </c>
      <c r="G141" t="s">
        <v>20</v>
      </c>
      <c r="H141" t="s">
        <v>21</v>
      </c>
      <c r="I141" t="s">
        <v>56</v>
      </c>
      <c r="J141" t="s">
        <v>149</v>
      </c>
      <c r="K141" t="s">
        <v>23</v>
      </c>
      <c r="L141">
        <v>2149</v>
      </c>
      <c r="M141">
        <v>40.9380205</v>
      </c>
      <c r="N141">
        <v>0.77998998413238141</v>
      </c>
      <c r="O141">
        <v>-8.2058491760213209E-2</v>
      </c>
      <c r="P141" s="1" t="str">
        <f>HYPERLINK(".\sm_car_260613_0002\sm_car_260613_0002_140_Ca198TrN_MaMPC_DrSt_ode23t_1.png","figure")</f>
        <v>figure</v>
      </c>
      <c r="Q141" t="s">
        <v>15</v>
      </c>
    </row>
    <row r="142" spans="1:17" x14ac:dyDescent="0.25">
      <c r="A142">
        <v>141</v>
      </c>
      <c r="B142">
        <v>151</v>
      </c>
      <c r="C142" t="s">
        <v>16</v>
      </c>
      <c r="D142" t="s">
        <v>17</v>
      </c>
      <c r="E142" t="s">
        <v>18</v>
      </c>
      <c r="F142" t="s">
        <v>19</v>
      </c>
      <c r="G142" t="s">
        <v>59</v>
      </c>
      <c r="H142" t="s">
        <v>21</v>
      </c>
      <c r="I142" t="s">
        <v>24</v>
      </c>
      <c r="J142" t="s">
        <v>148</v>
      </c>
      <c r="K142" t="s">
        <v>23</v>
      </c>
      <c r="L142">
        <v>516</v>
      </c>
      <c r="M142">
        <v>16.2184955</v>
      </c>
      <c r="N142">
        <v>72.171564300574673</v>
      </c>
      <c r="O142">
        <v>-0.78303546501300614</v>
      </c>
      <c r="P142" s="1" t="str">
        <f>HYPERLINK(".\sm_car_260613_0002\sm_car_260613_0002_141_Ca151TrN_MaLSS_DrSt_ode23t_1.png","figure")</f>
        <v>figure</v>
      </c>
      <c r="Q142" t="s">
        <v>15</v>
      </c>
    </row>
    <row r="143" spans="1:17" x14ac:dyDescent="0.25">
      <c r="A143">
        <v>142</v>
      </c>
      <c r="B143">
        <v>152</v>
      </c>
      <c r="C143" t="s">
        <v>16</v>
      </c>
      <c r="D143" t="s">
        <v>17</v>
      </c>
      <c r="E143" t="s">
        <v>18</v>
      </c>
      <c r="F143" t="s">
        <v>19</v>
      </c>
      <c r="G143" t="s">
        <v>60</v>
      </c>
      <c r="H143" t="s">
        <v>21</v>
      </c>
      <c r="I143" t="s">
        <v>24</v>
      </c>
      <c r="J143" t="s">
        <v>148</v>
      </c>
      <c r="K143" t="s">
        <v>23</v>
      </c>
      <c r="L143">
        <v>523</v>
      </c>
      <c r="M143">
        <v>16.081006899999998</v>
      </c>
      <c r="N143">
        <v>70.585041528837195</v>
      </c>
      <c r="O143">
        <v>-0.52241692713006083</v>
      </c>
      <c r="P143" s="1" t="str">
        <f>HYPERLINK(".\sm_car_260613_0002\sm_car_260613_0002_142_Ca152TrN_MaLSS_DrSt_ode23t_1.png","figure")</f>
        <v>figure</v>
      </c>
      <c r="Q143" t="s">
        <v>15</v>
      </c>
    </row>
    <row r="144" spans="1:17" x14ac:dyDescent="0.25">
      <c r="A144">
        <v>143</v>
      </c>
      <c r="B144">
        <v>153</v>
      </c>
      <c r="C144" t="s">
        <v>16</v>
      </c>
      <c r="D144" t="s">
        <v>17</v>
      </c>
      <c r="E144" t="s">
        <v>18</v>
      </c>
      <c r="F144" t="s">
        <v>19</v>
      </c>
      <c r="G144" t="s">
        <v>61</v>
      </c>
      <c r="H144" t="s">
        <v>21</v>
      </c>
      <c r="I144" t="s">
        <v>24</v>
      </c>
      <c r="J144" t="s">
        <v>148</v>
      </c>
      <c r="K144" t="s">
        <v>23</v>
      </c>
      <c r="L144">
        <v>551</v>
      </c>
      <c r="M144">
        <v>17.997634099999999</v>
      </c>
      <c r="N144">
        <v>70.428772644934526</v>
      </c>
      <c r="O144">
        <v>-0.85617651588088495</v>
      </c>
      <c r="P144" s="1" t="str">
        <f>HYPERLINK(".\sm_car_260613_0002\sm_car_260613_0002_143_Ca153TrN_MaLSS_DrSt_ode23t_1.png","figure")</f>
        <v>figure</v>
      </c>
      <c r="Q144" t="s">
        <v>15</v>
      </c>
    </row>
    <row r="145" spans="1:17" x14ac:dyDescent="0.25">
      <c r="A145">
        <v>144</v>
      </c>
      <c r="B145">
        <v>154</v>
      </c>
      <c r="C145" t="s">
        <v>16</v>
      </c>
      <c r="D145" t="s">
        <v>17</v>
      </c>
      <c r="E145" t="s">
        <v>18</v>
      </c>
      <c r="F145" t="s">
        <v>19</v>
      </c>
      <c r="G145" t="s">
        <v>108</v>
      </c>
      <c r="H145" t="s">
        <v>21</v>
      </c>
      <c r="I145" t="s">
        <v>24</v>
      </c>
      <c r="J145" t="s">
        <v>148</v>
      </c>
      <c r="K145" t="s">
        <v>23</v>
      </c>
      <c r="L145">
        <v>500</v>
      </c>
      <c r="M145">
        <v>22.525878599999999</v>
      </c>
      <c r="N145">
        <v>70.607147016675427</v>
      </c>
      <c r="O145">
        <v>-0.3557601453719117</v>
      </c>
      <c r="P145" s="1" t="str">
        <f>HYPERLINK(".\sm_car_260613_0002\sm_car_260613_0002_144_Ca154TrN_MaLSS_DrSt_ode23t_1.png","figure")</f>
        <v>figure</v>
      </c>
      <c r="Q145" t="s">
        <v>15</v>
      </c>
    </row>
    <row r="146" spans="1:17" x14ac:dyDescent="0.25">
      <c r="A146">
        <v>145</v>
      </c>
      <c r="B146">
        <v>155</v>
      </c>
      <c r="C146" t="s">
        <v>16</v>
      </c>
      <c r="D146" t="s">
        <v>17</v>
      </c>
      <c r="E146" t="s">
        <v>18</v>
      </c>
      <c r="F146" t="s">
        <v>19</v>
      </c>
      <c r="G146" t="s">
        <v>62</v>
      </c>
      <c r="H146" t="s">
        <v>21</v>
      </c>
      <c r="I146" t="s">
        <v>24</v>
      </c>
      <c r="J146" t="s">
        <v>148</v>
      </c>
      <c r="K146" t="s">
        <v>23</v>
      </c>
      <c r="L146">
        <v>548</v>
      </c>
      <c r="M146">
        <v>23.0197672</v>
      </c>
      <c r="N146">
        <v>70.460357685160901</v>
      </c>
      <c r="O146">
        <v>-0.83356471992057513</v>
      </c>
      <c r="P146" s="1" t="str">
        <f>HYPERLINK(".\sm_car_260613_0002\sm_car_260613_0002_145_Ca155TrN_MaLSS_DrSt_ode23t_1.png","figure")</f>
        <v>figure</v>
      </c>
      <c r="Q146" t="s">
        <v>15</v>
      </c>
    </row>
    <row r="147" spans="1:17" x14ac:dyDescent="0.25">
      <c r="A147">
        <v>146</v>
      </c>
      <c r="B147">
        <v>4</v>
      </c>
      <c r="C147" t="s">
        <v>16</v>
      </c>
      <c r="D147" t="s">
        <v>17</v>
      </c>
      <c r="E147" t="s">
        <v>18</v>
      </c>
      <c r="F147" t="s">
        <v>28</v>
      </c>
      <c r="G147" t="s">
        <v>188</v>
      </c>
      <c r="H147" t="s">
        <v>21</v>
      </c>
      <c r="I147" t="s">
        <v>22</v>
      </c>
      <c r="J147" t="s">
        <v>148</v>
      </c>
      <c r="K147" t="s">
        <v>63</v>
      </c>
      <c r="L147">
        <v>3247</v>
      </c>
      <c r="M147">
        <v>11.6395786</v>
      </c>
      <c r="N147">
        <v>230.12391721786827</v>
      </c>
      <c r="O147">
        <v>-2.7190338637773392E-3</v>
      </c>
      <c r="P147" s="1" t="str">
        <f>HYPERLINK(".\sm_car_260613_0002\sm_car_260613_0002_146_Ca004TrN_MaWOT_DrSt_ode3_1.png","figure")</f>
        <v>figure</v>
      </c>
      <c r="Q147" t="s">
        <v>15</v>
      </c>
    </row>
    <row r="148" spans="1:17" x14ac:dyDescent="0.25">
      <c r="A148">
        <v>147</v>
      </c>
      <c r="B148">
        <v>4</v>
      </c>
      <c r="C148" t="s">
        <v>16</v>
      </c>
      <c r="D148" t="s">
        <v>17</v>
      </c>
      <c r="E148" t="s">
        <v>18</v>
      </c>
      <c r="F148" t="s">
        <v>28</v>
      </c>
      <c r="G148" t="s">
        <v>188</v>
      </c>
      <c r="H148" t="s">
        <v>21</v>
      </c>
      <c r="I148" t="s">
        <v>24</v>
      </c>
      <c r="J148" t="s">
        <v>148</v>
      </c>
      <c r="K148" t="s">
        <v>63</v>
      </c>
      <c r="L148">
        <v>2564</v>
      </c>
      <c r="M148">
        <v>9.3904218999999998</v>
      </c>
      <c r="N148">
        <v>70.877460183569553</v>
      </c>
      <c r="O148">
        <v>-0.53377972266774365</v>
      </c>
      <c r="P148" s="1" t="str">
        <f>HYPERLINK(".\sm_car_260613_0002\sm_car_260613_0002_147_Ca004TrN_MaLSS_DrSt_ode3_1.png","figure")</f>
        <v>figure</v>
      </c>
      <c r="Q148" t="s">
        <v>15</v>
      </c>
    </row>
    <row r="149" spans="1:17" x14ac:dyDescent="0.25">
      <c r="A149">
        <v>148</v>
      </c>
      <c r="B149">
        <v>4</v>
      </c>
      <c r="C149" t="s">
        <v>16</v>
      </c>
      <c r="D149" t="s">
        <v>17</v>
      </c>
      <c r="E149" t="s">
        <v>18</v>
      </c>
      <c r="F149" t="s">
        <v>28</v>
      </c>
      <c r="G149" t="s">
        <v>188</v>
      </c>
      <c r="H149" t="s">
        <v>21</v>
      </c>
      <c r="I149" t="s">
        <v>64</v>
      </c>
      <c r="J149" t="s">
        <v>148</v>
      </c>
      <c r="K149" t="s">
        <v>63</v>
      </c>
      <c r="L149">
        <v>2562</v>
      </c>
      <c r="M149">
        <v>9.2928289999999993</v>
      </c>
      <c r="N149">
        <v>63.517181708669909</v>
      </c>
      <c r="O149">
        <v>-24.808510950198681</v>
      </c>
      <c r="P149" s="1" t="str">
        <f>HYPERLINK(".\sm_car_260613_0002\sm_car_260613_0002_148_Ca004TrN_MaTUR_DrSt_ode3_1.png","figure")</f>
        <v>figure</v>
      </c>
      <c r="Q149" t="s">
        <v>15</v>
      </c>
    </row>
    <row r="150" spans="1:17" x14ac:dyDescent="0.25">
      <c r="A150">
        <v>149</v>
      </c>
      <c r="B150">
        <v>116</v>
      </c>
      <c r="C150" t="s">
        <v>16</v>
      </c>
      <c r="D150" t="s">
        <v>35</v>
      </c>
      <c r="E150" t="s">
        <v>18</v>
      </c>
      <c r="F150" t="s">
        <v>28</v>
      </c>
      <c r="G150" t="s">
        <v>188</v>
      </c>
      <c r="H150" t="s">
        <v>21</v>
      </c>
      <c r="I150" t="s">
        <v>22</v>
      </c>
      <c r="J150" t="s">
        <v>148</v>
      </c>
      <c r="K150" t="s">
        <v>63</v>
      </c>
      <c r="L150">
        <v>3244</v>
      </c>
      <c r="M150">
        <v>4.9176061000000004</v>
      </c>
      <c r="N150">
        <v>242.69607452495515</v>
      </c>
      <c r="O150">
        <v>0.2363544606825817</v>
      </c>
      <c r="P150" s="1" t="str">
        <f>HYPERLINK(".\sm_car_260613_0002\sm_car_260613_0002_149_Ca116TrN_MaWOT_DrSt_ode3_1.png","figure")</f>
        <v>figure</v>
      </c>
      <c r="Q150" t="s">
        <v>15</v>
      </c>
    </row>
    <row r="151" spans="1:17" x14ac:dyDescent="0.25">
      <c r="A151">
        <v>150</v>
      </c>
      <c r="B151">
        <v>116</v>
      </c>
      <c r="C151" t="s">
        <v>16</v>
      </c>
      <c r="D151" t="s">
        <v>35</v>
      </c>
      <c r="E151" t="s">
        <v>18</v>
      </c>
      <c r="F151" t="s">
        <v>28</v>
      </c>
      <c r="G151" t="s">
        <v>188</v>
      </c>
      <c r="H151" t="s">
        <v>21</v>
      </c>
      <c r="I151" t="s">
        <v>24</v>
      </c>
      <c r="J151" t="s">
        <v>148</v>
      </c>
      <c r="K151" t="s">
        <v>63</v>
      </c>
      <c r="L151">
        <v>2564</v>
      </c>
      <c r="M151">
        <v>4.1185808000000002</v>
      </c>
      <c r="N151">
        <v>74.657190781020958</v>
      </c>
      <c r="O151">
        <v>-0.3407582447130062</v>
      </c>
      <c r="P151" s="1" t="str">
        <f>HYPERLINK(".\sm_car_260613_0002\sm_car_260613_0002_150_Ca116TrN_MaLSS_DrSt_ode3_1.png","figure")</f>
        <v>figure</v>
      </c>
      <c r="Q151" t="s">
        <v>15</v>
      </c>
    </row>
    <row r="152" spans="1:17" x14ac:dyDescent="0.25">
      <c r="A152">
        <v>151</v>
      </c>
      <c r="B152">
        <v>116</v>
      </c>
      <c r="C152" t="s">
        <v>16</v>
      </c>
      <c r="D152" t="s">
        <v>35</v>
      </c>
      <c r="E152" t="s">
        <v>18</v>
      </c>
      <c r="F152" t="s">
        <v>28</v>
      </c>
      <c r="G152" t="s">
        <v>188</v>
      </c>
      <c r="H152" t="s">
        <v>21</v>
      </c>
      <c r="I152" t="s">
        <v>64</v>
      </c>
      <c r="J152" t="s">
        <v>148</v>
      </c>
      <c r="K152" t="s">
        <v>63</v>
      </c>
      <c r="L152">
        <v>2563</v>
      </c>
      <c r="M152">
        <v>4.3179806000000003</v>
      </c>
      <c r="N152">
        <v>71.322015482827737</v>
      </c>
      <c r="O152">
        <v>-17.590329133627819</v>
      </c>
      <c r="P152" s="1" t="str">
        <f>HYPERLINK(".\sm_car_260613_0002\sm_car_260613_0002_151_Ca116TrN_MaTUR_DrSt_ode3_1.png","figure")</f>
        <v>figure</v>
      </c>
      <c r="Q152" t="s">
        <v>15</v>
      </c>
    </row>
    <row r="153" spans="1:17" x14ac:dyDescent="0.25">
      <c r="A153">
        <v>152</v>
      </c>
      <c r="B153">
        <v>124</v>
      </c>
      <c r="C153" t="s">
        <v>16</v>
      </c>
      <c r="D153" t="s">
        <v>35</v>
      </c>
      <c r="E153" t="s">
        <v>49</v>
      </c>
      <c r="F153" t="s">
        <v>28</v>
      </c>
      <c r="G153" t="s">
        <v>188</v>
      </c>
      <c r="H153" t="s">
        <v>21</v>
      </c>
      <c r="I153" t="s">
        <v>22</v>
      </c>
      <c r="J153" t="s">
        <v>148</v>
      </c>
      <c r="K153" t="s">
        <v>63</v>
      </c>
      <c r="L153">
        <v>3244</v>
      </c>
      <c r="M153">
        <v>2.9183430000000001</v>
      </c>
      <c r="N153">
        <v>242.87242715532983</v>
      </c>
      <c r="O153">
        <v>0.23615865807342021</v>
      </c>
      <c r="P153" s="1" t="str">
        <f>HYPERLINK(".\sm_car_260613_0002\sm_car_260613_0002_152_Ca124TrN_MaWOT_DrSt_ode3_1.png","figure")</f>
        <v>figure</v>
      </c>
      <c r="Q153" t="s">
        <v>15</v>
      </c>
    </row>
    <row r="154" spans="1:17" x14ac:dyDescent="0.25">
      <c r="A154">
        <v>153</v>
      </c>
      <c r="B154">
        <v>124</v>
      </c>
      <c r="C154" t="s">
        <v>16</v>
      </c>
      <c r="D154" t="s">
        <v>35</v>
      </c>
      <c r="E154" t="s">
        <v>49</v>
      </c>
      <c r="F154" t="s">
        <v>28</v>
      </c>
      <c r="G154" t="s">
        <v>188</v>
      </c>
      <c r="H154" t="s">
        <v>21</v>
      </c>
      <c r="I154" t="s">
        <v>24</v>
      </c>
      <c r="J154" t="s">
        <v>148</v>
      </c>
      <c r="K154" t="s">
        <v>63</v>
      </c>
      <c r="L154">
        <v>2565</v>
      </c>
      <c r="M154">
        <v>2.4442083000000001</v>
      </c>
      <c r="N154">
        <v>74.796106047635263</v>
      </c>
      <c r="O154">
        <v>-0.34233746036970669</v>
      </c>
      <c r="P154" s="1" t="str">
        <f>HYPERLINK(".\sm_car_260613_0002\sm_car_260613_0002_153_Ca124TrN_MaLSS_DrSt_ode3_1.png","figure")</f>
        <v>figure</v>
      </c>
      <c r="Q154" t="s">
        <v>15</v>
      </c>
    </row>
    <row r="155" spans="1:17" x14ac:dyDescent="0.25">
      <c r="A155">
        <v>154</v>
      </c>
      <c r="B155">
        <v>124</v>
      </c>
      <c r="C155" t="s">
        <v>16</v>
      </c>
      <c r="D155" t="s">
        <v>35</v>
      </c>
      <c r="E155" t="s">
        <v>49</v>
      </c>
      <c r="F155" t="s">
        <v>28</v>
      </c>
      <c r="G155" t="s">
        <v>188</v>
      </c>
      <c r="H155" t="s">
        <v>21</v>
      </c>
      <c r="I155" t="s">
        <v>64</v>
      </c>
      <c r="J155" t="s">
        <v>148</v>
      </c>
      <c r="K155" t="s">
        <v>63</v>
      </c>
      <c r="L155">
        <v>2564</v>
      </c>
      <c r="M155">
        <v>2.3625107000000001</v>
      </c>
      <c r="N155">
        <v>71.447408148581204</v>
      </c>
      <c r="O155">
        <v>-17.636376331807366</v>
      </c>
      <c r="P155" s="1" t="str">
        <f>HYPERLINK(".\sm_car_260613_0002\sm_car_260613_0002_154_Ca124TrN_MaTUR_DrSt_ode3_1.png","figure")</f>
        <v>figure</v>
      </c>
      <c r="Q155" t="s">
        <v>15</v>
      </c>
    </row>
    <row r="156" spans="1:17" x14ac:dyDescent="0.25">
      <c r="A156">
        <v>155</v>
      </c>
      <c r="B156">
        <v>141</v>
      </c>
      <c r="C156" t="s">
        <v>45</v>
      </c>
      <c r="D156" t="s">
        <v>17</v>
      </c>
      <c r="E156" t="s">
        <v>18</v>
      </c>
      <c r="F156" t="s">
        <v>28</v>
      </c>
      <c r="G156" t="s">
        <v>26</v>
      </c>
      <c r="H156" t="s">
        <v>21</v>
      </c>
      <c r="I156" t="s">
        <v>22</v>
      </c>
      <c r="J156" t="s">
        <v>148</v>
      </c>
      <c r="K156" t="s">
        <v>63</v>
      </c>
      <c r="L156">
        <v>3839</v>
      </c>
      <c r="M156">
        <v>16.568535799999999</v>
      </c>
      <c r="N156">
        <v>402.30863495617422</v>
      </c>
      <c r="O156">
        <v>1.6338397315292668</v>
      </c>
      <c r="P156" s="1" t="str">
        <f>HYPERLINK(".\sm_car_260613_0002\sm_car_260613_0002_155_Ca141TrN_MaWOT_DrSt_ode3_1.png","figure")</f>
        <v>figure</v>
      </c>
      <c r="Q156" t="s">
        <v>15</v>
      </c>
    </row>
    <row r="157" spans="1:17" x14ac:dyDescent="0.25">
      <c r="A157">
        <v>156</v>
      </c>
      <c r="B157">
        <v>141</v>
      </c>
      <c r="C157" t="s">
        <v>45</v>
      </c>
      <c r="D157" t="s">
        <v>17</v>
      </c>
      <c r="E157" t="s">
        <v>18</v>
      </c>
      <c r="F157" t="s">
        <v>28</v>
      </c>
      <c r="G157" t="s">
        <v>26</v>
      </c>
      <c r="H157" t="s">
        <v>21</v>
      </c>
      <c r="I157" t="s">
        <v>24</v>
      </c>
      <c r="J157" t="s">
        <v>148</v>
      </c>
      <c r="K157" t="s">
        <v>63</v>
      </c>
      <c r="L157">
        <v>3192</v>
      </c>
      <c r="M157">
        <v>13.6275554</v>
      </c>
      <c r="N157">
        <v>153.16103252931833</v>
      </c>
      <c r="O157">
        <v>-0.57333301644331658</v>
      </c>
      <c r="P157" s="1" t="str">
        <f>HYPERLINK(".\sm_car_260613_0002\sm_car_260613_0002_156_Ca141TrN_MaLSS_DrSt_ode3_1.png","figure")</f>
        <v>figure</v>
      </c>
      <c r="Q157" t="s">
        <v>15</v>
      </c>
    </row>
    <row r="158" spans="1:17" x14ac:dyDescent="0.25">
      <c r="A158">
        <v>157</v>
      </c>
      <c r="B158">
        <v>141</v>
      </c>
      <c r="C158" t="s">
        <v>45</v>
      </c>
      <c r="D158" t="s">
        <v>17</v>
      </c>
      <c r="E158" t="s">
        <v>18</v>
      </c>
      <c r="F158" t="s">
        <v>28</v>
      </c>
      <c r="G158" t="s">
        <v>26</v>
      </c>
      <c r="H158" t="s">
        <v>21</v>
      </c>
      <c r="I158" t="s">
        <v>64</v>
      </c>
      <c r="J158" t="s">
        <v>148</v>
      </c>
      <c r="K158" t="s">
        <v>63</v>
      </c>
      <c r="L158">
        <v>3161</v>
      </c>
      <c r="M158">
        <v>13.3359209</v>
      </c>
      <c r="N158">
        <v>98.182502301574189</v>
      </c>
      <c r="O158">
        <v>-86.478323075534789</v>
      </c>
      <c r="P158" s="1" t="str">
        <f>HYPERLINK(".\sm_car_260613_0002\sm_car_260613_0002_157_Ca141TrN_MaTUR_DrSt_ode3_1.png","figure")</f>
        <v>figure</v>
      </c>
      <c r="Q158" t="s">
        <v>15</v>
      </c>
    </row>
    <row r="159" spans="1:17" x14ac:dyDescent="0.25">
      <c r="A159">
        <v>158</v>
      </c>
      <c r="B159">
        <v>145</v>
      </c>
      <c r="C159" t="s">
        <v>46</v>
      </c>
      <c r="D159" t="s">
        <v>17</v>
      </c>
      <c r="E159" t="s">
        <v>50</v>
      </c>
      <c r="F159" t="s">
        <v>19</v>
      </c>
      <c r="G159" t="s">
        <v>26</v>
      </c>
      <c r="H159" t="s">
        <v>21</v>
      </c>
      <c r="I159" t="s">
        <v>22</v>
      </c>
      <c r="J159" t="s">
        <v>148</v>
      </c>
      <c r="K159" t="s">
        <v>63</v>
      </c>
      <c r="L159">
        <v>2642</v>
      </c>
      <c r="M159">
        <v>9.3735455999999999</v>
      </c>
      <c r="N159">
        <v>62.801313298608221</v>
      </c>
      <c r="O159">
        <v>1.2893842335469084E-2</v>
      </c>
      <c r="P159" s="1" t="str">
        <f>HYPERLINK(".\sm_car_260613_0002\sm_car_260613_0002_158_Ca145TrN_MaWOT_DrSt_ode3_1.png","figure")</f>
        <v>figure</v>
      </c>
      <c r="Q159" t="s">
        <v>15</v>
      </c>
    </row>
    <row r="160" spans="1:17" x14ac:dyDescent="0.25">
      <c r="A160">
        <v>159</v>
      </c>
      <c r="B160">
        <v>145</v>
      </c>
      <c r="C160" t="s">
        <v>46</v>
      </c>
      <c r="D160" t="s">
        <v>17</v>
      </c>
      <c r="E160" t="s">
        <v>50</v>
      </c>
      <c r="F160" t="s">
        <v>19</v>
      </c>
      <c r="G160" t="s">
        <v>26</v>
      </c>
      <c r="H160" t="s">
        <v>21</v>
      </c>
      <c r="I160" t="s">
        <v>24</v>
      </c>
      <c r="J160" t="s">
        <v>148</v>
      </c>
      <c r="K160" t="s">
        <v>63</v>
      </c>
      <c r="L160">
        <v>2382</v>
      </c>
      <c r="M160">
        <v>8.4169769999999993</v>
      </c>
      <c r="N160">
        <v>25.299765577118411</v>
      </c>
      <c r="O160">
        <v>-5.1070003004616386E-2</v>
      </c>
      <c r="P160" s="1" t="str">
        <f>HYPERLINK(".\sm_car_260613_0002\sm_car_260613_0002_159_Ca145TrN_MaLSS_DrSt_ode3_1.png","figure")</f>
        <v>figure</v>
      </c>
      <c r="Q160" t="s">
        <v>15</v>
      </c>
    </row>
    <row r="161" spans="1:17" x14ac:dyDescent="0.25">
      <c r="A161">
        <v>160</v>
      </c>
      <c r="B161">
        <v>145</v>
      </c>
      <c r="C161" t="s">
        <v>46</v>
      </c>
      <c r="D161" t="s">
        <v>17</v>
      </c>
      <c r="E161" t="s">
        <v>50</v>
      </c>
      <c r="F161" t="s">
        <v>19</v>
      </c>
      <c r="G161" t="s">
        <v>26</v>
      </c>
      <c r="H161" t="s">
        <v>21</v>
      </c>
      <c r="I161" t="s">
        <v>64</v>
      </c>
      <c r="J161" t="s">
        <v>148</v>
      </c>
      <c r="K161" t="s">
        <v>63</v>
      </c>
      <c r="L161">
        <v>2379</v>
      </c>
      <c r="M161">
        <v>8.3651053999999991</v>
      </c>
      <c r="N161">
        <v>25.119346970662672</v>
      </c>
      <c r="O161">
        <v>-2.6098494503383183</v>
      </c>
      <c r="P161" s="1" t="str">
        <f>HYPERLINK(".\sm_car_260613_0002\sm_car_260613_0002_160_Ca145TrN_MaTUR_DrSt_ode3_1.png","figure")</f>
        <v>figure</v>
      </c>
      <c r="Q161" t="s">
        <v>15</v>
      </c>
    </row>
    <row r="162" spans="1:17" x14ac:dyDescent="0.25">
      <c r="A162">
        <v>161</v>
      </c>
      <c r="B162">
        <v>199</v>
      </c>
      <c r="C162" t="s">
        <v>46</v>
      </c>
      <c r="D162" t="s">
        <v>17</v>
      </c>
      <c r="E162" t="s">
        <v>109</v>
      </c>
      <c r="F162" t="s">
        <v>19</v>
      </c>
      <c r="G162" t="s">
        <v>26</v>
      </c>
      <c r="H162" t="s">
        <v>21</v>
      </c>
      <c r="I162" t="s">
        <v>22</v>
      </c>
      <c r="J162" t="s">
        <v>148</v>
      </c>
      <c r="K162" t="s">
        <v>63</v>
      </c>
      <c r="L162">
        <v>2647</v>
      </c>
      <c r="M162">
        <v>10.5746471</v>
      </c>
      <c r="N162">
        <v>63.479991086186772</v>
      </c>
      <c r="O162">
        <v>-1.3351542397531919E-4</v>
      </c>
      <c r="P162" s="1" t="str">
        <f>HYPERLINK(".\sm_car_260613_0002\sm_car_260613_0002_161_Ca199TrN_MaWOT_DrSt_ode3_1.png","figure")</f>
        <v>figure</v>
      </c>
      <c r="Q162" t="s">
        <v>15</v>
      </c>
    </row>
    <row r="163" spans="1:17" x14ac:dyDescent="0.25">
      <c r="A163">
        <v>162</v>
      </c>
      <c r="B163">
        <v>199</v>
      </c>
      <c r="C163" t="s">
        <v>46</v>
      </c>
      <c r="D163" t="s">
        <v>17</v>
      </c>
      <c r="E163" t="s">
        <v>109</v>
      </c>
      <c r="F163" t="s">
        <v>19</v>
      </c>
      <c r="G163" t="s">
        <v>26</v>
      </c>
      <c r="H163" t="s">
        <v>21</v>
      </c>
      <c r="I163" t="s">
        <v>24</v>
      </c>
      <c r="J163" t="s">
        <v>148</v>
      </c>
      <c r="K163" t="s">
        <v>63</v>
      </c>
      <c r="L163">
        <v>2385</v>
      </c>
      <c r="M163">
        <v>9.4749365999999995</v>
      </c>
      <c r="N163">
        <v>25.919543247611728</v>
      </c>
      <c r="O163">
        <v>-5.3777383538012799E-2</v>
      </c>
      <c r="P163" s="1" t="str">
        <f>HYPERLINK(".\sm_car_260613_0002\sm_car_260613_0002_162_Ca199TrN_MaLSS_DrSt_ode3_1.png","figure")</f>
        <v>figure</v>
      </c>
      <c r="Q163" t="s">
        <v>15</v>
      </c>
    </row>
    <row r="164" spans="1:17" x14ac:dyDescent="0.25">
      <c r="A164">
        <v>163</v>
      </c>
      <c r="B164">
        <v>199</v>
      </c>
      <c r="C164" t="s">
        <v>46</v>
      </c>
      <c r="D164" t="s">
        <v>17</v>
      </c>
      <c r="E164" t="s">
        <v>109</v>
      </c>
      <c r="F164" t="s">
        <v>19</v>
      </c>
      <c r="G164" t="s">
        <v>26</v>
      </c>
      <c r="H164" t="s">
        <v>21</v>
      </c>
      <c r="I164" t="s">
        <v>64</v>
      </c>
      <c r="J164" t="s">
        <v>148</v>
      </c>
      <c r="K164" t="s">
        <v>63</v>
      </c>
      <c r="L164">
        <v>2383</v>
      </c>
      <c r="M164">
        <v>9.3659675</v>
      </c>
      <c r="N164">
        <v>25.733626918673806</v>
      </c>
      <c r="O164">
        <v>-2.6936807199068045</v>
      </c>
      <c r="P164" s="1" t="str">
        <f>HYPERLINK(".\sm_car_260613_0002\sm_car_260613_0002_163_Ca199TrN_MaTUR_DrSt_ode3_1.png","figure")</f>
        <v>figure</v>
      </c>
      <c r="Q164" t="s">
        <v>15</v>
      </c>
    </row>
    <row r="165" spans="1:17" x14ac:dyDescent="0.25">
      <c r="A165">
        <v>164</v>
      </c>
      <c r="B165">
        <v>139</v>
      </c>
      <c r="C165" t="s">
        <v>45</v>
      </c>
      <c r="D165" t="s">
        <v>17</v>
      </c>
      <c r="E165" t="s">
        <v>18</v>
      </c>
      <c r="F165" t="s">
        <v>19</v>
      </c>
      <c r="G165" t="s">
        <v>26</v>
      </c>
      <c r="H165" t="s">
        <v>21</v>
      </c>
      <c r="I165" t="s">
        <v>53</v>
      </c>
      <c r="J165" t="s">
        <v>148</v>
      </c>
      <c r="K165" t="s">
        <v>23</v>
      </c>
      <c r="L165">
        <v>524</v>
      </c>
      <c r="M165">
        <v>13.4659095</v>
      </c>
      <c r="N165">
        <v>253.99676452488802</v>
      </c>
      <c r="O165">
        <v>-8.6149756927254018E-3</v>
      </c>
      <c r="P165" s="1" t="str">
        <f>HYPERLINK(".\sm_car_260613_0002\sm_car_260613_0002_164_Ca139TrN_MaDLC_DrSt_ode23t_1.png","figure")</f>
        <v>figure</v>
      </c>
      <c r="Q165" t="s">
        <v>15</v>
      </c>
    </row>
    <row r="166" spans="1:17" x14ac:dyDescent="0.25">
      <c r="A166">
        <v>165</v>
      </c>
      <c r="B166">
        <v>139</v>
      </c>
      <c r="C166" t="s">
        <v>45</v>
      </c>
      <c r="D166" t="s">
        <v>17</v>
      </c>
      <c r="E166" t="s">
        <v>18</v>
      </c>
      <c r="F166" t="s">
        <v>19</v>
      </c>
      <c r="G166" t="s">
        <v>26</v>
      </c>
      <c r="H166" t="s">
        <v>65</v>
      </c>
      <c r="I166" t="s">
        <v>53</v>
      </c>
      <c r="J166" t="s">
        <v>148</v>
      </c>
      <c r="K166" t="s">
        <v>23</v>
      </c>
      <c r="L166">
        <v>815</v>
      </c>
      <c r="M166">
        <v>38.1917148</v>
      </c>
      <c r="N166">
        <v>253.80160384792362</v>
      </c>
      <c r="O166">
        <v>7.3828787203487067E-3</v>
      </c>
      <c r="P166" s="1" t="str">
        <f>HYPERLINK(".\sm_car_260613_0002\sm_car_260613_0002_165_Ca139TrE_MaDLC_DrSt_ode23t_1.png","figure")</f>
        <v>figure</v>
      </c>
      <c r="Q166" t="s">
        <v>15</v>
      </c>
    </row>
    <row r="167" spans="1:17" x14ac:dyDescent="0.25">
      <c r="A167">
        <v>166</v>
      </c>
      <c r="B167">
        <v>139</v>
      </c>
      <c r="C167" t="s">
        <v>45</v>
      </c>
      <c r="D167" t="s">
        <v>17</v>
      </c>
      <c r="E167" t="s">
        <v>18</v>
      </c>
      <c r="F167" t="s">
        <v>19</v>
      </c>
      <c r="G167" t="s">
        <v>26</v>
      </c>
      <c r="H167" t="s">
        <v>66</v>
      </c>
      <c r="I167" t="s">
        <v>53</v>
      </c>
      <c r="J167" t="s">
        <v>148</v>
      </c>
      <c r="K167" t="s">
        <v>23</v>
      </c>
      <c r="L167">
        <v>857</v>
      </c>
      <c r="M167">
        <v>41.889512400000001</v>
      </c>
      <c r="N167">
        <v>256.58900117886174</v>
      </c>
      <c r="O167">
        <v>-6.6800113465834698E-3</v>
      </c>
      <c r="P167" s="1" t="str">
        <f>HYPERLINK(".\sm_car_260613_0002\sm_car_260613_0002_166_Ca139TrT_MaDLC_DrSt_ode23t_1.png","figure")</f>
        <v>figure</v>
      </c>
      <c r="Q167" t="s">
        <v>15</v>
      </c>
    </row>
    <row r="168" spans="1:17" x14ac:dyDescent="0.25">
      <c r="A168">
        <v>167</v>
      </c>
      <c r="B168">
        <v>139</v>
      </c>
      <c r="C168" t="s">
        <v>45</v>
      </c>
      <c r="D168" t="s">
        <v>17</v>
      </c>
      <c r="E168" t="s">
        <v>18</v>
      </c>
      <c r="F168" t="s">
        <v>19</v>
      </c>
      <c r="G168" t="s">
        <v>26</v>
      </c>
      <c r="H168" t="s">
        <v>65</v>
      </c>
      <c r="I168" t="s">
        <v>53</v>
      </c>
      <c r="J168" t="s">
        <v>148</v>
      </c>
      <c r="K168" t="s">
        <v>23</v>
      </c>
      <c r="L168">
        <v>936</v>
      </c>
      <c r="M168">
        <v>32.668058199999997</v>
      </c>
      <c r="N168">
        <v>253.38042401563018</v>
      </c>
      <c r="O168">
        <v>0.16724169237921149</v>
      </c>
      <c r="P168" s="1" t="str">
        <f>HYPERLINK(".\sm_car_260613_0002\sm_car_260613_0002_167_Ca139TrE_MaDLC_DrSt_ode23t_1.png","figure")</f>
        <v>figure</v>
      </c>
      <c r="Q168" t="s">
        <v>15</v>
      </c>
    </row>
    <row r="169" spans="1:17" x14ac:dyDescent="0.25">
      <c r="A169">
        <v>168</v>
      </c>
      <c r="B169">
        <v>2</v>
      </c>
      <c r="C169" t="s">
        <v>16</v>
      </c>
      <c r="D169" t="s">
        <v>17</v>
      </c>
      <c r="E169" t="s">
        <v>18</v>
      </c>
      <c r="F169" t="s">
        <v>19</v>
      </c>
      <c r="G169" t="s">
        <v>188</v>
      </c>
      <c r="H169" t="s">
        <v>21</v>
      </c>
      <c r="I169" t="s">
        <v>53</v>
      </c>
      <c r="J169" t="s">
        <v>148</v>
      </c>
      <c r="K169" t="s">
        <v>23</v>
      </c>
      <c r="L169">
        <v>527</v>
      </c>
      <c r="M169">
        <v>11.806407200000001</v>
      </c>
      <c r="N169">
        <v>254.3980921395289</v>
      </c>
      <c r="O169">
        <v>4.309435175936116E-2</v>
      </c>
      <c r="P169" s="1" t="str">
        <f>HYPERLINK(".\sm_car_260613_0002\sm_car_260613_0002_168_Ca002TrN_MaDLC_DrSt_ode23t_1.png","figure")</f>
        <v>figure</v>
      </c>
      <c r="Q169" t="s">
        <v>15</v>
      </c>
    </row>
    <row r="170" spans="1:17" x14ac:dyDescent="0.25">
      <c r="A170">
        <v>169</v>
      </c>
      <c r="B170">
        <v>2</v>
      </c>
      <c r="C170" t="s">
        <v>16</v>
      </c>
      <c r="D170" t="s">
        <v>17</v>
      </c>
      <c r="E170" t="s">
        <v>18</v>
      </c>
      <c r="F170" t="s">
        <v>19</v>
      </c>
      <c r="G170" t="s">
        <v>188</v>
      </c>
      <c r="H170" t="s">
        <v>65</v>
      </c>
      <c r="I170" t="s">
        <v>53</v>
      </c>
      <c r="J170" t="s">
        <v>148</v>
      </c>
      <c r="K170" t="s">
        <v>23</v>
      </c>
      <c r="L170">
        <v>555</v>
      </c>
      <c r="M170">
        <v>22.349287799999999</v>
      </c>
      <c r="N170">
        <v>255.03264664219012</v>
      </c>
      <c r="O170">
        <v>4.1463938932376543E-2</v>
      </c>
      <c r="P170" s="1" t="str">
        <f>HYPERLINK(".\sm_car_260613_0002\sm_car_260613_0002_169_Ca002TrE_MaDLC_DrSt_ode23t_1.png","figure")</f>
        <v>figure</v>
      </c>
      <c r="Q170" t="s">
        <v>15</v>
      </c>
    </row>
    <row r="171" spans="1:17" x14ac:dyDescent="0.25">
      <c r="A171">
        <v>170</v>
      </c>
      <c r="B171">
        <v>2</v>
      </c>
      <c r="C171" t="s">
        <v>16</v>
      </c>
      <c r="D171" t="s">
        <v>17</v>
      </c>
      <c r="E171" t="s">
        <v>18</v>
      </c>
      <c r="F171" t="s">
        <v>19</v>
      </c>
      <c r="G171" t="s">
        <v>188</v>
      </c>
      <c r="H171" t="s">
        <v>66</v>
      </c>
      <c r="I171" t="s">
        <v>53</v>
      </c>
      <c r="J171" t="s">
        <v>148</v>
      </c>
      <c r="K171" t="s">
        <v>23</v>
      </c>
      <c r="L171">
        <v>857</v>
      </c>
      <c r="M171">
        <v>32.477457600000001</v>
      </c>
      <c r="N171">
        <v>253.4148112528311</v>
      </c>
      <c r="O171">
        <v>4.6705041521387436E-2</v>
      </c>
      <c r="P171" s="1" t="str">
        <f>HYPERLINK(".\sm_car_260613_0002\sm_car_260613_0002_170_Ca002TrT_MaDLC_DrSt_ode23t_1.png","figure")</f>
        <v>figure</v>
      </c>
      <c r="Q171" t="s">
        <v>15</v>
      </c>
    </row>
    <row r="172" spans="1:17" x14ac:dyDescent="0.25">
      <c r="A172">
        <v>171</v>
      </c>
      <c r="B172">
        <v>2</v>
      </c>
      <c r="C172" t="s">
        <v>16</v>
      </c>
      <c r="D172" t="s">
        <v>17</v>
      </c>
      <c r="E172" t="s">
        <v>18</v>
      </c>
      <c r="F172" t="s">
        <v>19</v>
      </c>
      <c r="G172" t="s">
        <v>188</v>
      </c>
      <c r="H172" t="s">
        <v>65</v>
      </c>
      <c r="I172" t="s">
        <v>53</v>
      </c>
      <c r="J172" t="s">
        <v>148</v>
      </c>
      <c r="K172" t="s">
        <v>23</v>
      </c>
      <c r="L172">
        <v>563</v>
      </c>
      <c r="M172">
        <v>16.0511102</v>
      </c>
      <c r="N172">
        <v>253.21717308073283</v>
      </c>
      <c r="O172">
        <v>4.8158266585414111E-2</v>
      </c>
      <c r="P172" s="1" t="str">
        <f>HYPERLINK(".\sm_car_260613_0002\sm_car_260613_0002_171_Ca002TrE_MaDLC_DrSt_ode23t_1.png","figure")</f>
        <v>figure</v>
      </c>
      <c r="Q172" t="s">
        <v>15</v>
      </c>
    </row>
    <row r="173" spans="1:17" x14ac:dyDescent="0.25">
      <c r="A173">
        <v>172</v>
      </c>
      <c r="B173">
        <v>145</v>
      </c>
      <c r="C173" t="s">
        <v>46</v>
      </c>
      <c r="D173" t="s">
        <v>17</v>
      </c>
      <c r="E173" t="s">
        <v>50</v>
      </c>
      <c r="F173" t="s">
        <v>19</v>
      </c>
      <c r="G173" t="s">
        <v>26</v>
      </c>
      <c r="H173" t="s">
        <v>21</v>
      </c>
      <c r="I173" t="s">
        <v>53</v>
      </c>
      <c r="J173" t="s">
        <v>148</v>
      </c>
      <c r="K173" t="s">
        <v>23</v>
      </c>
      <c r="L173">
        <v>464</v>
      </c>
      <c r="M173">
        <v>20.396157200000001</v>
      </c>
      <c r="N173">
        <v>253.89788928119884</v>
      </c>
      <c r="O173">
        <v>7.4999592997252229E-2</v>
      </c>
      <c r="P173" s="1" t="str">
        <f>HYPERLINK(".\sm_car_260613_0002\sm_car_260613_0002_172_Ca145TrN_MaDLC_DrSt_ode23t_1.png","figure")</f>
        <v>figure</v>
      </c>
      <c r="Q173" t="s">
        <v>15</v>
      </c>
    </row>
    <row r="174" spans="1:17" x14ac:dyDescent="0.25">
      <c r="A174">
        <v>173</v>
      </c>
      <c r="B174">
        <v>145</v>
      </c>
      <c r="C174" t="s">
        <v>46</v>
      </c>
      <c r="D174" t="s">
        <v>17</v>
      </c>
      <c r="E174" t="s">
        <v>50</v>
      </c>
      <c r="F174" t="s">
        <v>19</v>
      </c>
      <c r="G174" t="s">
        <v>26</v>
      </c>
      <c r="H174" t="s">
        <v>65</v>
      </c>
      <c r="I174" t="s">
        <v>53</v>
      </c>
      <c r="J174" t="s">
        <v>148</v>
      </c>
      <c r="K174" t="s">
        <v>23</v>
      </c>
      <c r="L174">
        <v>571</v>
      </c>
      <c r="M174">
        <v>40.251954300000001</v>
      </c>
      <c r="N174">
        <v>253.78551424782256</v>
      </c>
      <c r="O174">
        <v>7.6159541067355896E-2</v>
      </c>
      <c r="P174" s="1" t="str">
        <f>HYPERLINK(".\sm_car_260613_0002\sm_car_260613_0002_173_Ca145TrE_MaDLC_DrSt_ode23t_1.png","figure")</f>
        <v>figure</v>
      </c>
      <c r="Q174" t="s">
        <v>15</v>
      </c>
    </row>
    <row r="175" spans="1:17" x14ac:dyDescent="0.25">
      <c r="A175">
        <v>174</v>
      </c>
      <c r="B175">
        <v>145</v>
      </c>
      <c r="C175" t="s">
        <v>46</v>
      </c>
      <c r="D175" t="s">
        <v>17</v>
      </c>
      <c r="E175" t="s">
        <v>50</v>
      </c>
      <c r="F175" t="s">
        <v>19</v>
      </c>
      <c r="G175" t="s">
        <v>26</v>
      </c>
      <c r="H175" t="s">
        <v>66</v>
      </c>
      <c r="I175" t="s">
        <v>53</v>
      </c>
      <c r="J175" t="s">
        <v>148</v>
      </c>
      <c r="K175" t="s">
        <v>23</v>
      </c>
      <c r="L175">
        <v>1825</v>
      </c>
      <c r="M175">
        <v>315.86474379999999</v>
      </c>
      <c r="N175">
        <v>255.19981931947939</v>
      </c>
      <c r="O175">
        <v>6.9073493590370738E-2</v>
      </c>
      <c r="P175" s="1" t="str">
        <f>HYPERLINK(".\sm_car_260613_0002\sm_car_260613_0002_174_Ca145TrT_MaDLC_DrSt_ode23t_1.png","figure")</f>
        <v>figure</v>
      </c>
      <c r="Q175" t="s">
        <v>15</v>
      </c>
    </row>
    <row r="176" spans="1:17" x14ac:dyDescent="0.25">
      <c r="A176">
        <v>175</v>
      </c>
      <c r="B176">
        <v>145</v>
      </c>
      <c r="C176" t="s">
        <v>46</v>
      </c>
      <c r="D176" t="s">
        <v>17</v>
      </c>
      <c r="E176" t="s">
        <v>50</v>
      </c>
      <c r="F176" t="s">
        <v>19</v>
      </c>
      <c r="G176" t="s">
        <v>26</v>
      </c>
      <c r="H176" t="s">
        <v>65</v>
      </c>
      <c r="I176" t="s">
        <v>53</v>
      </c>
      <c r="J176" t="s">
        <v>148</v>
      </c>
      <c r="K176" t="s">
        <v>23</v>
      </c>
      <c r="L176">
        <v>556</v>
      </c>
      <c r="M176">
        <v>34.589582299999996</v>
      </c>
      <c r="N176">
        <v>254.75003909541107</v>
      </c>
      <c r="O176">
        <v>7.1601229785727583E-2</v>
      </c>
      <c r="P176" s="1" t="str">
        <f>HYPERLINK(".\sm_car_260613_0002\sm_car_260613_0002_175_Ca145TrE_MaDLC_DrSt_ode23t_1.png","figure")</f>
        <v>figure</v>
      </c>
      <c r="Q176" t="s">
        <v>15</v>
      </c>
    </row>
    <row r="177" spans="1:17" x14ac:dyDescent="0.25">
      <c r="A177">
        <v>176</v>
      </c>
      <c r="B177">
        <v>199</v>
      </c>
      <c r="C177" t="s">
        <v>46</v>
      </c>
      <c r="D177" t="s">
        <v>17</v>
      </c>
      <c r="E177" t="s">
        <v>109</v>
      </c>
      <c r="F177" t="s">
        <v>19</v>
      </c>
      <c r="G177" t="s">
        <v>26</v>
      </c>
      <c r="H177" t="s">
        <v>21</v>
      </c>
      <c r="I177" t="s">
        <v>53</v>
      </c>
      <c r="J177" t="s">
        <v>148</v>
      </c>
      <c r="K177" t="s">
        <v>23</v>
      </c>
      <c r="L177">
        <v>462</v>
      </c>
      <c r="M177">
        <v>9.4672242000000004</v>
      </c>
      <c r="N177">
        <v>253.69267690242975</v>
      </c>
      <c r="O177">
        <v>7.60750320853818E-2</v>
      </c>
      <c r="P177" s="1" t="str">
        <f>HYPERLINK(".\sm_car_260613_0002\sm_car_260613_0002_176_Ca199TrN_MaDLC_DrSt_ode23t_1.png","figure")</f>
        <v>figure</v>
      </c>
      <c r="Q177" t="s">
        <v>15</v>
      </c>
    </row>
    <row r="178" spans="1:17" x14ac:dyDescent="0.25">
      <c r="A178">
        <v>177</v>
      </c>
      <c r="B178">
        <v>199</v>
      </c>
      <c r="C178" t="s">
        <v>46</v>
      </c>
      <c r="D178" t="s">
        <v>17</v>
      </c>
      <c r="E178" t="s">
        <v>109</v>
      </c>
      <c r="F178" t="s">
        <v>19</v>
      </c>
      <c r="G178" t="s">
        <v>26</v>
      </c>
      <c r="H178" t="s">
        <v>65</v>
      </c>
      <c r="I178" t="s">
        <v>53</v>
      </c>
      <c r="J178" t="s">
        <v>148</v>
      </c>
      <c r="K178" t="s">
        <v>23</v>
      </c>
      <c r="L178">
        <v>562</v>
      </c>
      <c r="M178">
        <v>21.902039299999998</v>
      </c>
      <c r="N178">
        <v>254.80349452363248</v>
      </c>
      <c r="O178">
        <v>7.1328970899537936E-2</v>
      </c>
      <c r="P178" s="1" t="str">
        <f>HYPERLINK(".\sm_car_260613_0002\sm_car_260613_0002_177_Ca199TrE_MaDLC_DrSt_ode23t_1.png","figure")</f>
        <v>figure</v>
      </c>
      <c r="Q178" t="s">
        <v>15</v>
      </c>
    </row>
    <row r="179" spans="1:17" x14ac:dyDescent="0.25">
      <c r="A179">
        <v>178</v>
      </c>
      <c r="B179">
        <v>199</v>
      </c>
      <c r="C179" t="s">
        <v>46</v>
      </c>
      <c r="D179" t="s">
        <v>17</v>
      </c>
      <c r="E179" t="s">
        <v>109</v>
      </c>
      <c r="F179" t="s">
        <v>19</v>
      </c>
      <c r="G179" t="s">
        <v>26</v>
      </c>
      <c r="H179" t="s">
        <v>66</v>
      </c>
      <c r="I179" t="s">
        <v>53</v>
      </c>
      <c r="J179" t="s">
        <v>148</v>
      </c>
      <c r="K179" t="s">
        <v>23</v>
      </c>
      <c r="L179">
        <v>801</v>
      </c>
      <c r="M179">
        <v>28.9221352</v>
      </c>
      <c r="N179">
        <v>256.6014022585743</v>
      </c>
      <c r="O179">
        <v>6.3306276587258736E-2</v>
      </c>
      <c r="P179" s="1" t="str">
        <f>HYPERLINK(".\sm_car_260613_0002\sm_car_260613_0002_178_Ca199TrT_MaDLC_DrSt_ode23t_1.png","figure")</f>
        <v>figure</v>
      </c>
      <c r="Q179" t="s">
        <v>15</v>
      </c>
    </row>
    <row r="180" spans="1:17" x14ac:dyDescent="0.25">
      <c r="A180">
        <v>179</v>
      </c>
      <c r="B180">
        <v>199</v>
      </c>
      <c r="C180" t="s">
        <v>46</v>
      </c>
      <c r="D180" t="s">
        <v>17</v>
      </c>
      <c r="E180" t="s">
        <v>109</v>
      </c>
      <c r="F180" t="s">
        <v>19</v>
      </c>
      <c r="G180" t="s">
        <v>26</v>
      </c>
      <c r="H180" t="s">
        <v>65</v>
      </c>
      <c r="I180" t="s">
        <v>53</v>
      </c>
      <c r="J180" t="s">
        <v>148</v>
      </c>
      <c r="K180" t="s">
        <v>23</v>
      </c>
      <c r="L180">
        <v>558</v>
      </c>
      <c r="M180">
        <v>15.910817400000001</v>
      </c>
      <c r="N180">
        <v>254.80462446855591</v>
      </c>
      <c r="O180">
        <v>7.1333219490246513E-2</v>
      </c>
      <c r="P180" s="1" t="str">
        <f>HYPERLINK(".\sm_car_260613_0002\sm_car_260613_0002_179_Ca199TrE_MaDLC_DrSt_ode23t_1.png","figure")</f>
        <v>figure</v>
      </c>
      <c r="Q180" t="s">
        <v>15</v>
      </c>
    </row>
    <row r="181" spans="1:17" x14ac:dyDescent="0.25">
      <c r="A181">
        <v>180</v>
      </c>
      <c r="B181">
        <v>189</v>
      </c>
      <c r="C181" t="s">
        <v>45</v>
      </c>
      <c r="D181" t="s">
        <v>17</v>
      </c>
      <c r="E181" t="s">
        <v>107</v>
      </c>
      <c r="F181" t="s">
        <v>19</v>
      </c>
      <c r="G181" t="s">
        <v>26</v>
      </c>
      <c r="H181" t="s">
        <v>65</v>
      </c>
      <c r="I181" t="s">
        <v>67</v>
      </c>
      <c r="J181" t="s">
        <v>148</v>
      </c>
      <c r="K181" t="s">
        <v>23</v>
      </c>
      <c r="L181">
        <v>541</v>
      </c>
      <c r="M181">
        <v>20.8978267</v>
      </c>
      <c r="N181">
        <v>261.95096399579472</v>
      </c>
      <c r="O181">
        <v>5.0011140693671905</v>
      </c>
      <c r="P181" s="1" t="str">
        <f>HYPERLINK(".\sm_car_260613_0002\sm_car_260613_0002_180_Ca189TrE_MaTRD_DrSt_ode23t_1.png","figure")</f>
        <v>figure</v>
      </c>
      <c r="Q181" t="s">
        <v>15</v>
      </c>
    </row>
    <row r="182" spans="1:17" x14ac:dyDescent="0.25">
      <c r="A182">
        <v>181</v>
      </c>
      <c r="B182">
        <v>189</v>
      </c>
      <c r="C182" t="s">
        <v>45</v>
      </c>
      <c r="D182" t="s">
        <v>17</v>
      </c>
      <c r="E182" t="s">
        <v>107</v>
      </c>
      <c r="F182" t="s">
        <v>19</v>
      </c>
      <c r="G182" t="s">
        <v>26</v>
      </c>
      <c r="H182" t="s">
        <v>65</v>
      </c>
      <c r="I182" t="s">
        <v>67</v>
      </c>
      <c r="J182" t="s">
        <v>148</v>
      </c>
      <c r="K182" t="s">
        <v>23</v>
      </c>
      <c r="L182">
        <v>636</v>
      </c>
      <c r="M182">
        <v>18.9508647</v>
      </c>
      <c r="N182">
        <v>261.93534942210744</v>
      </c>
      <c r="O182">
        <v>4.9447045040404118</v>
      </c>
      <c r="P182" s="1" t="str">
        <f>HYPERLINK(".\sm_car_260613_0002\sm_car_260613_0002_181_Ca189TrU_MaTRD_DrSt_ode23t_1.png","figure")</f>
        <v>figure</v>
      </c>
      <c r="Q182" t="s">
        <v>15</v>
      </c>
    </row>
    <row r="183" spans="1:17" x14ac:dyDescent="0.25">
      <c r="A183">
        <v>182</v>
      </c>
      <c r="B183">
        <v>149</v>
      </c>
      <c r="C183" t="s">
        <v>46</v>
      </c>
      <c r="D183" t="s">
        <v>17</v>
      </c>
      <c r="E183" t="s">
        <v>68</v>
      </c>
      <c r="F183" t="s">
        <v>19</v>
      </c>
      <c r="G183" t="s">
        <v>26</v>
      </c>
      <c r="H183" t="s">
        <v>21</v>
      </c>
      <c r="I183" t="s">
        <v>177</v>
      </c>
      <c r="J183" t="s">
        <v>148</v>
      </c>
      <c r="K183" t="s">
        <v>23</v>
      </c>
      <c r="L183">
        <v>996</v>
      </c>
      <c r="M183">
        <v>14.8210716</v>
      </c>
      <c r="N183">
        <v>-6.0042046680490735E-3</v>
      </c>
      <c r="O183">
        <v>-8.4194353618561278E-4</v>
      </c>
      <c r="P183" s="1" t="str">
        <f>HYPERLINK(".\sm_car_260613_0002\sm_car_260613_0002_182_Ca149TrN_MaPS1_DrSt_ode23t_1.png","figure")</f>
        <v>figure</v>
      </c>
      <c r="Q183" t="s">
        <v>15</v>
      </c>
    </row>
    <row r="184" spans="1:17" x14ac:dyDescent="0.25">
      <c r="A184">
        <v>183</v>
      </c>
      <c r="B184">
        <v>149</v>
      </c>
      <c r="C184" t="s">
        <v>46</v>
      </c>
      <c r="D184" t="s">
        <v>17</v>
      </c>
      <c r="E184" t="s">
        <v>68</v>
      </c>
      <c r="F184" t="s">
        <v>19</v>
      </c>
      <c r="G184" t="s">
        <v>26</v>
      </c>
      <c r="H184" t="s">
        <v>21</v>
      </c>
      <c r="I184" t="s">
        <v>178</v>
      </c>
      <c r="J184" t="s">
        <v>148</v>
      </c>
      <c r="K184" t="s">
        <v>23</v>
      </c>
      <c r="L184">
        <v>2921</v>
      </c>
      <c r="M184">
        <v>20.624068000000001</v>
      </c>
      <c r="N184">
        <v>-8.9252425239849664E-3</v>
      </c>
      <c r="O184">
        <v>5.6238743417115315E-4</v>
      </c>
      <c r="P184" s="1" t="str">
        <f>HYPERLINK(".\sm_car_260613_0002\sm_car_260613_0002_183_Ca149TrN_MaPSD_DrSt_ode23t_1.png","figure")</f>
        <v>figure</v>
      </c>
      <c r="Q184" t="s">
        <v>15</v>
      </c>
    </row>
    <row r="185" spans="1:17" x14ac:dyDescent="0.25">
      <c r="A185">
        <v>184</v>
      </c>
      <c r="B185">
        <v>139</v>
      </c>
      <c r="C185" t="s">
        <v>45</v>
      </c>
      <c r="D185" t="s">
        <v>17</v>
      </c>
      <c r="E185" t="s">
        <v>18</v>
      </c>
      <c r="F185" t="s">
        <v>19</v>
      </c>
      <c r="G185" t="s">
        <v>26</v>
      </c>
      <c r="H185" t="s">
        <v>21</v>
      </c>
      <c r="I185" t="s">
        <v>70</v>
      </c>
      <c r="J185" t="s">
        <v>148</v>
      </c>
      <c r="K185" t="s">
        <v>23</v>
      </c>
      <c r="L185">
        <v>1545</v>
      </c>
      <c r="M185">
        <v>44.407308800000003</v>
      </c>
      <c r="N185">
        <v>36.388413818090555</v>
      </c>
      <c r="O185">
        <v>0.23259680537866703</v>
      </c>
      <c r="P185" s="1" t="str">
        <f>HYPERLINK(".\sm_car_260613_0002\sm_car_260613_0002_184_Ca139TrN_MaSKD_DrSt_ode23t_1.png","figure")</f>
        <v>figure</v>
      </c>
      <c r="Q185" t="s">
        <v>15</v>
      </c>
    </row>
    <row r="186" spans="1:17" x14ac:dyDescent="0.25">
      <c r="A186">
        <v>185</v>
      </c>
      <c r="B186">
        <v>139</v>
      </c>
      <c r="C186" t="s">
        <v>45</v>
      </c>
      <c r="D186" t="s">
        <v>17</v>
      </c>
      <c r="E186" t="s">
        <v>18</v>
      </c>
      <c r="F186" t="s">
        <v>19</v>
      </c>
      <c r="G186" t="s">
        <v>26</v>
      </c>
      <c r="H186" t="s">
        <v>21</v>
      </c>
      <c r="I186" t="s">
        <v>71</v>
      </c>
      <c r="J186" t="s">
        <v>148</v>
      </c>
      <c r="K186" t="s">
        <v>23</v>
      </c>
      <c r="L186">
        <v>797</v>
      </c>
      <c r="M186">
        <v>23.096307100000001</v>
      </c>
      <c r="N186">
        <v>-8.0316166869103256E-3</v>
      </c>
      <c r="O186">
        <v>20.553842502020103</v>
      </c>
      <c r="P186" s="1" t="str">
        <f>HYPERLINK(".\sm_car_260613_0002\sm_car_260613_0002_185_Ca139TrN_MaRAD_DrSt_ode23t_1.png","figure")</f>
        <v>figure</v>
      </c>
      <c r="Q186" t="s">
        <v>15</v>
      </c>
    </row>
    <row r="187" spans="1:17" x14ac:dyDescent="0.25">
      <c r="A187">
        <v>186</v>
      </c>
      <c r="B187">
        <v>184</v>
      </c>
      <c r="C187" t="s">
        <v>105</v>
      </c>
      <c r="D187" t="s">
        <v>120</v>
      </c>
      <c r="E187" t="s">
        <v>49</v>
      </c>
      <c r="F187" t="s">
        <v>19</v>
      </c>
      <c r="G187" t="s">
        <v>20</v>
      </c>
      <c r="H187" t="s">
        <v>21</v>
      </c>
      <c r="I187" t="s">
        <v>70</v>
      </c>
      <c r="J187" t="s">
        <v>148</v>
      </c>
      <c r="K187" t="s">
        <v>23</v>
      </c>
      <c r="L187">
        <v>1308</v>
      </c>
      <c r="M187">
        <v>62.903664499999998</v>
      </c>
      <c r="N187">
        <v>36.521070162101296</v>
      </c>
      <c r="O187">
        <v>0.15760142475645633</v>
      </c>
      <c r="P187" s="1" t="str">
        <f>HYPERLINK(".\sm_car_260613_0002\sm_car_260613_0002_186_Ca184TrN_MaSKD_DrSt_ode23t_1.png","figure")</f>
        <v>figure</v>
      </c>
      <c r="Q187" t="s">
        <v>15</v>
      </c>
    </row>
    <row r="188" spans="1:17" x14ac:dyDescent="0.25">
      <c r="A188">
        <v>187</v>
      </c>
      <c r="B188">
        <v>184</v>
      </c>
      <c r="C188" t="s">
        <v>105</v>
      </c>
      <c r="D188" t="s">
        <v>120</v>
      </c>
      <c r="E188" t="s">
        <v>49</v>
      </c>
      <c r="F188" t="s">
        <v>19</v>
      </c>
      <c r="G188" t="s">
        <v>20</v>
      </c>
      <c r="H188" t="s">
        <v>21</v>
      </c>
      <c r="I188" t="s">
        <v>71</v>
      </c>
      <c r="J188" t="s">
        <v>148</v>
      </c>
      <c r="K188" t="s">
        <v>23</v>
      </c>
      <c r="L188">
        <v>648</v>
      </c>
      <c r="M188">
        <v>30.926479199999999</v>
      </c>
      <c r="N188">
        <v>7.4800353596482836</v>
      </c>
      <c r="O188">
        <v>10.384540986894825</v>
      </c>
      <c r="P188" s="1" t="str">
        <f>HYPERLINK(".\sm_car_260613_0002\sm_car_260613_0002_187_Ca184TrN_MaRAD_DrSt_ode23t_1.png","figure")</f>
        <v>figure</v>
      </c>
      <c r="Q188" t="s">
        <v>15</v>
      </c>
    </row>
    <row r="189" spans="1:17" x14ac:dyDescent="0.25">
      <c r="A189">
        <v>188</v>
      </c>
      <c r="B189">
        <v>228</v>
      </c>
      <c r="C189" t="s">
        <v>160</v>
      </c>
      <c r="D189" t="s">
        <v>35</v>
      </c>
      <c r="E189" t="s">
        <v>107</v>
      </c>
      <c r="F189" t="s">
        <v>19</v>
      </c>
      <c r="G189" t="s">
        <v>26</v>
      </c>
      <c r="H189" t="s">
        <v>21</v>
      </c>
      <c r="I189" t="s">
        <v>70</v>
      </c>
      <c r="J189" t="s">
        <v>148</v>
      </c>
      <c r="K189" t="s">
        <v>23</v>
      </c>
      <c r="L189">
        <v>1631</v>
      </c>
      <c r="M189">
        <v>8.9578568000000001</v>
      </c>
      <c r="N189">
        <v>36.3935801071203</v>
      </c>
      <c r="O189">
        <v>0.58376436712178015</v>
      </c>
      <c r="P189" s="1" t="str">
        <f>HYPERLINK(".\sm_car_260613_0002\sm_car_260613_0002_188_Ca228TrN_MaSKD_DrSt_ode23t_1.png","figure")</f>
        <v>figure</v>
      </c>
      <c r="Q189" t="s">
        <v>15</v>
      </c>
    </row>
    <row r="190" spans="1:17" x14ac:dyDescent="0.25">
      <c r="A190">
        <v>189</v>
      </c>
      <c r="B190">
        <v>228</v>
      </c>
      <c r="C190" t="s">
        <v>160</v>
      </c>
      <c r="D190" t="s">
        <v>35</v>
      </c>
      <c r="E190" t="s">
        <v>107</v>
      </c>
      <c r="F190" t="s">
        <v>19</v>
      </c>
      <c r="G190" t="s">
        <v>26</v>
      </c>
      <c r="H190" t="s">
        <v>21</v>
      </c>
      <c r="I190" t="s">
        <v>71</v>
      </c>
      <c r="J190" t="s">
        <v>148</v>
      </c>
      <c r="K190" t="s">
        <v>23</v>
      </c>
      <c r="L190">
        <v>1789</v>
      </c>
      <c r="M190">
        <v>10.4642736</v>
      </c>
      <c r="N190">
        <v>-1.7243644975370671</v>
      </c>
      <c r="O190">
        <v>-45.161534868904596</v>
      </c>
      <c r="P190" s="1" t="str">
        <f>HYPERLINK(".\sm_car_260613_0002\sm_car_260613_0002_189_Ca228TrN_MaRAD_DrSt_ode23t_1.png","figure")</f>
        <v>figure</v>
      </c>
      <c r="Q190" t="s">
        <v>15</v>
      </c>
    </row>
    <row r="191" spans="1:17" x14ac:dyDescent="0.25">
      <c r="A191">
        <v>190</v>
      </c>
      <c r="B191">
        <v>230</v>
      </c>
      <c r="C191" t="s">
        <v>160</v>
      </c>
      <c r="D191" t="s">
        <v>161</v>
      </c>
      <c r="E191" t="s">
        <v>162</v>
      </c>
      <c r="F191" t="s">
        <v>19</v>
      </c>
      <c r="G191" t="s">
        <v>26</v>
      </c>
      <c r="H191" t="s">
        <v>21</v>
      </c>
      <c r="I191" t="s">
        <v>70</v>
      </c>
      <c r="J191" t="s">
        <v>148</v>
      </c>
      <c r="K191" t="s">
        <v>23</v>
      </c>
      <c r="L191">
        <v>1432</v>
      </c>
      <c r="M191">
        <v>37.342439599999999</v>
      </c>
      <c r="N191">
        <v>36.333230663642048</v>
      </c>
      <c r="O191">
        <v>-0.84182498305784581</v>
      </c>
      <c r="P191" s="1" t="str">
        <f>HYPERLINK(".\sm_car_260613_0002\sm_car_260613_0002_190_Ca230TrN_MaSKD_DrSt_ode23t_1.png","figure")</f>
        <v>figure</v>
      </c>
      <c r="Q191" t="s">
        <v>15</v>
      </c>
    </row>
    <row r="192" spans="1:17" x14ac:dyDescent="0.25">
      <c r="A192">
        <v>191</v>
      </c>
      <c r="B192">
        <v>230</v>
      </c>
      <c r="C192" t="s">
        <v>160</v>
      </c>
      <c r="D192" t="s">
        <v>161</v>
      </c>
      <c r="E192" t="s">
        <v>162</v>
      </c>
      <c r="F192" t="s">
        <v>19</v>
      </c>
      <c r="G192" t="s">
        <v>26</v>
      </c>
      <c r="H192" t="s">
        <v>21</v>
      </c>
      <c r="I192" t="s">
        <v>71</v>
      </c>
      <c r="J192" t="s">
        <v>148</v>
      </c>
      <c r="K192" t="s">
        <v>23</v>
      </c>
      <c r="L192">
        <v>2379</v>
      </c>
      <c r="M192">
        <v>52.365387499999997</v>
      </c>
      <c r="N192">
        <v>31.296185817326464</v>
      </c>
      <c r="O192">
        <v>-10.077782638501294</v>
      </c>
      <c r="P192" s="1" t="str">
        <f>HYPERLINK(".\sm_car_260613_0002\sm_car_260613_0002_191_Ca230TrN_MaRAD_DrSt_ode23t_1.png","figure")</f>
        <v>figure</v>
      </c>
      <c r="Q192" t="s">
        <v>15</v>
      </c>
    </row>
    <row r="193" spans="1:17" x14ac:dyDescent="0.25">
      <c r="A193">
        <v>192</v>
      </c>
      <c r="B193">
        <v>231</v>
      </c>
      <c r="C193" t="s">
        <v>160</v>
      </c>
      <c r="D193" t="s">
        <v>172</v>
      </c>
      <c r="E193" t="s">
        <v>162</v>
      </c>
      <c r="F193" t="s">
        <v>19</v>
      </c>
      <c r="G193" t="s">
        <v>26</v>
      </c>
      <c r="H193" t="s">
        <v>21</v>
      </c>
      <c r="I193" t="s">
        <v>70</v>
      </c>
      <c r="J193" t="s">
        <v>148</v>
      </c>
      <c r="K193" t="s">
        <v>23</v>
      </c>
      <c r="L193">
        <v>1504</v>
      </c>
      <c r="M193">
        <v>36.695375800000001</v>
      </c>
      <c r="N193">
        <v>36.494846801936887</v>
      </c>
      <c r="O193">
        <v>-0.19408609231058022</v>
      </c>
      <c r="P193" s="1" t="str">
        <f>HYPERLINK(".\sm_car_260613_0002\sm_car_260613_0002_192_Ca231TrN_MaSKD_DrSt_ode23t_1.png","figure")</f>
        <v>figure</v>
      </c>
      <c r="Q193" t="s">
        <v>15</v>
      </c>
    </row>
    <row r="194" spans="1:17" x14ac:dyDescent="0.25">
      <c r="A194">
        <v>193</v>
      </c>
      <c r="B194">
        <v>231</v>
      </c>
      <c r="C194" t="s">
        <v>160</v>
      </c>
      <c r="D194" t="s">
        <v>172</v>
      </c>
      <c r="E194" t="s">
        <v>162</v>
      </c>
      <c r="F194" t="s">
        <v>19</v>
      </c>
      <c r="G194" t="s">
        <v>26</v>
      </c>
      <c r="H194" t="s">
        <v>21</v>
      </c>
      <c r="I194" t="s">
        <v>71</v>
      </c>
      <c r="J194" t="s">
        <v>148</v>
      </c>
      <c r="K194" t="s">
        <v>23</v>
      </c>
      <c r="L194">
        <v>2663</v>
      </c>
      <c r="M194">
        <v>53.953655900000001</v>
      </c>
      <c r="N194">
        <v>40.7545211719506</v>
      </c>
      <c r="O194">
        <v>20.018972631834362</v>
      </c>
      <c r="P194" s="1" t="str">
        <f>HYPERLINK(".\sm_car_260613_0002\sm_car_260613_0002_193_Ca231TrN_MaRAD_DrSt_ode23t_1.png","figure")</f>
        <v>figure</v>
      </c>
      <c r="Q194" t="s">
        <v>15</v>
      </c>
    </row>
    <row r="195" spans="1:17" x14ac:dyDescent="0.25">
      <c r="A195">
        <v>194</v>
      </c>
      <c r="B195">
        <v>233</v>
      </c>
      <c r="C195" t="s">
        <v>45</v>
      </c>
      <c r="D195" t="s">
        <v>17</v>
      </c>
      <c r="E195" t="s">
        <v>107</v>
      </c>
      <c r="F195" t="s">
        <v>19</v>
      </c>
      <c r="G195" t="s">
        <v>182</v>
      </c>
      <c r="H195" t="s">
        <v>21</v>
      </c>
      <c r="I195" t="s">
        <v>70</v>
      </c>
      <c r="J195" t="s">
        <v>148</v>
      </c>
      <c r="K195" t="s">
        <v>23</v>
      </c>
      <c r="L195">
        <v>1609</v>
      </c>
      <c r="M195">
        <v>38.422939599999999</v>
      </c>
      <c r="N195">
        <v>36.444217672336208</v>
      </c>
      <c r="O195">
        <v>-0.33401618792721943</v>
      </c>
      <c r="P195" s="1" t="str">
        <f>HYPERLINK(".\sm_car_260613_0002\sm_car_260613_0002_194_Ca233TrN_MaSKD_DrSt_ode23t_1.png","figure")</f>
        <v>figure</v>
      </c>
      <c r="Q195" t="s">
        <v>15</v>
      </c>
    </row>
    <row r="196" spans="1:17" x14ac:dyDescent="0.25">
      <c r="A196">
        <v>195</v>
      </c>
      <c r="B196">
        <v>233</v>
      </c>
      <c r="C196" t="s">
        <v>45</v>
      </c>
      <c r="D196" t="s">
        <v>17</v>
      </c>
      <c r="E196" t="s">
        <v>107</v>
      </c>
      <c r="F196" t="s">
        <v>19</v>
      </c>
      <c r="G196" t="s">
        <v>182</v>
      </c>
      <c r="H196" t="s">
        <v>21</v>
      </c>
      <c r="I196" t="s">
        <v>71</v>
      </c>
      <c r="J196" t="s">
        <v>148</v>
      </c>
      <c r="K196" t="s">
        <v>23</v>
      </c>
      <c r="L196">
        <v>897</v>
      </c>
      <c r="M196">
        <v>19.878018999999998</v>
      </c>
      <c r="N196">
        <v>-6.6789269016643757</v>
      </c>
      <c r="O196">
        <v>25.201961772782283</v>
      </c>
      <c r="P196" s="1" t="str">
        <f>HYPERLINK(".\sm_car_260613_0002\sm_car_260613_0002_195_Ca233TrN_MaRAD_DrSt_ode23t_1.png","figure")</f>
        <v>figure</v>
      </c>
      <c r="Q196" t="s">
        <v>15</v>
      </c>
    </row>
    <row r="197" spans="1:17" x14ac:dyDescent="0.25">
      <c r="A197">
        <v>196</v>
      </c>
      <c r="B197">
        <v>234</v>
      </c>
      <c r="C197" t="s">
        <v>45</v>
      </c>
      <c r="D197" t="s">
        <v>17</v>
      </c>
      <c r="E197" t="s">
        <v>107</v>
      </c>
      <c r="F197" t="s">
        <v>19</v>
      </c>
      <c r="G197" t="s">
        <v>183</v>
      </c>
      <c r="H197" t="s">
        <v>21</v>
      </c>
      <c r="I197" t="s">
        <v>70</v>
      </c>
      <c r="J197" t="s">
        <v>148</v>
      </c>
      <c r="K197" t="s">
        <v>23</v>
      </c>
      <c r="L197">
        <v>3177</v>
      </c>
      <c r="M197">
        <v>70.005742299999994</v>
      </c>
      <c r="N197">
        <v>36.448952341234275</v>
      </c>
      <c r="O197">
        <v>-0.3025507850119496</v>
      </c>
      <c r="P197" s="1" t="str">
        <f>HYPERLINK(".\sm_car_260613_0002\sm_car_260613_0002_196_Ca234TrN_MaSKD_DrSt_ode23t_1.png","figure")</f>
        <v>figure</v>
      </c>
      <c r="Q197" t="s">
        <v>15</v>
      </c>
    </row>
    <row r="198" spans="1:17" x14ac:dyDescent="0.25">
      <c r="A198">
        <v>197</v>
      </c>
      <c r="B198">
        <v>234</v>
      </c>
      <c r="C198" t="s">
        <v>45</v>
      </c>
      <c r="D198" t="s">
        <v>17</v>
      </c>
      <c r="E198" t="s">
        <v>107</v>
      </c>
      <c r="F198" t="s">
        <v>19</v>
      </c>
      <c r="G198" t="s">
        <v>183</v>
      </c>
      <c r="H198" t="s">
        <v>21</v>
      </c>
      <c r="I198" t="s">
        <v>71</v>
      </c>
      <c r="J198" t="s">
        <v>148</v>
      </c>
      <c r="K198" t="s">
        <v>23</v>
      </c>
      <c r="L198">
        <v>1736</v>
      </c>
      <c r="M198">
        <v>39.898390200000001</v>
      </c>
      <c r="N198">
        <v>-6.4006600646957992</v>
      </c>
      <c r="O198">
        <v>25.358277057130415</v>
      </c>
      <c r="P198" s="1" t="str">
        <f>HYPERLINK(".\sm_car_260613_0002\sm_car_260613_0002_197_Ca234TrN_MaRAD_DrSt_ode23t_1.png","figure")</f>
        <v>figure</v>
      </c>
      <c r="Q198" t="s">
        <v>15</v>
      </c>
    </row>
    <row r="199" spans="1:17" x14ac:dyDescent="0.25">
      <c r="A199">
        <v>198</v>
      </c>
      <c r="B199">
        <v>198</v>
      </c>
      <c r="C199" t="s">
        <v>105</v>
      </c>
      <c r="D199" t="s">
        <v>120</v>
      </c>
      <c r="E199" t="s">
        <v>107</v>
      </c>
      <c r="F199" t="s">
        <v>19</v>
      </c>
      <c r="G199" t="s">
        <v>20</v>
      </c>
      <c r="H199" t="s">
        <v>21</v>
      </c>
      <c r="I199" t="s">
        <v>70</v>
      </c>
      <c r="J199" t="s">
        <v>148</v>
      </c>
      <c r="K199" t="s">
        <v>23</v>
      </c>
      <c r="L199">
        <v>1401</v>
      </c>
      <c r="M199">
        <v>39.585927900000002</v>
      </c>
      <c r="N199">
        <v>36.868375997181957</v>
      </c>
      <c r="O199">
        <v>0.14642405558838148</v>
      </c>
      <c r="P199" s="1" t="str">
        <f>HYPERLINK(".\sm_car_260613_0002\sm_car_260613_0002_198_Ca198TrN_MaSKD_DrSt_ode23t_1.png","figure")</f>
        <v>figure</v>
      </c>
      <c r="Q199" t="s">
        <v>15</v>
      </c>
    </row>
    <row r="200" spans="1:17" x14ac:dyDescent="0.25">
      <c r="A200">
        <v>199</v>
      </c>
      <c r="B200">
        <v>198</v>
      </c>
      <c r="C200" t="s">
        <v>105</v>
      </c>
      <c r="D200" t="s">
        <v>120</v>
      </c>
      <c r="E200" t="s">
        <v>107</v>
      </c>
      <c r="F200" t="s">
        <v>19</v>
      </c>
      <c r="G200" t="s">
        <v>20</v>
      </c>
      <c r="H200" t="s">
        <v>21</v>
      </c>
      <c r="I200" t="s">
        <v>71</v>
      </c>
      <c r="J200" t="s">
        <v>148</v>
      </c>
      <c r="K200" t="s">
        <v>23</v>
      </c>
      <c r="L200">
        <v>687</v>
      </c>
      <c r="M200">
        <v>18.806988199999999</v>
      </c>
      <c r="N200">
        <v>7.52403881609807</v>
      </c>
      <c r="O200">
        <v>10.291620312773727</v>
      </c>
      <c r="P200" s="1" t="str">
        <f>HYPERLINK(".\sm_car_260613_0002\sm_car_260613_0002_199_Ca198TrN_MaRAD_DrSt_ode23t_1.png","figure")</f>
        <v>figure</v>
      </c>
      <c r="Q200" t="s">
        <v>15</v>
      </c>
    </row>
    <row r="201" spans="1:17" x14ac:dyDescent="0.25">
      <c r="A201">
        <v>200</v>
      </c>
      <c r="B201">
        <v>189</v>
      </c>
      <c r="C201" t="s">
        <v>45</v>
      </c>
      <c r="D201" t="s">
        <v>17</v>
      </c>
      <c r="E201" t="s">
        <v>107</v>
      </c>
      <c r="F201" t="s">
        <v>19</v>
      </c>
      <c r="G201" t="s">
        <v>26</v>
      </c>
      <c r="H201" t="s">
        <v>21</v>
      </c>
      <c r="I201" t="s">
        <v>132</v>
      </c>
      <c r="J201" t="s">
        <v>148</v>
      </c>
      <c r="K201" t="s">
        <v>23</v>
      </c>
      <c r="L201">
        <v>541</v>
      </c>
      <c r="M201">
        <v>17.6187541</v>
      </c>
      <c r="N201">
        <v>134.67592742814426</v>
      </c>
      <c r="O201">
        <v>-14.116338331551592</v>
      </c>
      <c r="P201" s="1" t="str">
        <f>HYPERLINK(".\sm_car_260613_0002\sm_car_260613_0002_200_Ca189TrN_MaFSH_DrSt_ode23t_1.png","figure")</f>
        <v>figure</v>
      </c>
      <c r="Q201" t="s">
        <v>15</v>
      </c>
    </row>
    <row r="202" spans="1:17" x14ac:dyDescent="0.25">
      <c r="A202">
        <v>201</v>
      </c>
      <c r="B202">
        <v>189</v>
      </c>
      <c r="C202" t="s">
        <v>45</v>
      </c>
      <c r="D202" t="s">
        <v>17</v>
      </c>
      <c r="E202" t="s">
        <v>107</v>
      </c>
      <c r="F202" t="s">
        <v>19</v>
      </c>
      <c r="G202" t="s">
        <v>26</v>
      </c>
      <c r="H202" t="s">
        <v>21</v>
      </c>
      <c r="I202" t="s">
        <v>133</v>
      </c>
      <c r="J202" t="s">
        <v>148</v>
      </c>
      <c r="K202" t="s">
        <v>23</v>
      </c>
      <c r="L202">
        <v>417</v>
      </c>
      <c r="M202">
        <v>10.885282200000001</v>
      </c>
      <c r="N202">
        <v>128.73810781884399</v>
      </c>
      <c r="O202">
        <v>-9.3015212683561419</v>
      </c>
      <c r="P202" s="1" t="str">
        <f>HYPERLINK(".\sm_car_260613_0002\sm_car_260613_0002_201_Ca189TrN_MaSWD_DrSt_ode23t_1.png","figure")</f>
        <v>figure</v>
      </c>
      <c r="Q202" t="s">
        <v>15</v>
      </c>
    </row>
    <row r="203" spans="1:17" x14ac:dyDescent="0.25">
      <c r="A203">
        <v>202</v>
      </c>
      <c r="B203">
        <v>189</v>
      </c>
      <c r="C203" t="s">
        <v>45</v>
      </c>
      <c r="D203" t="s">
        <v>17</v>
      </c>
      <c r="E203" t="s">
        <v>107</v>
      </c>
      <c r="F203" t="s">
        <v>19</v>
      </c>
      <c r="G203" t="s">
        <v>26</v>
      </c>
      <c r="H203" t="s">
        <v>21</v>
      </c>
      <c r="I203" t="s">
        <v>134</v>
      </c>
      <c r="J203" t="s">
        <v>148</v>
      </c>
      <c r="K203" t="s">
        <v>23</v>
      </c>
      <c r="L203">
        <v>428</v>
      </c>
      <c r="M203">
        <v>12.6434736</v>
      </c>
      <c r="N203">
        <v>112.50119539719402</v>
      </c>
      <c r="O203">
        <v>18.075279872934725</v>
      </c>
      <c r="P203" s="1" t="str">
        <f>HYPERLINK(".\sm_car_260613_0002\sm_car_260613_0002_202_Ca189TrN_MaRST_DrSt_ode23t_1.png","figure")</f>
        <v>figure</v>
      </c>
      <c r="Q203" t="s">
        <v>15</v>
      </c>
    </row>
    <row r="204" spans="1:17" x14ac:dyDescent="0.25">
      <c r="A204">
        <v>203</v>
      </c>
      <c r="B204">
        <v>189</v>
      </c>
      <c r="C204" t="s">
        <v>45</v>
      </c>
      <c r="D204" t="s">
        <v>17</v>
      </c>
      <c r="E204" t="s">
        <v>107</v>
      </c>
      <c r="F204" t="s">
        <v>19</v>
      </c>
      <c r="G204" t="s">
        <v>26</v>
      </c>
      <c r="H204" t="s">
        <v>21</v>
      </c>
      <c r="I204" t="s">
        <v>135</v>
      </c>
      <c r="J204" t="s">
        <v>148</v>
      </c>
      <c r="K204" t="s">
        <v>23</v>
      </c>
      <c r="L204">
        <v>585</v>
      </c>
      <c r="M204">
        <v>23.926615600000002</v>
      </c>
      <c r="N204">
        <v>224.05964145738201</v>
      </c>
      <c r="O204">
        <v>0.10733077744514599</v>
      </c>
      <c r="P204" s="1" t="str">
        <f>HYPERLINK(".\sm_car_260613_0002\sm_car_260613_0002_203_Ca189TrN_MaSLA_DrSt_ode23t_1.png","figure")</f>
        <v>figure</v>
      </c>
      <c r="Q204" t="s">
        <v>15</v>
      </c>
    </row>
    <row r="205" spans="1:17" x14ac:dyDescent="0.25">
      <c r="A205">
        <v>204</v>
      </c>
      <c r="B205">
        <v>189</v>
      </c>
      <c r="C205" t="s">
        <v>45</v>
      </c>
      <c r="D205" t="s">
        <v>17</v>
      </c>
      <c r="E205" t="s">
        <v>107</v>
      </c>
      <c r="F205" t="s">
        <v>19</v>
      </c>
      <c r="G205" t="s">
        <v>26</v>
      </c>
      <c r="H205" t="s">
        <v>21</v>
      </c>
      <c r="I205" t="s">
        <v>195</v>
      </c>
      <c r="J205" t="s">
        <v>148</v>
      </c>
      <c r="K205" t="s">
        <v>23</v>
      </c>
      <c r="L205">
        <v>811</v>
      </c>
      <c r="M205">
        <v>15.6322069</v>
      </c>
      <c r="N205">
        <v>2436.2511686794032</v>
      </c>
      <c r="O205">
        <v>2.4597225002411568E-4</v>
      </c>
      <c r="P205" s="1" t="str">
        <f>HYPERLINK(".\sm_car_260613_0002\sm_car_260613_0002_204_Ca189TrN_MaCOA_DrSt_ode23t_1.png","figure")</f>
        <v>figure</v>
      </c>
      <c r="Q205" t="s">
        <v>15</v>
      </c>
    </row>
    <row r="206" spans="1:17" x14ac:dyDescent="0.25">
      <c r="A206">
        <v>205</v>
      </c>
      <c r="B206">
        <v>218</v>
      </c>
      <c r="C206" t="s">
        <v>16</v>
      </c>
      <c r="D206" t="s">
        <v>128</v>
      </c>
      <c r="E206" t="s">
        <v>107</v>
      </c>
      <c r="F206" t="s">
        <v>19</v>
      </c>
      <c r="G206" t="s">
        <v>188</v>
      </c>
      <c r="H206" t="s">
        <v>21</v>
      </c>
      <c r="I206" t="s">
        <v>132</v>
      </c>
      <c r="J206" t="s">
        <v>148</v>
      </c>
      <c r="K206" t="s">
        <v>23</v>
      </c>
      <c r="L206">
        <v>559</v>
      </c>
      <c r="M206">
        <v>13.6870362</v>
      </c>
      <c r="N206">
        <v>101.32731161255083</v>
      </c>
      <c r="O206">
        <v>-21.93816888821819</v>
      </c>
      <c r="P206" s="1" t="str">
        <f>HYPERLINK(".\sm_car_260613_0002\sm_car_260613_0002_205_Ca218TrN_MaFSH_DrSt_ode23t_1.png","figure")</f>
        <v>figure</v>
      </c>
      <c r="Q206" t="s">
        <v>15</v>
      </c>
    </row>
    <row r="207" spans="1:17" x14ac:dyDescent="0.25">
      <c r="A207">
        <v>206</v>
      </c>
      <c r="B207">
        <v>218</v>
      </c>
      <c r="C207" t="s">
        <v>16</v>
      </c>
      <c r="D207" t="s">
        <v>128</v>
      </c>
      <c r="E207" t="s">
        <v>107</v>
      </c>
      <c r="F207" t="s">
        <v>19</v>
      </c>
      <c r="G207" t="s">
        <v>188</v>
      </c>
      <c r="H207" t="s">
        <v>21</v>
      </c>
      <c r="I207" t="s">
        <v>133</v>
      </c>
      <c r="J207" t="s">
        <v>148</v>
      </c>
      <c r="K207" t="s">
        <v>23</v>
      </c>
      <c r="L207">
        <v>443</v>
      </c>
      <c r="M207">
        <v>9.6817042000000004</v>
      </c>
      <c r="N207">
        <v>136.14886591937227</v>
      </c>
      <c r="O207">
        <v>-8.8925098925585004</v>
      </c>
      <c r="P207" s="1" t="str">
        <f>HYPERLINK(".\sm_car_260613_0002\sm_car_260613_0002_206_Ca218TrN_MaSWD_DrSt_ode23t_1.png","figure")</f>
        <v>figure</v>
      </c>
      <c r="Q207" t="s">
        <v>15</v>
      </c>
    </row>
    <row r="208" spans="1:17" x14ac:dyDescent="0.25">
      <c r="A208">
        <v>207</v>
      </c>
      <c r="B208">
        <v>218</v>
      </c>
      <c r="C208" t="s">
        <v>16</v>
      </c>
      <c r="D208" t="s">
        <v>128</v>
      </c>
      <c r="E208" t="s">
        <v>107</v>
      </c>
      <c r="F208" t="s">
        <v>19</v>
      </c>
      <c r="G208" t="s">
        <v>188</v>
      </c>
      <c r="H208" t="s">
        <v>21</v>
      </c>
      <c r="I208" t="s">
        <v>134</v>
      </c>
      <c r="J208" t="s">
        <v>148</v>
      </c>
      <c r="K208" t="s">
        <v>23</v>
      </c>
      <c r="L208">
        <v>369</v>
      </c>
      <c r="M208">
        <v>8.6328431000000005</v>
      </c>
      <c r="N208">
        <v>101.82448163141929</v>
      </c>
      <c r="O208">
        <v>29.386212060322194</v>
      </c>
      <c r="P208" s="1" t="str">
        <f>HYPERLINK(".\sm_car_260613_0002\sm_car_260613_0002_207_Ca218TrN_MaRST_DrSt_ode23t_1.png","figure")</f>
        <v>figure</v>
      </c>
      <c r="Q208" t="s">
        <v>15</v>
      </c>
    </row>
    <row r="209" spans="1:17" x14ac:dyDescent="0.25">
      <c r="A209">
        <v>208</v>
      </c>
      <c r="B209">
        <v>218</v>
      </c>
      <c r="C209" t="s">
        <v>16</v>
      </c>
      <c r="D209" t="s">
        <v>128</v>
      </c>
      <c r="E209" t="s">
        <v>107</v>
      </c>
      <c r="F209" t="s">
        <v>19</v>
      </c>
      <c r="G209" t="s">
        <v>188</v>
      </c>
      <c r="H209" t="s">
        <v>21</v>
      </c>
      <c r="I209" t="s">
        <v>135</v>
      </c>
      <c r="J209" t="s">
        <v>148</v>
      </c>
      <c r="K209" t="s">
        <v>23</v>
      </c>
      <c r="L209">
        <v>684</v>
      </c>
      <c r="M209">
        <v>22.586072099999999</v>
      </c>
      <c r="N209">
        <v>222.43924831381185</v>
      </c>
      <c r="O209">
        <v>0.10610604466456598</v>
      </c>
      <c r="P209" s="1" t="str">
        <f>HYPERLINK(".\sm_car_260613_0002\sm_car_260613_0002_208_Ca218TrN_MaSLA_DrSt_ode23t_1.png","figure")</f>
        <v>figure</v>
      </c>
      <c r="Q209" t="s">
        <v>15</v>
      </c>
    </row>
    <row r="210" spans="1:17" x14ac:dyDescent="0.25">
      <c r="A210">
        <v>209</v>
      </c>
      <c r="B210">
        <v>218</v>
      </c>
      <c r="C210" t="s">
        <v>16</v>
      </c>
      <c r="D210" t="s">
        <v>128</v>
      </c>
      <c r="E210" t="s">
        <v>107</v>
      </c>
      <c r="F210" t="s">
        <v>19</v>
      </c>
      <c r="G210" t="s">
        <v>188</v>
      </c>
      <c r="H210" t="s">
        <v>21</v>
      </c>
      <c r="I210" t="s">
        <v>195</v>
      </c>
      <c r="J210" t="s">
        <v>148</v>
      </c>
      <c r="K210" t="s">
        <v>23</v>
      </c>
      <c r="L210">
        <v>842</v>
      </c>
      <c r="M210">
        <v>8.9781873999999995</v>
      </c>
      <c r="N210">
        <v>2944.9151230100242</v>
      </c>
      <c r="O210">
        <v>1.3240742643157077E-4</v>
      </c>
      <c r="P210" s="1" t="str">
        <f>HYPERLINK(".\sm_car_260613_0002\sm_car_260613_0002_209_Ca218TrN_MaCOA_DrSt_ode23t_1.png","figure")</f>
        <v>figure</v>
      </c>
      <c r="Q210" t="s">
        <v>15</v>
      </c>
    </row>
    <row r="211" spans="1:17" x14ac:dyDescent="0.25">
      <c r="A211">
        <v>210</v>
      </c>
      <c r="B211">
        <v>239</v>
      </c>
      <c r="C211" t="s">
        <v>45</v>
      </c>
      <c r="D211" t="s">
        <v>196</v>
      </c>
      <c r="E211" t="s">
        <v>107</v>
      </c>
      <c r="F211" t="s">
        <v>19</v>
      </c>
      <c r="G211" t="s">
        <v>26</v>
      </c>
      <c r="H211" t="s">
        <v>21</v>
      </c>
      <c r="I211" t="s">
        <v>132</v>
      </c>
      <c r="J211" t="s">
        <v>148</v>
      </c>
      <c r="K211" t="s">
        <v>23</v>
      </c>
      <c r="L211">
        <v>484</v>
      </c>
      <c r="M211">
        <v>3.6121720000000002</v>
      </c>
      <c r="N211">
        <v>112.71633992245083</v>
      </c>
      <c r="O211">
        <v>-25.19785509462066</v>
      </c>
      <c r="P211" s="1" t="str">
        <f>HYPERLINK(".\sm_car_260613_0002\sm_car_260613_0002_210_Ca239TrN_MaFSH_DrSt_ode23t_1.png","figure")</f>
        <v>figure</v>
      </c>
      <c r="Q211" t="s">
        <v>15</v>
      </c>
    </row>
    <row r="212" spans="1:17" x14ac:dyDescent="0.25">
      <c r="A212">
        <v>211</v>
      </c>
      <c r="B212">
        <v>239</v>
      </c>
      <c r="C212" t="s">
        <v>45</v>
      </c>
      <c r="D212" t="s">
        <v>196</v>
      </c>
      <c r="E212" t="s">
        <v>107</v>
      </c>
      <c r="F212" t="s">
        <v>19</v>
      </c>
      <c r="G212" t="s">
        <v>26</v>
      </c>
      <c r="H212" t="s">
        <v>21</v>
      </c>
      <c r="I212" t="s">
        <v>133</v>
      </c>
      <c r="J212" t="s">
        <v>148</v>
      </c>
      <c r="K212" t="s">
        <v>23</v>
      </c>
      <c r="L212">
        <v>415</v>
      </c>
      <c r="M212">
        <v>3.7479105000000001</v>
      </c>
      <c r="N212">
        <v>142.7271694602608</v>
      </c>
      <c r="O212">
        <v>-8.3551131863838144</v>
      </c>
      <c r="P212" s="1" t="str">
        <f>HYPERLINK(".\sm_car_260613_0002\sm_car_260613_0002_211_Ca239TrN_MaSWD_DrSt_ode23t_1.png","figure")</f>
        <v>figure</v>
      </c>
      <c r="Q212" t="s">
        <v>15</v>
      </c>
    </row>
    <row r="213" spans="1:17" x14ac:dyDescent="0.25">
      <c r="A213">
        <v>212</v>
      </c>
      <c r="B213">
        <v>239</v>
      </c>
      <c r="C213" t="s">
        <v>45</v>
      </c>
      <c r="D213" t="s">
        <v>196</v>
      </c>
      <c r="E213" t="s">
        <v>107</v>
      </c>
      <c r="F213" t="s">
        <v>19</v>
      </c>
      <c r="G213" t="s">
        <v>26</v>
      </c>
      <c r="H213" t="s">
        <v>21</v>
      </c>
      <c r="I213" t="s">
        <v>134</v>
      </c>
      <c r="J213" t="s">
        <v>148</v>
      </c>
      <c r="K213" t="s">
        <v>23</v>
      </c>
      <c r="L213">
        <v>357</v>
      </c>
      <c r="M213">
        <v>2.8561090999999998</v>
      </c>
      <c r="N213">
        <v>111.12699444931215</v>
      </c>
      <c r="O213">
        <v>31.882713728922894</v>
      </c>
      <c r="P213" s="1" t="str">
        <f>HYPERLINK(".\sm_car_260613_0002\sm_car_260613_0002_212_Ca239TrN_MaRST_DrSt_ode23t_1.png","figure")</f>
        <v>figure</v>
      </c>
      <c r="Q213" t="s">
        <v>15</v>
      </c>
    </row>
    <row r="214" spans="1:17" x14ac:dyDescent="0.25">
      <c r="A214">
        <v>213</v>
      </c>
      <c r="B214">
        <v>239</v>
      </c>
      <c r="C214" t="s">
        <v>45</v>
      </c>
      <c r="D214" t="s">
        <v>196</v>
      </c>
      <c r="E214" t="s">
        <v>107</v>
      </c>
      <c r="F214" t="s">
        <v>19</v>
      </c>
      <c r="G214" t="s">
        <v>26</v>
      </c>
      <c r="H214" t="s">
        <v>21</v>
      </c>
      <c r="I214" t="s">
        <v>135</v>
      </c>
      <c r="J214" t="s">
        <v>148</v>
      </c>
      <c r="K214" t="s">
        <v>23</v>
      </c>
      <c r="L214">
        <v>523</v>
      </c>
      <c r="M214">
        <v>3.5163388000000002</v>
      </c>
      <c r="N214">
        <v>225.24934668140435</v>
      </c>
      <c r="O214">
        <v>0.10152134585922776</v>
      </c>
      <c r="P214" s="1" t="str">
        <f>HYPERLINK(".\sm_car_260613_0002\sm_car_260613_0002_213_Ca239TrN_MaSLA_DrSt_ode23t_1.png","figure")</f>
        <v>figure</v>
      </c>
      <c r="Q214" t="s">
        <v>15</v>
      </c>
    </row>
    <row r="215" spans="1:17" x14ac:dyDescent="0.25">
      <c r="A215">
        <v>214</v>
      </c>
      <c r="B215">
        <v>239</v>
      </c>
      <c r="C215" t="s">
        <v>45</v>
      </c>
      <c r="D215" t="s">
        <v>196</v>
      </c>
      <c r="E215" t="s">
        <v>107</v>
      </c>
      <c r="F215" t="s">
        <v>19</v>
      </c>
      <c r="G215" t="s">
        <v>26</v>
      </c>
      <c r="H215" t="s">
        <v>21</v>
      </c>
      <c r="I215" t="s">
        <v>195</v>
      </c>
      <c r="J215" t="s">
        <v>148</v>
      </c>
      <c r="K215" t="s">
        <v>23</v>
      </c>
      <c r="L215">
        <v>745</v>
      </c>
      <c r="M215">
        <v>3.4379445</v>
      </c>
      <c r="N215">
        <v>2463.4780702064741</v>
      </c>
      <c r="O215">
        <v>5.1867300595506976E-4</v>
      </c>
      <c r="P215" s="1" t="str">
        <f>HYPERLINK(".\sm_car_260613_0002\sm_car_260613_0002_214_Ca239TrN_MaCOA_DrSt_ode23t_1.png","figure")</f>
        <v>figure</v>
      </c>
      <c r="Q215" t="s">
        <v>15</v>
      </c>
    </row>
    <row r="216" spans="1:17" x14ac:dyDescent="0.25">
      <c r="A216">
        <v>215</v>
      </c>
      <c r="B216">
        <v>232</v>
      </c>
      <c r="C216" t="s">
        <v>160</v>
      </c>
      <c r="D216" t="s">
        <v>172</v>
      </c>
      <c r="E216" t="s">
        <v>162</v>
      </c>
      <c r="F216" t="s">
        <v>179</v>
      </c>
      <c r="G216" t="s">
        <v>26</v>
      </c>
      <c r="H216" t="s">
        <v>21</v>
      </c>
      <c r="I216" t="s">
        <v>132</v>
      </c>
      <c r="J216" t="s">
        <v>148</v>
      </c>
      <c r="K216" t="s">
        <v>23</v>
      </c>
      <c r="L216">
        <v>659</v>
      </c>
      <c r="M216">
        <v>16.825327399999999</v>
      </c>
      <c r="N216">
        <v>70.581285867953724</v>
      </c>
      <c r="O216">
        <v>-14.13618052526331</v>
      </c>
      <c r="P216" s="1" t="str">
        <f>HYPERLINK(".\sm_car_260613_0002\sm_car_260613_0002_215_Ca232TrN_MaFSH_DrSt_ode23t_1.png","figure")</f>
        <v>figure</v>
      </c>
      <c r="Q216" t="s">
        <v>15</v>
      </c>
    </row>
    <row r="217" spans="1:17" x14ac:dyDescent="0.25">
      <c r="A217">
        <v>216</v>
      </c>
      <c r="B217">
        <v>241</v>
      </c>
      <c r="C217" t="s">
        <v>160</v>
      </c>
      <c r="D217" t="s">
        <v>197</v>
      </c>
      <c r="E217" t="s">
        <v>162</v>
      </c>
      <c r="F217" t="s">
        <v>19</v>
      </c>
      <c r="G217" t="s">
        <v>26</v>
      </c>
      <c r="H217" t="s">
        <v>21</v>
      </c>
      <c r="I217" t="s">
        <v>198</v>
      </c>
      <c r="J217" t="s">
        <v>148</v>
      </c>
      <c r="K217" t="s">
        <v>23</v>
      </c>
      <c r="L217">
        <v>836</v>
      </c>
      <c r="M217">
        <v>72.736894100000001</v>
      </c>
      <c r="N217">
        <v>103.00680472699952</v>
      </c>
      <c r="O217">
        <v>-5.6815604836544895E-2</v>
      </c>
      <c r="P217" s="1" t="str">
        <f>HYPERLINK(".\sm_car_260613_0002\sm_car_260613_0002_216_Ca241TrN_Ma_DrSt_ode23t_1.png","figure")</f>
        <v>figure</v>
      </c>
      <c r="Q217" t="s">
        <v>15</v>
      </c>
    </row>
    <row r="218" spans="1:17" x14ac:dyDescent="0.25">
      <c r="A218">
        <v>217</v>
      </c>
      <c r="B218">
        <v>156</v>
      </c>
      <c r="C218" t="s">
        <v>45</v>
      </c>
      <c r="D218" t="s">
        <v>17</v>
      </c>
      <c r="E218" t="s">
        <v>18</v>
      </c>
      <c r="F218" t="s">
        <v>19</v>
      </c>
      <c r="G218" t="s">
        <v>38</v>
      </c>
      <c r="H218" t="s">
        <v>21</v>
      </c>
      <c r="I218" t="s">
        <v>54</v>
      </c>
      <c r="J218" t="s">
        <v>148</v>
      </c>
      <c r="K218" t="s">
        <v>23</v>
      </c>
      <c r="L218">
        <v>25252</v>
      </c>
      <c r="M218">
        <v>367.80986100000001</v>
      </c>
      <c r="N218">
        <v>19.006353498135681</v>
      </c>
      <c r="O218">
        <v>2.4213230749408736</v>
      </c>
      <c r="P218" s="1" t="str">
        <f>HYPERLINK(".\sm_car_260613_0002\sm_car_260613_0002_217_Ca156TrN_MaIPA_DrSt_ode23t.png","figure")</f>
        <v>figure</v>
      </c>
      <c r="Q218" t="s">
        <v>15</v>
      </c>
    </row>
    <row r="219" spans="1:17" x14ac:dyDescent="0.25">
      <c r="A219">
        <v>218</v>
      </c>
      <c r="B219">
        <v>130</v>
      </c>
      <c r="C219" t="s">
        <v>16</v>
      </c>
      <c r="D219" t="s">
        <v>17</v>
      </c>
      <c r="E219" t="s">
        <v>18</v>
      </c>
      <c r="F219" t="s">
        <v>19</v>
      </c>
      <c r="G219" t="s">
        <v>38</v>
      </c>
      <c r="H219" t="s">
        <v>21</v>
      </c>
      <c r="I219" t="s">
        <v>54</v>
      </c>
      <c r="J219" t="s">
        <v>148</v>
      </c>
      <c r="K219" t="s">
        <v>23</v>
      </c>
      <c r="L219">
        <v>17847</v>
      </c>
      <c r="M219">
        <v>342.57132899999999</v>
      </c>
      <c r="N219">
        <v>16.216717950882163</v>
      </c>
      <c r="O219">
        <v>0.56643008177741916</v>
      </c>
      <c r="P219" s="1" t="str">
        <f>HYPERLINK(".\sm_car_260613_0002\sm_car_260613_0002_218_Ca130TrN_MaIPA_DrSt_ode23t.png","figure")</f>
        <v>figure</v>
      </c>
      <c r="Q219" t="s">
        <v>15</v>
      </c>
    </row>
    <row r="220" spans="1:17" x14ac:dyDescent="0.25">
      <c r="A220">
        <v>219</v>
      </c>
      <c r="B220">
        <v>171</v>
      </c>
      <c r="C220" t="s">
        <v>45</v>
      </c>
      <c r="D220" t="s">
        <v>17</v>
      </c>
      <c r="E220" t="s">
        <v>72</v>
      </c>
      <c r="F220" t="s">
        <v>19</v>
      </c>
      <c r="G220" t="s">
        <v>26</v>
      </c>
      <c r="H220" t="s">
        <v>21</v>
      </c>
      <c r="I220" t="s">
        <v>73</v>
      </c>
      <c r="J220" t="s">
        <v>148</v>
      </c>
      <c r="K220" t="s">
        <v>23</v>
      </c>
      <c r="L220">
        <v>1453</v>
      </c>
      <c r="M220">
        <v>30.627794399999999</v>
      </c>
      <c r="N220">
        <v>334.6864202946897</v>
      </c>
      <c r="O220">
        <v>0.66732559955130666</v>
      </c>
      <c r="P220" s="1" t="str">
        <f>HYPERLINK(".\sm_car_260613_0002\sm_car_260613_0002_219_Ca171TrN_MaRDP_DrSt_ode23t_1.png","figure")</f>
        <v>figure</v>
      </c>
      <c r="Q220" t="s">
        <v>15</v>
      </c>
    </row>
    <row r="221" spans="1:17" x14ac:dyDescent="0.25">
      <c r="A221">
        <v>220</v>
      </c>
      <c r="B221">
        <v>172</v>
      </c>
      <c r="C221" t="s">
        <v>46</v>
      </c>
      <c r="D221" t="s">
        <v>17</v>
      </c>
      <c r="E221" t="s">
        <v>72</v>
      </c>
      <c r="F221" t="s">
        <v>19</v>
      </c>
      <c r="G221" t="s">
        <v>26</v>
      </c>
      <c r="H221" t="s">
        <v>21</v>
      </c>
      <c r="I221" t="s">
        <v>73</v>
      </c>
      <c r="J221" t="s">
        <v>148</v>
      </c>
      <c r="K221" t="s">
        <v>23</v>
      </c>
      <c r="L221">
        <v>1219</v>
      </c>
      <c r="M221">
        <v>14.702406999999999</v>
      </c>
      <c r="N221">
        <v>136.08565270770777</v>
      </c>
      <c r="O221">
        <v>3.6756324890723578E-2</v>
      </c>
      <c r="P221" s="1" t="str">
        <f>HYPERLINK(".\sm_car_260613_0002\sm_car_260613_0002_220_Ca172TrN_MaRDP_DrSt_ode23t_1.png","figure")</f>
        <v>figure</v>
      </c>
      <c r="Q221" t="s">
        <v>15</v>
      </c>
    </row>
    <row r="222" spans="1:17" x14ac:dyDescent="0.25">
      <c r="A222">
        <v>221</v>
      </c>
      <c r="B222">
        <v>139</v>
      </c>
      <c r="C222" t="s">
        <v>45</v>
      </c>
      <c r="D222" t="s">
        <v>17</v>
      </c>
      <c r="E222" t="s">
        <v>18</v>
      </c>
      <c r="F222" t="s">
        <v>19</v>
      </c>
      <c r="G222" t="s">
        <v>26</v>
      </c>
      <c r="H222" t="s">
        <v>21</v>
      </c>
      <c r="I222" t="s">
        <v>74</v>
      </c>
      <c r="J222" t="s">
        <v>148</v>
      </c>
      <c r="K222" t="s">
        <v>23</v>
      </c>
      <c r="L222">
        <v>1600</v>
      </c>
      <c r="M222">
        <v>26.290124299999999</v>
      </c>
      <c r="N222">
        <v>361.31017493412941</v>
      </c>
      <c r="O222">
        <v>0.72977477492291742</v>
      </c>
      <c r="P222" s="1" t="str">
        <f>HYPERLINK(".\sm_car_260613_0002\sm_car_260613_0002_221_Ca139TrN_MaZPL_DrSt_ode23t_1.png","figure")</f>
        <v>figure</v>
      </c>
      <c r="Q222" t="s">
        <v>15</v>
      </c>
    </row>
    <row r="223" spans="1:17" x14ac:dyDescent="0.25">
      <c r="A223">
        <v>222</v>
      </c>
      <c r="B223">
        <v>165</v>
      </c>
      <c r="C223" t="s">
        <v>45</v>
      </c>
      <c r="D223" t="s">
        <v>35</v>
      </c>
      <c r="E223" t="s">
        <v>49</v>
      </c>
      <c r="F223" t="s">
        <v>19</v>
      </c>
      <c r="G223" t="s">
        <v>26</v>
      </c>
      <c r="H223" t="s">
        <v>21</v>
      </c>
      <c r="I223" t="s">
        <v>74</v>
      </c>
      <c r="J223" t="s">
        <v>148</v>
      </c>
      <c r="K223" t="s">
        <v>23</v>
      </c>
      <c r="L223">
        <v>1908</v>
      </c>
      <c r="M223">
        <v>11.7827558</v>
      </c>
      <c r="N223">
        <v>397.35122888397501</v>
      </c>
      <c r="O223">
        <v>0.34123779725779702</v>
      </c>
      <c r="P223" s="1" t="str">
        <f>HYPERLINK(".\sm_car_260613_0002\sm_car_260613_0002_222_Ca165TrN_MaZPL_DrSt_ode23t_1.png","figure")</f>
        <v>figure</v>
      </c>
      <c r="Q223" t="s">
        <v>15</v>
      </c>
    </row>
    <row r="224" spans="1:17" x14ac:dyDescent="0.25">
      <c r="A224">
        <v>223</v>
      </c>
      <c r="B224">
        <v>171</v>
      </c>
      <c r="C224" t="s">
        <v>45</v>
      </c>
      <c r="D224" t="s">
        <v>17</v>
      </c>
      <c r="E224" t="s">
        <v>72</v>
      </c>
      <c r="F224" t="s">
        <v>19</v>
      </c>
      <c r="G224" t="s">
        <v>26</v>
      </c>
      <c r="H224" t="s">
        <v>21</v>
      </c>
      <c r="I224" t="s">
        <v>74</v>
      </c>
      <c r="J224" t="s">
        <v>148</v>
      </c>
      <c r="K224" t="s">
        <v>23</v>
      </c>
      <c r="L224">
        <v>1557</v>
      </c>
      <c r="M224">
        <v>31.352403899999999</v>
      </c>
      <c r="N224">
        <v>361.07597411867062</v>
      </c>
      <c r="O224">
        <v>0.74430309340308276</v>
      </c>
      <c r="P224" s="1" t="str">
        <f>HYPERLINK(".\sm_car_260613_0002\sm_car_260613_0002_223_Ca171TrN_MaZPL_DrSt_ode23t_1.png","figure")</f>
        <v>figure</v>
      </c>
      <c r="Q224" t="s">
        <v>15</v>
      </c>
    </row>
    <row r="225" spans="1:17" x14ac:dyDescent="0.25">
      <c r="A225">
        <v>224</v>
      </c>
      <c r="B225">
        <v>165</v>
      </c>
      <c r="C225" t="s">
        <v>45</v>
      </c>
      <c r="D225" t="s">
        <v>35</v>
      </c>
      <c r="E225" t="s">
        <v>49</v>
      </c>
      <c r="F225" t="s">
        <v>19</v>
      </c>
      <c r="G225" t="s">
        <v>26</v>
      </c>
      <c r="H225" t="s">
        <v>21</v>
      </c>
      <c r="I225" t="s">
        <v>75</v>
      </c>
      <c r="J225" t="s">
        <v>148</v>
      </c>
      <c r="K225" t="s">
        <v>23</v>
      </c>
      <c r="L225">
        <v>434</v>
      </c>
      <c r="M225">
        <v>4.6930319000000003</v>
      </c>
      <c r="N225">
        <v>377.97617492255682</v>
      </c>
      <c r="O225">
        <v>0.32841058360339054</v>
      </c>
      <c r="P225" s="1" t="str">
        <f>HYPERLINK(".\sm_car_260613_0002\sm_car_260613_0002_224_Ca165TrN_MaCPL_DrSt_ode23t_1.png","figure")</f>
        <v>figure</v>
      </c>
      <c r="Q225" t="s">
        <v>15</v>
      </c>
    </row>
    <row r="226" spans="1:17" x14ac:dyDescent="0.25">
      <c r="A226">
        <v>225</v>
      </c>
      <c r="B226">
        <v>170</v>
      </c>
      <c r="C226" t="s">
        <v>45</v>
      </c>
      <c r="D226" t="s">
        <v>35</v>
      </c>
      <c r="E226" t="s">
        <v>49</v>
      </c>
      <c r="F226" t="s">
        <v>19</v>
      </c>
      <c r="G226" t="s">
        <v>188</v>
      </c>
      <c r="H226" t="s">
        <v>21</v>
      </c>
      <c r="I226" t="s">
        <v>75</v>
      </c>
      <c r="J226" t="s">
        <v>148</v>
      </c>
      <c r="K226" t="s">
        <v>23</v>
      </c>
      <c r="L226">
        <v>422</v>
      </c>
      <c r="M226">
        <v>3.4083218999999998</v>
      </c>
      <c r="N226">
        <v>380.73032469231521</v>
      </c>
      <c r="O226">
        <v>0.33447977103505666</v>
      </c>
      <c r="P226" s="1" t="str">
        <f>HYPERLINK(".\sm_car_260613_0002\sm_car_260613_0002_225_Ca170TrN_MaCPL_DrSt_ode23t_1.png","figure")</f>
        <v>figure</v>
      </c>
      <c r="Q226" t="s">
        <v>15</v>
      </c>
    </row>
    <row r="227" spans="1:17" x14ac:dyDescent="0.25">
      <c r="A227">
        <v>226</v>
      </c>
      <c r="B227">
        <v>171</v>
      </c>
      <c r="C227" t="s">
        <v>45</v>
      </c>
      <c r="D227" t="s">
        <v>17</v>
      </c>
      <c r="E227" t="s">
        <v>72</v>
      </c>
      <c r="F227" t="s">
        <v>19</v>
      </c>
      <c r="G227" t="s">
        <v>26</v>
      </c>
      <c r="H227" t="s">
        <v>21</v>
      </c>
      <c r="I227" t="s">
        <v>76</v>
      </c>
      <c r="J227" t="s">
        <v>148</v>
      </c>
      <c r="K227" t="s">
        <v>23</v>
      </c>
      <c r="L227">
        <v>2809</v>
      </c>
      <c r="M227">
        <v>58.367344699999997</v>
      </c>
      <c r="N227">
        <v>165.07634913523941</v>
      </c>
      <c r="O227">
        <v>1.1147032088621967E-3</v>
      </c>
      <c r="P227" s="1" t="str">
        <f>HYPERLINK(".\sm_car_260613_0002\sm_car_260613_0002_226_Ca171TrN_MaRDR_DrSt_ode23t_1.png","figure")</f>
        <v>figure</v>
      </c>
      <c r="Q227" t="s">
        <v>15</v>
      </c>
    </row>
    <row r="228" spans="1:17" x14ac:dyDescent="0.25">
      <c r="A228">
        <v>227</v>
      </c>
      <c r="B228">
        <v>172</v>
      </c>
      <c r="C228" t="s">
        <v>46</v>
      </c>
      <c r="D228" t="s">
        <v>17</v>
      </c>
      <c r="E228" t="s">
        <v>72</v>
      </c>
      <c r="F228" t="s">
        <v>19</v>
      </c>
      <c r="G228" t="s">
        <v>26</v>
      </c>
      <c r="H228" t="s">
        <v>21</v>
      </c>
      <c r="I228" t="s">
        <v>76</v>
      </c>
      <c r="J228" t="s">
        <v>148</v>
      </c>
      <c r="K228" t="s">
        <v>23</v>
      </c>
      <c r="L228">
        <v>3238</v>
      </c>
      <c r="M228">
        <v>29.169583299999999</v>
      </c>
      <c r="N228">
        <v>162.25441989984716</v>
      </c>
      <c r="O228">
        <v>3.6944948310895594E-4</v>
      </c>
      <c r="P228" s="1" t="str">
        <f>HYPERLINK(".\sm_car_260613_0002\sm_car_260613_0002_227_Ca172TrN_MaRDR_DrSt_ode23t_1.png","figure")</f>
        <v>figure</v>
      </c>
      <c r="Q228" t="s">
        <v>15</v>
      </c>
    </row>
    <row r="229" spans="1:17" x14ac:dyDescent="0.25">
      <c r="A229">
        <v>228</v>
      </c>
      <c r="B229">
        <v>139</v>
      </c>
      <c r="C229" t="s">
        <v>45</v>
      </c>
      <c r="D229" t="s">
        <v>17</v>
      </c>
      <c r="E229" t="s">
        <v>18</v>
      </c>
      <c r="F229" t="s">
        <v>19</v>
      </c>
      <c r="G229" t="s">
        <v>26</v>
      </c>
      <c r="H229" t="s">
        <v>21</v>
      </c>
      <c r="I229" t="s">
        <v>77</v>
      </c>
      <c r="J229" t="s">
        <v>148</v>
      </c>
      <c r="K229" t="s">
        <v>23</v>
      </c>
      <c r="L229">
        <v>2967</v>
      </c>
      <c r="M229">
        <v>35.240110600000001</v>
      </c>
      <c r="N229">
        <v>189.27067358726217</v>
      </c>
      <c r="O229">
        <v>7.4911249832966987E-4</v>
      </c>
      <c r="P229" s="1" t="str">
        <f>HYPERLINK(".\sm_car_260613_0002\sm_car_260613_0002_228_Ca139TrN_MaZRR_DrSt_ode23t_1.png","figure")</f>
        <v>figure</v>
      </c>
      <c r="Q229" t="s">
        <v>15</v>
      </c>
    </row>
    <row r="230" spans="1:17" x14ac:dyDescent="0.25">
      <c r="A230">
        <v>229</v>
      </c>
      <c r="B230">
        <v>165</v>
      </c>
      <c r="C230" t="s">
        <v>45</v>
      </c>
      <c r="D230" t="s">
        <v>35</v>
      </c>
      <c r="E230" t="s">
        <v>49</v>
      </c>
      <c r="F230" t="s">
        <v>19</v>
      </c>
      <c r="G230" t="s">
        <v>26</v>
      </c>
      <c r="H230" t="s">
        <v>21</v>
      </c>
      <c r="I230" t="s">
        <v>77</v>
      </c>
      <c r="J230" t="s">
        <v>148</v>
      </c>
      <c r="K230" t="s">
        <v>23</v>
      </c>
      <c r="L230">
        <v>3231</v>
      </c>
      <c r="M230">
        <v>20.602680899999999</v>
      </c>
      <c r="N230">
        <v>189.42269456967418</v>
      </c>
      <c r="O230">
        <v>6.0308348053746793E-5</v>
      </c>
      <c r="P230" s="1" t="str">
        <f>HYPERLINK(".\sm_car_260613_0002\sm_car_260613_0002_229_Ca165TrN_MaZRR_DrSt_ode23t_1.png","figure")</f>
        <v>figure</v>
      </c>
      <c r="Q230" t="s">
        <v>15</v>
      </c>
    </row>
    <row r="231" spans="1:17" x14ac:dyDescent="0.25">
      <c r="A231">
        <v>230</v>
      </c>
      <c r="B231">
        <v>171</v>
      </c>
      <c r="C231" t="s">
        <v>45</v>
      </c>
      <c r="D231" t="s">
        <v>17</v>
      </c>
      <c r="E231" t="s">
        <v>72</v>
      </c>
      <c r="F231" t="s">
        <v>19</v>
      </c>
      <c r="G231" t="s">
        <v>26</v>
      </c>
      <c r="H231" t="s">
        <v>21</v>
      </c>
      <c r="I231" t="s">
        <v>77</v>
      </c>
      <c r="J231" t="s">
        <v>148</v>
      </c>
      <c r="K231" t="s">
        <v>23</v>
      </c>
      <c r="L231">
        <v>2965</v>
      </c>
      <c r="M231">
        <v>52.046413100000002</v>
      </c>
      <c r="N231">
        <v>189.26718781907476</v>
      </c>
      <c r="O231">
        <v>7.0780413752899191E-4</v>
      </c>
      <c r="P231" s="1" t="str">
        <f>HYPERLINK(".\sm_car_260613_0002\sm_car_260613_0002_230_Ca171TrN_MaZRR_DrSt_ode23t_1.png","figure")</f>
        <v>figure</v>
      </c>
      <c r="Q231" t="s">
        <v>15</v>
      </c>
    </row>
    <row r="232" spans="1:17" x14ac:dyDescent="0.25">
      <c r="A232">
        <v>231</v>
      </c>
      <c r="B232">
        <v>170</v>
      </c>
      <c r="C232" t="s">
        <v>45</v>
      </c>
      <c r="D232" t="s">
        <v>35</v>
      </c>
      <c r="E232" t="s">
        <v>49</v>
      </c>
      <c r="F232" t="s">
        <v>19</v>
      </c>
      <c r="G232" t="s">
        <v>188</v>
      </c>
      <c r="H232" t="s">
        <v>21</v>
      </c>
      <c r="I232" t="s">
        <v>78</v>
      </c>
      <c r="J232" t="s">
        <v>148</v>
      </c>
      <c r="K232" t="s">
        <v>23</v>
      </c>
      <c r="L232">
        <v>5977</v>
      </c>
      <c r="M232">
        <v>22.442187799999999</v>
      </c>
      <c r="N232">
        <v>-5.999749449390503</v>
      </c>
      <c r="O232">
        <v>-7.7651074099025861E-3</v>
      </c>
      <c r="P232" s="1" t="str">
        <f>HYPERLINK(".\sm_car_260613_0002\sm_car_260613_0002_231_Ca170TrN_MaCMP_DrSt_ode23t_1.png","figure")</f>
        <v>figure</v>
      </c>
      <c r="Q232" t="s">
        <v>15</v>
      </c>
    </row>
    <row r="233" spans="1:17" x14ac:dyDescent="0.25">
      <c r="A233">
        <v>232</v>
      </c>
      <c r="B233">
        <v>170</v>
      </c>
      <c r="C233" t="s">
        <v>45</v>
      </c>
      <c r="D233" t="s">
        <v>35</v>
      </c>
      <c r="E233" t="s">
        <v>49</v>
      </c>
      <c r="F233" t="s">
        <v>19</v>
      </c>
      <c r="G233" t="s">
        <v>188</v>
      </c>
      <c r="H233" t="s">
        <v>21</v>
      </c>
      <c r="I233" t="s">
        <v>79</v>
      </c>
      <c r="J233" t="s">
        <v>148</v>
      </c>
      <c r="K233" t="s">
        <v>23</v>
      </c>
      <c r="L233">
        <v>1575</v>
      </c>
      <c r="M233">
        <v>10.7177933</v>
      </c>
      <c r="N233">
        <v>-5.8645475153914681</v>
      </c>
      <c r="O233">
        <v>-8.0556867992248923E-3</v>
      </c>
      <c r="P233" s="1" t="str">
        <f>HYPERLINK(".\sm_car_260613_0002\sm_car_260613_0002_232_Ca170TrN_MaCMF_DrSt_ode23t_1.png","figure")</f>
        <v>figure</v>
      </c>
      <c r="Q233" t="s">
        <v>15</v>
      </c>
    </row>
    <row r="234" spans="1:17" x14ac:dyDescent="0.25">
      <c r="A234">
        <v>233</v>
      </c>
      <c r="B234">
        <v>170</v>
      </c>
      <c r="C234" t="s">
        <v>45</v>
      </c>
      <c r="D234" t="s">
        <v>35</v>
      </c>
      <c r="E234" t="s">
        <v>49</v>
      </c>
      <c r="F234" t="s">
        <v>19</v>
      </c>
      <c r="G234" t="s">
        <v>188</v>
      </c>
      <c r="H234" t="s">
        <v>21</v>
      </c>
      <c r="I234" t="s">
        <v>80</v>
      </c>
      <c r="J234" t="s">
        <v>148</v>
      </c>
      <c r="K234" t="s">
        <v>23</v>
      </c>
      <c r="L234">
        <v>5386</v>
      </c>
      <c r="M234">
        <v>36.762730400000002</v>
      </c>
      <c r="N234">
        <v>-218.05250716470371</v>
      </c>
      <c r="O234">
        <v>5.9381111013754158</v>
      </c>
      <c r="P234" s="1" t="str">
        <f>HYPERLINK(".\sm_car_260613_0002\sm_car_260613_0002_233_Ca170TrN_MaMPO_DrSt_ode23t_1.png","figure")</f>
        <v>figure</v>
      </c>
      <c r="Q234" t="s">
        <v>15</v>
      </c>
    </row>
    <row r="235" spans="1:17" x14ac:dyDescent="0.25">
      <c r="A235">
        <v>234</v>
      </c>
      <c r="B235">
        <v>170</v>
      </c>
      <c r="C235" t="s">
        <v>45</v>
      </c>
      <c r="D235" t="s">
        <v>35</v>
      </c>
      <c r="E235" t="s">
        <v>49</v>
      </c>
      <c r="F235" t="s">
        <v>19</v>
      </c>
      <c r="G235" t="s">
        <v>188</v>
      </c>
      <c r="H235" t="s">
        <v>21</v>
      </c>
      <c r="I235" t="s">
        <v>81</v>
      </c>
      <c r="J235" t="s">
        <v>148</v>
      </c>
      <c r="K235" t="s">
        <v>23</v>
      </c>
      <c r="L235">
        <v>1144</v>
      </c>
      <c r="M235">
        <v>17.781429899999999</v>
      </c>
      <c r="N235">
        <v>-14.25415568645419</v>
      </c>
      <c r="O235">
        <v>-2.6501171738203766E-2</v>
      </c>
      <c r="P235" s="1" t="str">
        <f>HYPERLINK(".\sm_car_260613_0002\sm_car_260613_0002_234_Ca170TrN_MaMCI_DrSt_ode23t_1.png","figure")</f>
        <v>figure</v>
      </c>
      <c r="Q235" t="s">
        <v>15</v>
      </c>
    </row>
    <row r="236" spans="1:17" x14ac:dyDescent="0.25">
      <c r="A236">
        <v>235</v>
      </c>
      <c r="B236">
        <v>170</v>
      </c>
      <c r="C236" t="s">
        <v>45</v>
      </c>
      <c r="D236" t="s">
        <v>35</v>
      </c>
      <c r="E236" t="s">
        <v>49</v>
      </c>
      <c r="F236" t="s">
        <v>19</v>
      </c>
      <c r="G236" t="s">
        <v>188</v>
      </c>
      <c r="H236" t="s">
        <v>21</v>
      </c>
      <c r="I236" t="s">
        <v>110</v>
      </c>
      <c r="J236" t="s">
        <v>148</v>
      </c>
      <c r="K236" t="s">
        <v>23</v>
      </c>
      <c r="L236">
        <v>3667</v>
      </c>
      <c r="M236">
        <v>21.339914499999999</v>
      </c>
      <c r="N236">
        <v>-5.9990463656452278</v>
      </c>
      <c r="O236">
        <v>-5.0489269484829419E-3</v>
      </c>
      <c r="P236" s="1" t="str">
        <f>HYPERLINK(".\sm_car_260613_0002\sm_car_260613_0002_235_Ca170TrN_MaCHO_DrSt_ode23t_1.png","figure")</f>
        <v>figure</v>
      </c>
      <c r="Q236" t="s">
        <v>15</v>
      </c>
    </row>
    <row r="237" spans="1:17" x14ac:dyDescent="0.25">
      <c r="A237">
        <v>236</v>
      </c>
      <c r="B237">
        <v>170</v>
      </c>
      <c r="C237" t="s">
        <v>45</v>
      </c>
      <c r="D237" t="s">
        <v>35</v>
      </c>
      <c r="E237" t="s">
        <v>49</v>
      </c>
      <c r="F237" t="s">
        <v>19</v>
      </c>
      <c r="G237" t="s">
        <v>188</v>
      </c>
      <c r="H237" t="s">
        <v>21</v>
      </c>
      <c r="I237" t="s">
        <v>111</v>
      </c>
      <c r="J237" t="s">
        <v>148</v>
      </c>
      <c r="K237" t="s">
        <v>23</v>
      </c>
      <c r="L237">
        <v>2582</v>
      </c>
      <c r="M237">
        <v>19.967344300000001</v>
      </c>
      <c r="N237">
        <v>-5.9958028104759125</v>
      </c>
      <c r="O237">
        <v>-5.0830492939940731E-3</v>
      </c>
      <c r="P237" s="1" t="str">
        <f>HYPERLINK(".\sm_car_260613_0002\sm_car_260613_0002_236_Ca170TrN_MaCHF_DrSt_ode23t_1.png","figure")</f>
        <v>figure</v>
      </c>
      <c r="Q237" t="s">
        <v>15</v>
      </c>
    </row>
    <row r="238" spans="1:17" x14ac:dyDescent="0.25">
      <c r="A238">
        <v>237</v>
      </c>
      <c r="B238">
        <v>170</v>
      </c>
      <c r="C238" t="s">
        <v>45</v>
      </c>
      <c r="D238" t="s">
        <v>35</v>
      </c>
      <c r="E238" t="s">
        <v>49</v>
      </c>
      <c r="F238" t="s">
        <v>19</v>
      </c>
      <c r="G238" t="s">
        <v>188</v>
      </c>
      <c r="H238" t="s">
        <v>21</v>
      </c>
      <c r="I238" t="s">
        <v>82</v>
      </c>
      <c r="J238" t="s">
        <v>148</v>
      </c>
      <c r="K238" t="s">
        <v>23</v>
      </c>
      <c r="L238">
        <v>9240</v>
      </c>
      <c r="M238">
        <v>39.770589200000003</v>
      </c>
      <c r="N238">
        <v>-768.4327700633454</v>
      </c>
      <c r="O238">
        <v>638.49078652492619</v>
      </c>
      <c r="P238" s="1" t="str">
        <f>HYPERLINK(".\sm_car_260613_0002\sm_car_260613_0002_237_Ca170TrN_MaCKY_DrSt_ode23t_1.png","figure")</f>
        <v>figure</v>
      </c>
      <c r="Q238" t="s">
        <v>15</v>
      </c>
    </row>
    <row r="239" spans="1:17" x14ac:dyDescent="0.25">
      <c r="A239">
        <v>238</v>
      </c>
      <c r="B239">
        <v>170</v>
      </c>
      <c r="C239" t="s">
        <v>45</v>
      </c>
      <c r="D239" t="s">
        <v>35</v>
      </c>
      <c r="E239" t="s">
        <v>49</v>
      </c>
      <c r="F239" t="s">
        <v>19</v>
      </c>
      <c r="G239" t="s">
        <v>188</v>
      </c>
      <c r="H239" t="s">
        <v>21</v>
      </c>
      <c r="I239" t="s">
        <v>83</v>
      </c>
      <c r="J239" t="s">
        <v>148</v>
      </c>
      <c r="K239" t="s">
        <v>23</v>
      </c>
      <c r="L239">
        <v>1660</v>
      </c>
      <c r="M239">
        <v>13.592645900000001</v>
      </c>
      <c r="N239">
        <v>-772.44561968831374</v>
      </c>
      <c r="O239">
        <v>640.62858630641335</v>
      </c>
      <c r="P239" s="1" t="str">
        <f>HYPERLINK(".\sm_car_260613_0002\sm_car_260613_0002_238_Ca170TrN_MaCKF_DrSt_ode23t_1.png","figure")</f>
        <v>figure</v>
      </c>
      <c r="Q239" t="s">
        <v>15</v>
      </c>
    </row>
    <row r="240" spans="1:17" x14ac:dyDescent="0.25">
      <c r="A240">
        <v>239</v>
      </c>
      <c r="B240">
        <v>170</v>
      </c>
      <c r="C240" t="s">
        <v>45</v>
      </c>
      <c r="D240" t="s">
        <v>35</v>
      </c>
      <c r="E240" t="s">
        <v>49</v>
      </c>
      <c r="F240" t="s">
        <v>19</v>
      </c>
      <c r="G240" t="s">
        <v>188</v>
      </c>
      <c r="H240" t="s">
        <v>21</v>
      </c>
      <c r="I240" t="s">
        <v>84</v>
      </c>
      <c r="J240" t="s">
        <v>148</v>
      </c>
      <c r="K240" t="s">
        <v>23</v>
      </c>
      <c r="L240">
        <v>2163</v>
      </c>
      <c r="M240">
        <v>21.734704399999998</v>
      </c>
      <c r="N240">
        <v>189.26950673014812</v>
      </c>
      <c r="O240">
        <v>308.83381111276697</v>
      </c>
      <c r="P240" s="1" t="str">
        <f>HYPERLINK(".\sm_car_260613_0002\sm_car_260613_0002_239_Ca170TrN_MaCNN_DrSt_ode23t_1.png","figure")</f>
        <v>figure</v>
      </c>
      <c r="Q240" t="s">
        <v>15</v>
      </c>
    </row>
    <row r="241" spans="1:17" x14ac:dyDescent="0.25">
      <c r="A241">
        <v>240</v>
      </c>
      <c r="B241">
        <v>170</v>
      </c>
      <c r="C241" t="s">
        <v>45</v>
      </c>
      <c r="D241" t="s">
        <v>35</v>
      </c>
      <c r="E241" t="s">
        <v>49</v>
      </c>
      <c r="F241" t="s">
        <v>19</v>
      </c>
      <c r="G241" t="s">
        <v>188</v>
      </c>
      <c r="H241" t="s">
        <v>21</v>
      </c>
      <c r="I241" t="s">
        <v>85</v>
      </c>
      <c r="J241" t="s">
        <v>148</v>
      </c>
      <c r="K241" t="s">
        <v>23</v>
      </c>
      <c r="L241">
        <v>3480</v>
      </c>
      <c r="M241">
        <v>111.35767199999999</v>
      </c>
      <c r="N241">
        <v>2982.1116530204422</v>
      </c>
      <c r="O241">
        <v>-3077.3742728616257</v>
      </c>
      <c r="P241" s="1" t="str">
        <f>HYPERLINK(".\sm_car_260613_0002\sm_car_260613_0002_240_Ca170TrN_MaCNF_DrSt_ode23t_1.png","figure")</f>
        <v>figure</v>
      </c>
      <c r="Q241" t="s">
        <v>15</v>
      </c>
    </row>
    <row r="242" spans="1:17" x14ac:dyDescent="0.25">
      <c r="A242">
        <v>241</v>
      </c>
      <c r="B242">
        <v>170</v>
      </c>
      <c r="C242" t="s">
        <v>45</v>
      </c>
      <c r="D242" t="s">
        <v>35</v>
      </c>
      <c r="E242" t="s">
        <v>49</v>
      </c>
      <c r="F242" t="s">
        <v>19</v>
      </c>
      <c r="G242" t="s">
        <v>188</v>
      </c>
      <c r="H242" t="s">
        <v>21</v>
      </c>
      <c r="I242" t="s">
        <v>86</v>
      </c>
      <c r="J242" t="s">
        <v>148</v>
      </c>
      <c r="K242" t="s">
        <v>23</v>
      </c>
      <c r="L242">
        <v>2795</v>
      </c>
      <c r="M242">
        <v>17.7497884</v>
      </c>
      <c r="N242">
        <v>498.15247247125563</v>
      </c>
      <c r="O242">
        <v>-175.95987029121628</v>
      </c>
      <c r="P242" s="1" t="str">
        <f>HYPERLINK(".\sm_car_260613_0002\sm_car_260613_0002_241_Ca170TrN_MaCSZ_DrSt_ode23t_1.png","figure")</f>
        <v>figure</v>
      </c>
      <c r="Q242" t="s">
        <v>15</v>
      </c>
    </row>
    <row r="243" spans="1:17" x14ac:dyDescent="0.25">
      <c r="A243">
        <v>242</v>
      </c>
      <c r="B243">
        <v>170</v>
      </c>
      <c r="C243" t="s">
        <v>45</v>
      </c>
      <c r="D243" t="s">
        <v>35</v>
      </c>
      <c r="E243" t="s">
        <v>49</v>
      </c>
      <c r="F243" t="s">
        <v>19</v>
      </c>
      <c r="G243" t="s">
        <v>188</v>
      </c>
      <c r="H243" t="s">
        <v>21</v>
      </c>
      <c r="I243" t="s">
        <v>87</v>
      </c>
      <c r="J243" t="s">
        <v>148</v>
      </c>
      <c r="K243" t="s">
        <v>23</v>
      </c>
      <c r="L243">
        <v>5113</v>
      </c>
      <c r="M243">
        <v>102.3226688</v>
      </c>
      <c r="N243">
        <v>-8.9578283694485563</v>
      </c>
      <c r="O243">
        <v>6.9704724748200801E-3</v>
      </c>
      <c r="P243" s="1" t="str">
        <f>HYPERLINK(".\sm_car_260613_0002\sm_car_260613_0002_242_Ca170TrN_MaCSF_DrSt_ode23t_1.png","figure")</f>
        <v>figure</v>
      </c>
      <c r="Q243" t="s">
        <v>15</v>
      </c>
    </row>
    <row r="244" spans="1:17" x14ac:dyDescent="0.25">
      <c r="A244">
        <v>243</v>
      </c>
      <c r="B244">
        <v>170</v>
      </c>
      <c r="C244" t="s">
        <v>45</v>
      </c>
      <c r="D244" t="s">
        <v>35</v>
      </c>
      <c r="E244" t="s">
        <v>49</v>
      </c>
      <c r="F244" t="s">
        <v>19</v>
      </c>
      <c r="G244" t="s">
        <v>188</v>
      </c>
      <c r="H244" t="s">
        <v>21</v>
      </c>
      <c r="I244" t="s">
        <v>88</v>
      </c>
      <c r="J244" t="s">
        <v>148</v>
      </c>
      <c r="K244" t="s">
        <v>23</v>
      </c>
      <c r="L244">
        <v>1451</v>
      </c>
      <c r="M244">
        <v>29.815434499999999</v>
      </c>
      <c r="N244">
        <v>247.75544126195848</v>
      </c>
      <c r="O244">
        <v>391.38261424944716</v>
      </c>
      <c r="P244" s="1" t="str">
        <f>HYPERLINK(".\sm_car_260613_0002\sm_car_260613_0002_243_Ca170TrN_MaCPU_DrSt_ode23t_1.png","figure")</f>
        <v>figure</v>
      </c>
      <c r="Q244" t="s">
        <v>15</v>
      </c>
    </row>
    <row r="245" spans="1:17" x14ac:dyDescent="0.25">
      <c r="A245">
        <v>244</v>
      </c>
      <c r="B245">
        <v>170</v>
      </c>
      <c r="C245" t="s">
        <v>45</v>
      </c>
      <c r="D245" t="s">
        <v>35</v>
      </c>
      <c r="E245" t="s">
        <v>49</v>
      </c>
      <c r="F245" t="s">
        <v>19</v>
      </c>
      <c r="G245" t="s">
        <v>188</v>
      </c>
      <c r="H245" t="s">
        <v>21</v>
      </c>
      <c r="I245" t="s">
        <v>89</v>
      </c>
      <c r="J245" t="s">
        <v>148</v>
      </c>
      <c r="K245" t="s">
        <v>23</v>
      </c>
      <c r="L245">
        <v>2259</v>
      </c>
      <c r="M245">
        <v>20.785261999999999</v>
      </c>
      <c r="N245">
        <v>179.58615191785657</v>
      </c>
      <c r="O245">
        <v>-180.28792133950992</v>
      </c>
      <c r="P245" s="1" t="str">
        <f>HYPERLINK(".\sm_car_260613_0002\sm_car_260613_0002_244_Ca170TrN_MaCPD_DrSt_ode23t_1.png","figure")</f>
        <v>figure</v>
      </c>
      <c r="Q245" t="s">
        <v>15</v>
      </c>
    </row>
    <row r="246" spans="1:17" x14ac:dyDescent="0.25">
      <c r="A246">
        <v>245</v>
      </c>
      <c r="B246">
        <v>202</v>
      </c>
      <c r="C246" t="s">
        <v>45</v>
      </c>
      <c r="D246" t="s">
        <v>35</v>
      </c>
      <c r="E246" t="s">
        <v>107</v>
      </c>
      <c r="F246" t="s">
        <v>19</v>
      </c>
      <c r="G246" t="s">
        <v>188</v>
      </c>
      <c r="H246" t="s">
        <v>21</v>
      </c>
      <c r="I246" t="s">
        <v>79</v>
      </c>
      <c r="J246" t="s">
        <v>148</v>
      </c>
      <c r="K246" t="s">
        <v>23</v>
      </c>
      <c r="L246">
        <v>1581</v>
      </c>
      <c r="M246">
        <v>4.3313462999999999</v>
      </c>
      <c r="N246">
        <v>-5.9989106518780098</v>
      </c>
      <c r="O246">
        <v>-7.7587788616304467E-3</v>
      </c>
      <c r="P246" s="1" t="str">
        <f>HYPERLINK(".\sm_car_260613_0002\sm_car_260613_0002_245_Ca202TrN_MaCMF_DrSt_ode23t_1.png","figure")</f>
        <v>figure</v>
      </c>
      <c r="Q246" t="s">
        <v>15</v>
      </c>
    </row>
    <row r="247" spans="1:17" x14ac:dyDescent="0.25">
      <c r="A247">
        <v>246</v>
      </c>
      <c r="B247">
        <v>202</v>
      </c>
      <c r="C247" t="s">
        <v>45</v>
      </c>
      <c r="D247" t="s">
        <v>35</v>
      </c>
      <c r="E247" t="s">
        <v>107</v>
      </c>
      <c r="F247" t="s">
        <v>19</v>
      </c>
      <c r="G247" t="s">
        <v>188</v>
      </c>
      <c r="H247" t="s">
        <v>21</v>
      </c>
      <c r="I247" t="s">
        <v>80</v>
      </c>
      <c r="J247" t="s">
        <v>148</v>
      </c>
      <c r="K247" t="s">
        <v>23</v>
      </c>
      <c r="L247">
        <v>5349</v>
      </c>
      <c r="M247">
        <v>23.997327500000001</v>
      </c>
      <c r="N247">
        <v>-216.98926043032768</v>
      </c>
      <c r="O247">
        <v>5.769448872801882</v>
      </c>
      <c r="P247" s="1" t="str">
        <f>HYPERLINK(".\sm_car_260613_0002\sm_car_260613_0002_246_Ca202TrN_MaMPO_DrSt_ode23t_1.png","figure")</f>
        <v>figure</v>
      </c>
      <c r="Q247" t="s">
        <v>15</v>
      </c>
    </row>
    <row r="248" spans="1:17" x14ac:dyDescent="0.25">
      <c r="A248">
        <v>247</v>
      </c>
      <c r="B248">
        <v>202</v>
      </c>
      <c r="C248" t="s">
        <v>45</v>
      </c>
      <c r="D248" t="s">
        <v>35</v>
      </c>
      <c r="E248" t="s">
        <v>107</v>
      </c>
      <c r="F248" t="s">
        <v>19</v>
      </c>
      <c r="G248" t="s">
        <v>188</v>
      </c>
      <c r="H248" t="s">
        <v>21</v>
      </c>
      <c r="I248" t="s">
        <v>81</v>
      </c>
      <c r="J248" t="s">
        <v>148</v>
      </c>
      <c r="K248" t="s">
        <v>23</v>
      </c>
      <c r="L248">
        <v>1184</v>
      </c>
      <c r="M248">
        <v>9.1602908000000003</v>
      </c>
      <c r="N248">
        <v>-14.250434899975872</v>
      </c>
      <c r="O248">
        <v>-2.4317607322160484E-2</v>
      </c>
      <c r="P248" s="1" t="str">
        <f>HYPERLINK(".\sm_car_260613_0002\sm_car_260613_0002_247_Ca202TrN_MaMCI_DrSt_ode23t_1.png","figure")</f>
        <v>figure</v>
      </c>
      <c r="Q248" t="s">
        <v>15</v>
      </c>
    </row>
    <row r="249" spans="1:17" x14ac:dyDescent="0.25">
      <c r="A249">
        <v>248</v>
      </c>
      <c r="B249">
        <v>202</v>
      </c>
      <c r="C249" t="s">
        <v>45</v>
      </c>
      <c r="D249" t="s">
        <v>35</v>
      </c>
      <c r="E249" t="s">
        <v>107</v>
      </c>
      <c r="F249" t="s">
        <v>19</v>
      </c>
      <c r="G249" t="s">
        <v>188</v>
      </c>
      <c r="H249" t="s">
        <v>21</v>
      </c>
      <c r="I249" t="s">
        <v>83</v>
      </c>
      <c r="J249" t="s">
        <v>148</v>
      </c>
      <c r="K249" t="s">
        <v>23</v>
      </c>
      <c r="L249">
        <v>2851</v>
      </c>
      <c r="M249">
        <v>9.3466345000000004</v>
      </c>
      <c r="N249">
        <v>-5.9984388546031893</v>
      </c>
      <c r="O249">
        <v>-2.8647293107742201E-2</v>
      </c>
      <c r="P249" s="1" t="str">
        <f>HYPERLINK(".\sm_car_260613_0002\sm_car_260613_0002_248_Ca202TrN_MaCKF_DrSt_ode23t_1.png","figure")</f>
        <v>figure</v>
      </c>
      <c r="Q249" t="s">
        <v>15</v>
      </c>
    </row>
    <row r="250" spans="1:17" x14ac:dyDescent="0.25">
      <c r="A250">
        <v>249</v>
      </c>
      <c r="B250">
        <v>202</v>
      </c>
      <c r="C250" t="s">
        <v>45</v>
      </c>
      <c r="D250" t="s">
        <v>35</v>
      </c>
      <c r="E250" t="s">
        <v>107</v>
      </c>
      <c r="F250" t="s">
        <v>19</v>
      </c>
      <c r="G250" t="s">
        <v>188</v>
      </c>
      <c r="H250" t="s">
        <v>21</v>
      </c>
      <c r="I250" t="s">
        <v>85</v>
      </c>
      <c r="J250" t="s">
        <v>148</v>
      </c>
      <c r="K250" t="s">
        <v>23</v>
      </c>
      <c r="L250">
        <v>8392</v>
      </c>
      <c r="M250">
        <v>166.44820680000001</v>
      </c>
      <c r="N250">
        <v>-8.9988426373250103</v>
      </c>
      <c r="O250">
        <v>1.3099365476993283E-2</v>
      </c>
      <c r="P250" s="1" t="str">
        <f>HYPERLINK(".\sm_car_260613_0002\sm_car_260613_0002_249_Ca202TrN_MaCNF_DrSt_ode23t_1.png","figure")</f>
        <v>figure</v>
      </c>
      <c r="Q250" t="s">
        <v>15</v>
      </c>
    </row>
    <row r="251" spans="1:17" x14ac:dyDescent="0.25">
      <c r="A251">
        <v>250</v>
      </c>
      <c r="B251">
        <v>202</v>
      </c>
      <c r="C251" t="s">
        <v>45</v>
      </c>
      <c r="D251" t="s">
        <v>35</v>
      </c>
      <c r="E251" t="s">
        <v>107</v>
      </c>
      <c r="F251" t="s">
        <v>19</v>
      </c>
      <c r="G251" t="s">
        <v>188</v>
      </c>
      <c r="H251" t="s">
        <v>21</v>
      </c>
      <c r="I251" t="s">
        <v>87</v>
      </c>
      <c r="J251" t="s">
        <v>148</v>
      </c>
      <c r="K251" t="s">
        <v>23</v>
      </c>
      <c r="L251">
        <v>5125</v>
      </c>
      <c r="M251">
        <v>54.931482000000003</v>
      </c>
      <c r="N251">
        <v>-8.9531941685942087</v>
      </c>
      <c r="O251">
        <v>6.9724837516443559E-3</v>
      </c>
      <c r="P251" s="1" t="str">
        <f>HYPERLINK(".\sm_car_260613_0002\sm_car_260613_0002_250_Ca202TrN_MaCSF_DrSt_ode23t_1.png","figure")</f>
        <v>figure</v>
      </c>
      <c r="Q251" t="s">
        <v>15</v>
      </c>
    </row>
    <row r="252" spans="1:17" x14ac:dyDescent="0.25">
      <c r="A252">
        <v>251</v>
      </c>
      <c r="B252">
        <v>202</v>
      </c>
      <c r="C252" t="s">
        <v>45</v>
      </c>
      <c r="D252" t="s">
        <v>35</v>
      </c>
      <c r="E252" t="s">
        <v>107</v>
      </c>
      <c r="F252" t="s">
        <v>19</v>
      </c>
      <c r="G252" t="s">
        <v>188</v>
      </c>
      <c r="H252" t="s">
        <v>21</v>
      </c>
      <c r="I252" t="s">
        <v>78</v>
      </c>
      <c r="J252" t="s">
        <v>148</v>
      </c>
      <c r="K252" t="s">
        <v>23</v>
      </c>
      <c r="L252">
        <v>6162</v>
      </c>
      <c r="M252">
        <v>18.758308</v>
      </c>
      <c r="N252">
        <v>-5.9996700031922598</v>
      </c>
      <c r="O252">
        <v>-7.762953495277258E-3</v>
      </c>
      <c r="P252" s="1" t="str">
        <f>HYPERLINK(".\sm_car_260613_0002\sm_car_260613_0002_251_Ca202TrN_MaCMP_DrSt_ode23t_1.png","figure")</f>
        <v>figure</v>
      </c>
      <c r="Q252" t="s">
        <v>15</v>
      </c>
    </row>
    <row r="253" spans="1:17" x14ac:dyDescent="0.25">
      <c r="A253">
        <v>252</v>
      </c>
      <c r="B253">
        <v>202</v>
      </c>
      <c r="C253" t="s">
        <v>45</v>
      </c>
      <c r="D253" t="s">
        <v>35</v>
      </c>
      <c r="E253" t="s">
        <v>107</v>
      </c>
      <c r="F253" t="s">
        <v>19</v>
      </c>
      <c r="G253" t="s">
        <v>188</v>
      </c>
      <c r="H253" t="s">
        <v>21</v>
      </c>
      <c r="I253" t="s">
        <v>82</v>
      </c>
      <c r="J253" t="s">
        <v>148</v>
      </c>
      <c r="K253" t="s">
        <v>23</v>
      </c>
      <c r="L253">
        <v>20126</v>
      </c>
      <c r="M253">
        <v>63.411945099999997</v>
      </c>
      <c r="N253">
        <v>-5.9984632398977347</v>
      </c>
      <c r="O253">
        <v>-3.0410620961317428E-2</v>
      </c>
      <c r="P253" s="1" t="str">
        <f>HYPERLINK(".\sm_car_260613_0002\sm_car_260613_0002_252_Ca202TrN_MaCKY_DrSt_ode23t_1.png","figure")</f>
        <v>figure</v>
      </c>
      <c r="Q253" t="s">
        <v>15</v>
      </c>
    </row>
    <row r="254" spans="1:17" x14ac:dyDescent="0.25">
      <c r="A254">
        <v>253</v>
      </c>
      <c r="B254">
        <v>202</v>
      </c>
      <c r="C254" t="s">
        <v>45</v>
      </c>
      <c r="D254" t="s">
        <v>35</v>
      </c>
      <c r="E254" t="s">
        <v>107</v>
      </c>
      <c r="F254" t="s">
        <v>19</v>
      </c>
      <c r="G254" t="s">
        <v>188</v>
      </c>
      <c r="H254" t="s">
        <v>21</v>
      </c>
      <c r="I254" t="s">
        <v>75</v>
      </c>
      <c r="J254" t="s">
        <v>148</v>
      </c>
      <c r="K254" t="s">
        <v>23</v>
      </c>
      <c r="L254">
        <v>408</v>
      </c>
      <c r="M254">
        <v>2.1184672</v>
      </c>
      <c r="N254">
        <v>381.50493859901781</v>
      </c>
      <c r="O254">
        <v>0.33617899051274247</v>
      </c>
      <c r="P254" s="1" t="str">
        <f>HYPERLINK(".\sm_car_260613_0002\sm_car_260613_0002_253_Ca202TrN_MaCPL_DrSt_ode23t_1.png","figure")</f>
        <v>figure</v>
      </c>
      <c r="Q254" t="s">
        <v>15</v>
      </c>
    </row>
    <row r="255" spans="1:17" x14ac:dyDescent="0.25">
      <c r="A255">
        <v>254</v>
      </c>
      <c r="B255">
        <v>140</v>
      </c>
      <c r="C255" t="s">
        <v>45</v>
      </c>
      <c r="D255" t="s">
        <v>17</v>
      </c>
      <c r="E255" t="s">
        <v>49</v>
      </c>
      <c r="F255" t="s">
        <v>19</v>
      </c>
      <c r="G255" t="s">
        <v>26</v>
      </c>
      <c r="H255" t="s">
        <v>21</v>
      </c>
      <c r="I255" t="s">
        <v>112</v>
      </c>
      <c r="J255" t="s">
        <v>148</v>
      </c>
      <c r="K255" t="s">
        <v>23</v>
      </c>
      <c r="L255">
        <v>2597</v>
      </c>
      <c r="M255">
        <v>39.161962000000003</v>
      </c>
      <c r="N255">
        <v>189.15495290202026</v>
      </c>
      <c r="O255">
        <v>7.0242184733505645E-4</v>
      </c>
      <c r="P255" s="1" t="str">
        <f>HYPERLINK(".\sm_car_260613_0002\sm_car_260613_0002_254_Ca140TrN_MaCRR_DrSt_ode23t_1.png","figure")</f>
        <v>figure</v>
      </c>
      <c r="Q255" t="s">
        <v>15</v>
      </c>
    </row>
    <row r="256" spans="1:17" x14ac:dyDescent="0.25">
      <c r="A256">
        <v>255</v>
      </c>
      <c r="B256">
        <v>189</v>
      </c>
      <c r="C256" t="s">
        <v>45</v>
      </c>
      <c r="D256" t="s">
        <v>17</v>
      </c>
      <c r="E256" t="s">
        <v>107</v>
      </c>
      <c r="F256" t="s">
        <v>19</v>
      </c>
      <c r="G256" t="s">
        <v>26</v>
      </c>
      <c r="H256" t="s">
        <v>21</v>
      </c>
      <c r="I256" t="s">
        <v>112</v>
      </c>
      <c r="J256" t="s">
        <v>148</v>
      </c>
      <c r="K256" t="s">
        <v>23</v>
      </c>
      <c r="L256">
        <v>3150</v>
      </c>
      <c r="M256">
        <v>37.437022800000001</v>
      </c>
      <c r="N256">
        <v>189.19178023876037</v>
      </c>
      <c r="O256">
        <v>7.3806000583280247E-4</v>
      </c>
      <c r="P256" s="1" t="str">
        <f>HYPERLINK(".\sm_car_260613_0002\sm_car_260613_0002_255_Ca189TrN_MaCRR_DrSt_ode23t_1.png","figure")</f>
        <v>figure</v>
      </c>
      <c r="Q256" t="s">
        <v>15</v>
      </c>
    </row>
    <row r="257" spans="1:17" x14ac:dyDescent="0.25">
      <c r="A257">
        <v>256</v>
      </c>
      <c r="B257">
        <v>189</v>
      </c>
      <c r="C257" t="s">
        <v>45</v>
      </c>
      <c r="D257" t="s">
        <v>17</v>
      </c>
      <c r="E257" t="s">
        <v>107</v>
      </c>
      <c r="F257" t="s">
        <v>19</v>
      </c>
      <c r="G257" t="s">
        <v>26</v>
      </c>
      <c r="H257" t="s">
        <v>21</v>
      </c>
      <c r="I257" t="s">
        <v>199</v>
      </c>
      <c r="J257" t="s">
        <v>148</v>
      </c>
      <c r="K257" t="s">
        <v>23</v>
      </c>
      <c r="L257">
        <v>10210</v>
      </c>
      <c r="M257">
        <v>109.9042985</v>
      </c>
      <c r="N257">
        <v>208.8114064356717</v>
      </c>
      <c r="O257">
        <v>-0.76787624814573441</v>
      </c>
      <c r="P257" s="1" t="str">
        <f>HYPERLINK(".\sm_car_260613_0002\sm_car_260613_0002_256_Ca189TrN_MaGSU_DrSt_ode23t_1.png","figure")</f>
        <v>figure</v>
      </c>
      <c r="Q257" t="s">
        <v>15</v>
      </c>
    </row>
    <row r="258" spans="1:17" x14ac:dyDescent="0.25">
      <c r="A258">
        <v>257</v>
      </c>
      <c r="B258">
        <v>173</v>
      </c>
      <c r="C258" t="s">
        <v>45</v>
      </c>
      <c r="D258" t="s">
        <v>35</v>
      </c>
      <c r="E258" t="s">
        <v>49</v>
      </c>
      <c r="F258" t="s">
        <v>19</v>
      </c>
      <c r="G258" t="s">
        <v>90</v>
      </c>
      <c r="H258" t="s">
        <v>21</v>
      </c>
      <c r="I258" t="s">
        <v>91</v>
      </c>
      <c r="J258" t="s">
        <v>148</v>
      </c>
      <c r="K258" t="s">
        <v>92</v>
      </c>
      <c r="L258">
        <v>1487</v>
      </c>
      <c r="M258">
        <v>66.203317499999997</v>
      </c>
      <c r="N258">
        <v>51.283748483001482</v>
      </c>
      <c r="O258">
        <v>8.837049604194935E-3</v>
      </c>
      <c r="P258" s="1" t="str">
        <f>HYPERLINK(".\sm_car_260613_0002\sm_car_260613_0002_257_Ca173TrN_MaDCA_DrSt_daessc_1.png","figure")</f>
        <v>figure</v>
      </c>
      <c r="Q258" t="s">
        <v>15</v>
      </c>
    </row>
    <row r="259" spans="1:17" x14ac:dyDescent="0.25">
      <c r="A259">
        <v>258</v>
      </c>
      <c r="B259">
        <v>173</v>
      </c>
      <c r="C259" t="s">
        <v>45</v>
      </c>
      <c r="D259" t="s">
        <v>35</v>
      </c>
      <c r="E259" t="s">
        <v>49</v>
      </c>
      <c r="F259" t="s">
        <v>19</v>
      </c>
      <c r="G259" t="s">
        <v>90</v>
      </c>
      <c r="H259" t="s">
        <v>21</v>
      </c>
      <c r="I259" t="s">
        <v>93</v>
      </c>
      <c r="J259" t="s">
        <v>148</v>
      </c>
      <c r="K259" t="s">
        <v>92</v>
      </c>
      <c r="L259">
        <v>3907</v>
      </c>
      <c r="M259">
        <v>108.3462523</v>
      </c>
      <c r="N259">
        <v>980.48790464291915</v>
      </c>
      <c r="O259">
        <v>0.73292519295559322</v>
      </c>
      <c r="P259" s="1" t="str">
        <f>HYPERLINK(".\sm_car_260613_0002\sm_car_260613_0002_258_Ca173TrN_MaDC1_DrSt_daessc_1.png","figure")</f>
        <v>figure</v>
      </c>
      <c r="Q259" t="s">
        <v>15</v>
      </c>
    </row>
    <row r="260" spans="1:17" x14ac:dyDescent="0.25">
      <c r="A260">
        <v>259</v>
      </c>
      <c r="B260">
        <v>165</v>
      </c>
      <c r="C260" t="s">
        <v>45</v>
      </c>
      <c r="D260" t="s">
        <v>35</v>
      </c>
      <c r="E260" t="s">
        <v>49</v>
      </c>
      <c r="F260" t="s">
        <v>19</v>
      </c>
      <c r="G260" t="s">
        <v>26</v>
      </c>
      <c r="H260" t="s">
        <v>21</v>
      </c>
      <c r="I260" t="s">
        <v>91</v>
      </c>
      <c r="J260" t="s">
        <v>148</v>
      </c>
      <c r="K260" t="s">
        <v>23</v>
      </c>
      <c r="L260">
        <v>287</v>
      </c>
      <c r="M260">
        <v>3.1019095000000001</v>
      </c>
      <c r="N260">
        <v>53.502335240127564</v>
      </c>
      <c r="O260">
        <v>9.9366865698051442E-3</v>
      </c>
      <c r="P260" s="1" t="str">
        <f>HYPERLINK(".\sm_car_260613_0002\sm_car_260613_0002_259_Ca165TrN_MaDCA_DrSt_ode23t_1.png","figure")</f>
        <v>figure</v>
      </c>
      <c r="Q260" t="s">
        <v>15</v>
      </c>
    </row>
    <row r="261" spans="1:17" x14ac:dyDescent="0.25">
      <c r="A261">
        <v>260</v>
      </c>
      <c r="B261">
        <v>165</v>
      </c>
      <c r="C261" t="s">
        <v>45</v>
      </c>
      <c r="D261" t="s">
        <v>35</v>
      </c>
      <c r="E261" t="s">
        <v>49</v>
      </c>
      <c r="F261" t="s">
        <v>19</v>
      </c>
      <c r="G261" t="s">
        <v>26</v>
      </c>
      <c r="H261" t="s">
        <v>21</v>
      </c>
      <c r="I261" t="s">
        <v>93</v>
      </c>
      <c r="J261" t="s">
        <v>148</v>
      </c>
      <c r="K261" t="s">
        <v>23</v>
      </c>
      <c r="L261">
        <v>1156</v>
      </c>
      <c r="M261">
        <v>8.4711101000000006</v>
      </c>
      <c r="N261">
        <v>992.68193732648024</v>
      </c>
      <c r="O261">
        <v>0.75984546458827096</v>
      </c>
      <c r="P261" s="1" t="str">
        <f>HYPERLINK(".\sm_car_260613_0002\sm_car_260613_0002_260_Ca165TrN_MaDC1_DrSt_ode23t_1.png","figure")</f>
        <v>figure</v>
      </c>
      <c r="Q261" t="s">
        <v>15</v>
      </c>
    </row>
    <row r="262" spans="1:17" x14ac:dyDescent="0.25">
      <c r="A262">
        <v>261</v>
      </c>
      <c r="B262">
        <v>196</v>
      </c>
      <c r="C262" t="s">
        <v>45</v>
      </c>
      <c r="D262" t="s">
        <v>35</v>
      </c>
      <c r="E262" t="s">
        <v>107</v>
      </c>
      <c r="F262" t="s">
        <v>19</v>
      </c>
      <c r="G262" t="s">
        <v>90</v>
      </c>
      <c r="H262" t="s">
        <v>21</v>
      </c>
      <c r="I262" t="s">
        <v>93</v>
      </c>
      <c r="J262" t="s">
        <v>148</v>
      </c>
      <c r="K262" t="s">
        <v>92</v>
      </c>
      <c r="L262">
        <v>4044</v>
      </c>
      <c r="M262">
        <v>59.293075700000003</v>
      </c>
      <c r="N262">
        <v>980.48268820751957</v>
      </c>
      <c r="O262">
        <v>0.73243176426978096</v>
      </c>
      <c r="P262" s="1" t="str">
        <f>HYPERLINK(".\sm_car_260613_0002\sm_car_260613_0002_261_Ca196TrN_MaDC1_DrSt_daessc_1.png","figure")</f>
        <v>figure</v>
      </c>
      <c r="Q262" t="s">
        <v>15</v>
      </c>
    </row>
    <row r="263" spans="1:17" x14ac:dyDescent="0.25">
      <c r="A263">
        <v>262</v>
      </c>
      <c r="B263">
        <v>179</v>
      </c>
      <c r="C263" t="s">
        <v>45</v>
      </c>
      <c r="D263" t="s">
        <v>57</v>
      </c>
      <c r="E263" t="s">
        <v>18</v>
      </c>
      <c r="F263" t="s">
        <v>19</v>
      </c>
      <c r="G263" t="s">
        <v>26</v>
      </c>
      <c r="H263" t="s">
        <v>21</v>
      </c>
      <c r="I263" t="s">
        <v>22</v>
      </c>
      <c r="J263" t="s">
        <v>148</v>
      </c>
      <c r="K263" t="s">
        <v>23</v>
      </c>
      <c r="L263">
        <v>427</v>
      </c>
      <c r="M263">
        <v>4.1874513999999996</v>
      </c>
      <c r="N263">
        <v>147.77116901761909</v>
      </c>
      <c r="O263">
        <v>9.5953844089359822E-2</v>
      </c>
      <c r="P263" s="1" t="str">
        <f>HYPERLINK(".\sm_car_260613_0002\sm_car_260613_0002_262_Ca179TrN_MaWOT_DrSt_ode23t_1.png","figure")</f>
        <v>figure</v>
      </c>
      <c r="Q263" t="s">
        <v>15</v>
      </c>
    </row>
    <row r="264" spans="1:17" x14ac:dyDescent="0.25">
      <c r="A264">
        <v>263</v>
      </c>
      <c r="B264">
        <v>180</v>
      </c>
      <c r="C264" t="s">
        <v>45</v>
      </c>
      <c r="D264" t="s">
        <v>57</v>
      </c>
      <c r="E264" t="s">
        <v>49</v>
      </c>
      <c r="F264" t="s">
        <v>19</v>
      </c>
      <c r="G264" t="s">
        <v>26</v>
      </c>
      <c r="H264" t="s">
        <v>21</v>
      </c>
      <c r="I264" t="s">
        <v>22</v>
      </c>
      <c r="J264" t="s">
        <v>148</v>
      </c>
      <c r="K264" t="s">
        <v>23</v>
      </c>
      <c r="L264">
        <v>469</v>
      </c>
      <c r="M264">
        <v>6.2570237999999998</v>
      </c>
      <c r="N264">
        <v>147.79268080081283</v>
      </c>
      <c r="O264">
        <v>9.5478195503542251E-2</v>
      </c>
      <c r="P264" s="1" t="str">
        <f>HYPERLINK(".\sm_car_260613_0002\sm_car_260613_0002_263_Ca180TrN_MaWOT_DrSt_ode23t_1.png","figure")</f>
        <v>figure</v>
      </c>
      <c r="Q264" t="s">
        <v>15</v>
      </c>
    </row>
    <row r="265" spans="1:17" x14ac:dyDescent="0.25">
      <c r="A265">
        <v>264</v>
      </c>
      <c r="B265">
        <v>197</v>
      </c>
      <c r="C265" t="s">
        <v>45</v>
      </c>
      <c r="D265" t="s">
        <v>57</v>
      </c>
      <c r="E265" t="s">
        <v>107</v>
      </c>
      <c r="F265" t="s">
        <v>19</v>
      </c>
      <c r="G265" t="s">
        <v>26</v>
      </c>
      <c r="H265" t="s">
        <v>21</v>
      </c>
      <c r="I265" t="s">
        <v>22</v>
      </c>
      <c r="J265" t="s">
        <v>148</v>
      </c>
      <c r="K265" t="s">
        <v>23</v>
      </c>
      <c r="L265">
        <v>406</v>
      </c>
      <c r="M265">
        <v>1.8684594000000001</v>
      </c>
      <c r="N265">
        <v>147.78693846617227</v>
      </c>
      <c r="O265">
        <v>9.5493834709941661E-2</v>
      </c>
      <c r="P265" s="1" t="str">
        <f>HYPERLINK(".\sm_car_260613_0002\sm_car_260613_0002_264_Ca197TrN_MaWOT_DrSt_ode23t_1.png","figure")</f>
        <v>figure</v>
      </c>
      <c r="Q265" t="s">
        <v>15</v>
      </c>
    </row>
    <row r="266" spans="1:17" x14ac:dyDescent="0.25">
      <c r="A266">
        <v>265</v>
      </c>
      <c r="B266">
        <v>182</v>
      </c>
      <c r="C266" t="s">
        <v>45</v>
      </c>
      <c r="D266" t="s">
        <v>17</v>
      </c>
      <c r="E266" t="s">
        <v>49</v>
      </c>
      <c r="F266" t="s">
        <v>19</v>
      </c>
      <c r="G266" t="s">
        <v>26</v>
      </c>
      <c r="H266" t="s">
        <v>21</v>
      </c>
      <c r="I266" t="s">
        <v>64</v>
      </c>
      <c r="J266" t="s">
        <v>148</v>
      </c>
      <c r="K266" t="s">
        <v>23</v>
      </c>
      <c r="L266">
        <v>430</v>
      </c>
      <c r="M266">
        <v>12.011843900000001</v>
      </c>
      <c r="N266">
        <v>61.845844604247986</v>
      </c>
      <c r="O266">
        <v>-24.1598002034088</v>
      </c>
      <c r="P266" s="1" t="str">
        <f>HYPERLINK(".\sm_car_260613_0002\sm_car_260613_0002_265_Ca182TrN_MaTUR_DrSt_ode23t_1.png","figure")</f>
        <v>figure</v>
      </c>
      <c r="Q266" t="s">
        <v>15</v>
      </c>
    </row>
    <row r="267" spans="1:17" x14ac:dyDescent="0.25">
      <c r="A267">
        <v>266</v>
      </c>
      <c r="B267">
        <v>203</v>
      </c>
      <c r="C267" t="s">
        <v>45</v>
      </c>
      <c r="D267" t="s">
        <v>17</v>
      </c>
      <c r="E267" t="s">
        <v>107</v>
      </c>
      <c r="F267" t="s">
        <v>19</v>
      </c>
      <c r="G267" t="s">
        <v>26</v>
      </c>
      <c r="H267" t="s">
        <v>21</v>
      </c>
      <c r="I267" t="s">
        <v>64</v>
      </c>
      <c r="J267" t="s">
        <v>148</v>
      </c>
      <c r="K267" t="s">
        <v>23</v>
      </c>
      <c r="L267">
        <v>378</v>
      </c>
      <c r="M267">
        <v>4.3907258999999996</v>
      </c>
      <c r="N267">
        <v>61.845234175154417</v>
      </c>
      <c r="O267">
        <v>-24.16813988903446</v>
      </c>
      <c r="P267" s="1" t="str">
        <f>HYPERLINK(".\sm_car_260613_0002\sm_car_260613_0002_266_Ca203TrN_MaTUR_DrSt_ode23t_1.png","figure")</f>
        <v>figure</v>
      </c>
      <c r="Q267" t="s">
        <v>15</v>
      </c>
    </row>
    <row r="268" spans="1:17" x14ac:dyDescent="0.25">
      <c r="A268">
        <v>267</v>
      </c>
      <c r="B268">
        <v>185</v>
      </c>
      <c r="C268" t="s">
        <v>45</v>
      </c>
      <c r="D268" t="s">
        <v>17</v>
      </c>
      <c r="E268" t="s">
        <v>18</v>
      </c>
      <c r="F268" t="s">
        <v>19</v>
      </c>
      <c r="G268" t="s">
        <v>26</v>
      </c>
      <c r="H268" t="s">
        <v>21</v>
      </c>
      <c r="I268" t="s">
        <v>64</v>
      </c>
      <c r="J268" t="s">
        <v>148</v>
      </c>
      <c r="K268" t="s">
        <v>23</v>
      </c>
      <c r="L268">
        <v>550</v>
      </c>
      <c r="M268">
        <v>23.6419277</v>
      </c>
      <c r="N268">
        <v>111.93841531761865</v>
      </c>
      <c r="O268">
        <v>-78.467716254070041</v>
      </c>
      <c r="P268" s="1" t="str">
        <f>HYPERLINK(".\sm_car_260613_0002\sm_car_260613_0002_267_Ca185TrN_MaTUR_DrSt_ode23t_1.png","figure")</f>
        <v>figure</v>
      </c>
      <c r="Q268" t="s">
        <v>15</v>
      </c>
    </row>
    <row r="269" spans="1:17" x14ac:dyDescent="0.25">
      <c r="A269">
        <v>268</v>
      </c>
      <c r="B269">
        <v>188</v>
      </c>
      <c r="C269" t="s">
        <v>45</v>
      </c>
      <c r="D269" t="s">
        <v>113</v>
      </c>
      <c r="E269" t="s">
        <v>49</v>
      </c>
      <c r="F269" t="s">
        <v>19</v>
      </c>
      <c r="G269" t="s">
        <v>26</v>
      </c>
      <c r="H269" t="s">
        <v>21</v>
      </c>
      <c r="I269" t="s">
        <v>64</v>
      </c>
      <c r="J269" t="s">
        <v>148</v>
      </c>
      <c r="K269" t="s">
        <v>23</v>
      </c>
      <c r="L269">
        <v>494</v>
      </c>
      <c r="M269">
        <v>6.9213753000000002</v>
      </c>
      <c r="N269">
        <v>140.61425284387781</v>
      </c>
      <c r="O269">
        <v>-71.733462006389388</v>
      </c>
      <c r="P269" s="1" t="str">
        <f>HYPERLINK(".\sm_car_260613_0002\sm_car_260613_0002_268_Ca188TrN_MaTUR_DrSt_ode23t_1.png","figure")</f>
        <v>figure</v>
      </c>
      <c r="Q269" t="s">
        <v>15</v>
      </c>
    </row>
    <row r="270" spans="1:17" x14ac:dyDescent="0.25">
      <c r="A270">
        <v>269</v>
      </c>
      <c r="B270" t="s">
        <v>94</v>
      </c>
      <c r="C270" t="s">
        <v>95</v>
      </c>
      <c r="D270" t="s">
        <v>35</v>
      </c>
      <c r="E270" t="s">
        <v>18</v>
      </c>
      <c r="F270" t="s">
        <v>19</v>
      </c>
      <c r="G270" t="s">
        <v>96</v>
      </c>
      <c r="H270" t="s">
        <v>21</v>
      </c>
      <c r="I270" t="s">
        <v>22</v>
      </c>
      <c r="J270" t="s">
        <v>148</v>
      </c>
      <c r="K270" t="s">
        <v>23</v>
      </c>
      <c r="L270">
        <v>439</v>
      </c>
      <c r="M270">
        <v>13.696275200000001</v>
      </c>
      <c r="N270">
        <v>79.219166426445952</v>
      </c>
      <c r="O270">
        <v>-0.33365307440241487</v>
      </c>
      <c r="P270" s="1" t="str">
        <f>HYPERLINK(".\sm_car_260613_0002\sm_car_Axle3_260613_0002_269_CaAxle3_000TrN_MaWOT_DrSt_ode23t_1.png","figure")</f>
        <v>figure</v>
      </c>
      <c r="Q270" t="s">
        <v>15</v>
      </c>
    </row>
    <row r="271" spans="1:17" x14ac:dyDescent="0.25">
      <c r="A271">
        <v>270</v>
      </c>
      <c r="B271" t="s">
        <v>99</v>
      </c>
      <c r="C271" t="s">
        <v>100</v>
      </c>
      <c r="D271" t="s">
        <v>35</v>
      </c>
      <c r="E271" t="s">
        <v>18</v>
      </c>
      <c r="F271" t="s">
        <v>19</v>
      </c>
      <c r="G271" t="s">
        <v>96</v>
      </c>
      <c r="H271" t="s">
        <v>21</v>
      </c>
      <c r="I271" t="s">
        <v>22</v>
      </c>
      <c r="J271" t="s">
        <v>148</v>
      </c>
      <c r="K271" t="s">
        <v>23</v>
      </c>
      <c r="L271">
        <v>539</v>
      </c>
      <c r="M271">
        <v>18.047714599999999</v>
      </c>
      <c r="N271">
        <v>61.778791924403293</v>
      </c>
      <c r="O271">
        <v>-7.8964442549403546E-2</v>
      </c>
      <c r="P271" s="1" t="str">
        <f>HYPERLINK(".\sm_car_260613_0002\sm_car_Axle3_260613_0002_270_CaAxle3_008TrN_MaWOT_DrSt_ode23t_1.png","figure")</f>
        <v>figure</v>
      </c>
      <c r="Q271" t="s">
        <v>15</v>
      </c>
    </row>
    <row r="272" spans="1:17" x14ac:dyDescent="0.25">
      <c r="A272">
        <v>271</v>
      </c>
      <c r="B272" t="s">
        <v>97</v>
      </c>
      <c r="C272" t="s">
        <v>95</v>
      </c>
      <c r="D272" t="s">
        <v>35</v>
      </c>
      <c r="E272" t="s">
        <v>49</v>
      </c>
      <c r="F272" t="s">
        <v>19</v>
      </c>
      <c r="G272" t="s">
        <v>98</v>
      </c>
      <c r="H272" t="s">
        <v>21</v>
      </c>
      <c r="I272" t="s">
        <v>22</v>
      </c>
      <c r="J272" t="s">
        <v>148</v>
      </c>
      <c r="K272" t="s">
        <v>23</v>
      </c>
      <c r="L272">
        <v>425</v>
      </c>
      <c r="M272">
        <v>16.1052918</v>
      </c>
      <c r="N272">
        <v>79.269382440402595</v>
      </c>
      <c r="O272">
        <v>-0.31328649847774703</v>
      </c>
      <c r="P272" s="1" t="str">
        <f>HYPERLINK(".\sm_car_260613_0002\sm_car_Axle3_260613_0002_271_CaAxle3_003TrN_MaWOT_DrSt_ode23t_1.png","figure")</f>
        <v>figure</v>
      </c>
      <c r="Q272" t="s">
        <v>15</v>
      </c>
    </row>
    <row r="273" spans="1:17" x14ac:dyDescent="0.25">
      <c r="A273">
        <v>272</v>
      </c>
      <c r="B273" t="s">
        <v>114</v>
      </c>
      <c r="C273" t="s">
        <v>95</v>
      </c>
      <c r="D273" t="s">
        <v>35</v>
      </c>
      <c r="E273" t="s">
        <v>107</v>
      </c>
      <c r="F273" t="s">
        <v>19</v>
      </c>
      <c r="G273" t="s">
        <v>98</v>
      </c>
      <c r="H273" t="s">
        <v>21</v>
      </c>
      <c r="I273" t="s">
        <v>22</v>
      </c>
      <c r="J273" t="s">
        <v>148</v>
      </c>
      <c r="K273" t="s">
        <v>23</v>
      </c>
      <c r="L273">
        <v>426</v>
      </c>
      <c r="M273">
        <v>2.2037372999999998</v>
      </c>
      <c r="N273">
        <v>80.127332021602967</v>
      </c>
      <c r="O273">
        <v>-0.3192871444665451</v>
      </c>
      <c r="P273" s="1" t="str">
        <f>HYPERLINK(".\sm_car_260613_0002\sm_car_Axle3_260613_0002_272_CaAxle3_017TrN_MaWOT_DrSt_ode23t_1.png","figure")</f>
        <v>figure</v>
      </c>
      <c r="Q273" t="s">
        <v>15</v>
      </c>
    </row>
    <row r="274" spans="1:17" x14ac:dyDescent="0.25">
      <c r="A274">
        <v>273</v>
      </c>
      <c r="B274" t="s">
        <v>101</v>
      </c>
      <c r="C274" t="s">
        <v>100</v>
      </c>
      <c r="D274" t="s">
        <v>35</v>
      </c>
      <c r="E274" t="s">
        <v>49</v>
      </c>
      <c r="F274" t="s">
        <v>19</v>
      </c>
      <c r="G274" t="s">
        <v>96</v>
      </c>
      <c r="H274" t="s">
        <v>102</v>
      </c>
      <c r="I274" t="s">
        <v>22</v>
      </c>
      <c r="J274" t="s">
        <v>148</v>
      </c>
      <c r="K274" t="s">
        <v>23</v>
      </c>
      <c r="L274">
        <v>392</v>
      </c>
      <c r="M274">
        <v>40.939005899999998</v>
      </c>
      <c r="N274">
        <v>44.218963162847174</v>
      </c>
      <c r="O274">
        <v>2.2700681668862979E-2</v>
      </c>
      <c r="P274" s="1" t="str">
        <f>HYPERLINK(".\sm_car_260613_0002\sm_car_Axle3_260613_0002_273_CaAxle3_010TrK_MaWOT_DrSt_ode23t_1.png","figure")</f>
        <v>figure</v>
      </c>
      <c r="Q274" t="s">
        <v>15</v>
      </c>
    </row>
    <row r="275" spans="1:17" x14ac:dyDescent="0.25">
      <c r="A275">
        <v>274</v>
      </c>
      <c r="B275" t="s">
        <v>101</v>
      </c>
      <c r="C275" t="s">
        <v>100</v>
      </c>
      <c r="D275" t="s">
        <v>35</v>
      </c>
      <c r="E275" t="s">
        <v>49</v>
      </c>
      <c r="F275" t="s">
        <v>19</v>
      </c>
      <c r="G275" t="s">
        <v>96</v>
      </c>
      <c r="H275" t="s">
        <v>102</v>
      </c>
      <c r="I275" t="s">
        <v>22</v>
      </c>
      <c r="J275" t="s">
        <v>148</v>
      </c>
      <c r="K275" t="s">
        <v>23</v>
      </c>
      <c r="L275">
        <v>405</v>
      </c>
      <c r="M275">
        <v>39.579579099999997</v>
      </c>
      <c r="N275">
        <v>44.315129398271779</v>
      </c>
      <c r="O275">
        <v>2.2834685938549718E-2</v>
      </c>
      <c r="P275" s="1" t="str">
        <f>HYPERLINK(".\sm_car_260613_0002\sm_car_Axle3_260613_0002_274_CaAxle3_010TrK_MaWOT_DrSt_ode23t_1.png","figure")</f>
        <v>figure</v>
      </c>
      <c r="Q275" t="s">
        <v>15</v>
      </c>
    </row>
    <row r="276" spans="1:17" x14ac:dyDescent="0.25">
      <c r="A276">
        <v>275</v>
      </c>
      <c r="B276" t="s">
        <v>115</v>
      </c>
      <c r="C276" t="s">
        <v>100</v>
      </c>
      <c r="D276" t="s">
        <v>35</v>
      </c>
      <c r="E276" t="s">
        <v>107</v>
      </c>
      <c r="F276" t="s">
        <v>19</v>
      </c>
      <c r="G276" t="s">
        <v>96</v>
      </c>
      <c r="H276" t="s">
        <v>102</v>
      </c>
      <c r="I276" t="s">
        <v>22</v>
      </c>
      <c r="J276" t="s">
        <v>148</v>
      </c>
      <c r="K276" t="s">
        <v>23</v>
      </c>
      <c r="L276">
        <v>398</v>
      </c>
      <c r="M276">
        <v>3.0081560999999999</v>
      </c>
      <c r="N276">
        <v>48.129826115469186</v>
      </c>
      <c r="O276">
        <v>2.6399404738689076E-2</v>
      </c>
      <c r="P276" s="1" t="str">
        <f>HYPERLINK(".\sm_car_260613_0002\sm_car_Axle3_260613_0002_275_CaAxle3_019TrK_MaWOT_DrSt_ode23t_1.png","figure")</f>
        <v>figure</v>
      </c>
      <c r="Q276" t="s">
        <v>15</v>
      </c>
    </row>
    <row r="277" spans="1:17" x14ac:dyDescent="0.25">
      <c r="A277">
        <v>276</v>
      </c>
      <c r="B277" t="s">
        <v>115</v>
      </c>
      <c r="C277" t="s">
        <v>100</v>
      </c>
      <c r="D277" t="s">
        <v>35</v>
      </c>
      <c r="E277" t="s">
        <v>107</v>
      </c>
      <c r="F277" t="s">
        <v>19</v>
      </c>
      <c r="G277" t="s">
        <v>96</v>
      </c>
      <c r="H277" t="s">
        <v>102</v>
      </c>
      <c r="I277" t="s">
        <v>22</v>
      </c>
      <c r="J277" t="s">
        <v>148</v>
      </c>
      <c r="K277" t="s">
        <v>23</v>
      </c>
      <c r="L277">
        <v>401</v>
      </c>
      <c r="M277">
        <v>2.9202881000000001</v>
      </c>
      <c r="N277">
        <v>48.113124994896268</v>
      </c>
      <c r="O277">
        <v>2.6374454044806026E-2</v>
      </c>
      <c r="P277" s="1" t="str">
        <f>HYPERLINK(".\sm_car_260613_0002\sm_car_Axle3_260613_0002_276_CaAxle3_019TrK_MaWOT_DrSt_ode23t_1.png","figure")</f>
        <v>figure</v>
      </c>
      <c r="Q277" t="s">
        <v>15</v>
      </c>
    </row>
    <row r="278" spans="1:17" x14ac:dyDescent="0.25">
      <c r="A278">
        <v>277</v>
      </c>
      <c r="B278" t="s">
        <v>115</v>
      </c>
      <c r="C278" t="s">
        <v>100</v>
      </c>
      <c r="D278" t="s">
        <v>35</v>
      </c>
      <c r="E278" t="s">
        <v>107</v>
      </c>
      <c r="F278" t="s">
        <v>19</v>
      </c>
      <c r="G278" t="s">
        <v>96</v>
      </c>
      <c r="H278" t="s">
        <v>102</v>
      </c>
      <c r="I278" t="s">
        <v>53</v>
      </c>
      <c r="J278" t="s">
        <v>148</v>
      </c>
      <c r="K278" t="s">
        <v>23</v>
      </c>
      <c r="L278">
        <v>653</v>
      </c>
      <c r="M278">
        <v>4.6899106000000002</v>
      </c>
      <c r="N278">
        <v>255.6435763016454</v>
      </c>
      <c r="O278">
        <v>-0.11740171941747057</v>
      </c>
      <c r="P278" s="1" t="str">
        <f>HYPERLINK(".\sm_car_260613_0002\sm_car_Axle3_260613_0002_277_CaAxle3_019TrK_MaDLC_DrSt_ode23t_1.png","figure")</f>
        <v>figure</v>
      </c>
      <c r="Q278" t="s">
        <v>15</v>
      </c>
    </row>
    <row r="279" spans="1:17" x14ac:dyDescent="0.25">
      <c r="A279">
        <v>278</v>
      </c>
      <c r="B279" t="s">
        <v>115</v>
      </c>
      <c r="C279" t="s">
        <v>100</v>
      </c>
      <c r="D279" t="s">
        <v>35</v>
      </c>
      <c r="E279" t="s">
        <v>107</v>
      </c>
      <c r="F279" t="s">
        <v>19</v>
      </c>
      <c r="G279" t="s">
        <v>96</v>
      </c>
      <c r="H279" t="s">
        <v>102</v>
      </c>
      <c r="I279" t="s">
        <v>53</v>
      </c>
      <c r="J279" t="s">
        <v>148</v>
      </c>
      <c r="K279" t="s">
        <v>23</v>
      </c>
      <c r="L279">
        <v>792</v>
      </c>
      <c r="M279">
        <v>4.7681456999999998</v>
      </c>
      <c r="N279">
        <v>254.2051156328132</v>
      </c>
      <c r="O279">
        <v>-0.11498644515622569</v>
      </c>
      <c r="P279" s="1" t="str">
        <f>HYPERLINK(".\sm_car_260613_0002\sm_car_Axle3_260613_0002_278_CaAxle3_019TrK_MaDLC_DrSt_ode23t_1.png","figure")</f>
        <v>figure</v>
      </c>
      <c r="Q279" t="s">
        <v>15</v>
      </c>
    </row>
    <row r="280" spans="1:17" x14ac:dyDescent="0.25">
      <c r="A280">
        <v>279</v>
      </c>
      <c r="B280" t="s">
        <v>115</v>
      </c>
      <c r="C280" t="s">
        <v>100</v>
      </c>
      <c r="D280" t="s">
        <v>35</v>
      </c>
      <c r="E280" t="s">
        <v>107</v>
      </c>
      <c r="F280" t="s">
        <v>19</v>
      </c>
      <c r="G280" t="s">
        <v>96</v>
      </c>
      <c r="H280" t="s">
        <v>102</v>
      </c>
      <c r="I280" t="s">
        <v>53</v>
      </c>
      <c r="J280" t="s">
        <v>148</v>
      </c>
      <c r="K280" t="s">
        <v>23</v>
      </c>
      <c r="L280">
        <v>633</v>
      </c>
      <c r="M280">
        <v>5.0026457999999998</v>
      </c>
      <c r="N280">
        <v>256.70773603257663</v>
      </c>
      <c r="O280">
        <v>-0.11848486993984864</v>
      </c>
      <c r="P280" s="1" t="str">
        <f>HYPERLINK(".\sm_car_260613_0002\sm_car_Axle3_260613_0002_279_CaAxle3_019TrK_MaDLC_DrSt_ode23t_1.png","figure")</f>
        <v>figure</v>
      </c>
      <c r="Q280" t="s">
        <v>15</v>
      </c>
    </row>
    <row r="281" spans="1:17" x14ac:dyDescent="0.25">
      <c r="A281">
        <v>280</v>
      </c>
      <c r="B281" t="s">
        <v>115</v>
      </c>
      <c r="C281" t="s">
        <v>100</v>
      </c>
      <c r="D281" t="s">
        <v>35</v>
      </c>
      <c r="E281" t="s">
        <v>107</v>
      </c>
      <c r="F281" t="s">
        <v>19</v>
      </c>
      <c r="G281" t="s">
        <v>96</v>
      </c>
      <c r="H281" t="s">
        <v>102</v>
      </c>
      <c r="I281" t="s">
        <v>53</v>
      </c>
      <c r="J281" t="s">
        <v>148</v>
      </c>
      <c r="K281" t="s">
        <v>23</v>
      </c>
      <c r="L281">
        <v>835</v>
      </c>
      <c r="M281">
        <v>5.6808043000000001</v>
      </c>
      <c r="N281">
        <v>253.51589053024617</v>
      </c>
      <c r="O281">
        <v>-0.10586835784717152</v>
      </c>
      <c r="P281" s="1" t="str">
        <f>HYPERLINK(".\sm_car_260613_0002\sm_car_Axle3_260613_0002_280_CaAxle3_019TrK_MaDLC_DrSt_ode23t_1.png","figure")</f>
        <v>figure</v>
      </c>
      <c r="Q281" t="s">
        <v>15</v>
      </c>
    </row>
    <row r="282" spans="1:17" x14ac:dyDescent="0.25">
      <c r="A282">
        <v>281</v>
      </c>
      <c r="B282" t="s">
        <v>138</v>
      </c>
      <c r="C282" t="s">
        <v>139</v>
      </c>
      <c r="D282" t="s">
        <v>35</v>
      </c>
      <c r="E282" t="s">
        <v>49</v>
      </c>
      <c r="F282" t="s">
        <v>19</v>
      </c>
      <c r="G282" t="s">
        <v>96</v>
      </c>
      <c r="H282" t="s">
        <v>102</v>
      </c>
      <c r="I282" t="s">
        <v>22</v>
      </c>
      <c r="J282" t="s">
        <v>148</v>
      </c>
      <c r="K282" t="s">
        <v>23</v>
      </c>
      <c r="L282">
        <v>377</v>
      </c>
      <c r="M282">
        <v>2.8101411000000001</v>
      </c>
      <c r="N282">
        <v>136.82658216354375</v>
      </c>
      <c r="O282">
        <v>0.19640083954023752</v>
      </c>
      <c r="P282" s="1" t="str">
        <f>HYPERLINK(".\sm_car_260613_0002\sm_car_Axle3_260613_0002_281_CaAxle3_023TrK_MaWOT_DrSt_ode23t_1.png","figure")</f>
        <v>figure</v>
      </c>
      <c r="Q282" t="s">
        <v>15</v>
      </c>
    </row>
  </sheetData>
  <autoFilter ref="A1:Q282" xr:uid="{B67D9953-DC09-45A2-8A6B-82FDBD338578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71408-9BE9-4EDB-BEEE-4DDB0FBFA96A}">
  <dimension ref="A1:S296"/>
  <sheetViews>
    <sheetView workbookViewId="0">
      <pane ySplit="1" topLeftCell="A2" activePane="bottomLeft" state="frozen"/>
      <selection pane="bottomLeft" activeCell="Q2" sqref="Q2"/>
    </sheetView>
  </sheetViews>
  <sheetFormatPr defaultRowHeight="15" x14ac:dyDescent="0.25"/>
  <cols>
    <col min="1" max="1" width="4.42578125" bestFit="1" customWidth="1"/>
    <col min="2" max="2" width="10" bestFit="1" customWidth="1"/>
    <col min="7" max="7" width="18.7109375" bestFit="1" customWidth="1"/>
    <col min="12" max="12" width="7.28515625" bestFit="1" customWidth="1"/>
    <col min="13" max="13" width="7.5703125" bestFit="1" customWidth="1"/>
    <col min="14" max="14" width="8.5703125" bestFit="1" customWidth="1"/>
    <col min="15" max="15" width="9.28515625" bestFit="1" customWidth="1"/>
    <col min="16" max="16" width="6.5703125" bestFit="1" customWidth="1"/>
    <col min="17" max="17" width="4.85546875" bestFit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6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S1" s="2" t="s">
        <v>208</v>
      </c>
    </row>
    <row r="2" spans="1:19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188</v>
      </c>
      <c r="H2" t="s">
        <v>21</v>
      </c>
      <c r="I2" t="s">
        <v>22</v>
      </c>
      <c r="J2" t="s">
        <v>148</v>
      </c>
      <c r="K2" t="s">
        <v>23</v>
      </c>
      <c r="L2">
        <v>407</v>
      </c>
      <c r="M2" s="4">
        <v>12.8223357</v>
      </c>
      <c r="N2" s="4">
        <v>229.79691633507201</v>
      </c>
      <c r="O2" s="4">
        <v>-8.3815857057599977E-3</v>
      </c>
      <c r="P2" s="1" t="str">
        <f>HYPERLINK(".\sm_car_260613_0458\sm_car_260613_0458_001_Ca000TrN_MaWOT_DrSt_ode23t.png","figure")</f>
        <v>figure</v>
      </c>
      <c r="Q2" t="s">
        <v>15</v>
      </c>
      <c r="S2" s="2" t="s">
        <v>116</v>
      </c>
    </row>
    <row r="3" spans="1:19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188</v>
      </c>
      <c r="H3" t="s">
        <v>21</v>
      </c>
      <c r="I3" t="s">
        <v>24</v>
      </c>
      <c r="J3" t="s">
        <v>148</v>
      </c>
      <c r="K3" t="s">
        <v>23</v>
      </c>
      <c r="L3">
        <v>526</v>
      </c>
      <c r="M3" s="4">
        <v>12.530334399999999</v>
      </c>
      <c r="N3" s="4">
        <v>70.871391609126391</v>
      </c>
      <c r="O3" s="4">
        <v>-0.53285053939936844</v>
      </c>
      <c r="P3" s="1" t="str">
        <f>HYPERLINK(".\sm_car_260613_0458\sm_car_260613_0458_002_Ca000TrN_MaLSS_DrSt_ode23t.png","figure")</f>
        <v>figure</v>
      </c>
      <c r="Q3" t="s">
        <v>15</v>
      </c>
      <c r="S3" s="2" t="s">
        <v>201</v>
      </c>
    </row>
    <row r="4" spans="1:19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188</v>
      </c>
      <c r="H4" t="s">
        <v>21</v>
      </c>
      <c r="I4" t="s">
        <v>22</v>
      </c>
      <c r="J4" t="s">
        <v>148</v>
      </c>
      <c r="K4" t="s">
        <v>23</v>
      </c>
      <c r="L4">
        <v>414</v>
      </c>
      <c r="M4" s="4">
        <v>12.8455879</v>
      </c>
      <c r="N4" s="4">
        <v>228.9780396740241</v>
      </c>
      <c r="O4" s="4">
        <v>-1.7582958650985199E-2</v>
      </c>
      <c r="P4" s="1" t="str">
        <f>HYPERLINK(".\sm_car_260613_0458\sm_car_260613_0458_003_Ca001TrN_MaWOT_DrSt_ode23t.png","figure")</f>
        <v>figure</v>
      </c>
      <c r="Q4" t="s">
        <v>15</v>
      </c>
      <c r="S4" s="2" t="s">
        <v>202</v>
      </c>
    </row>
    <row r="5" spans="1:19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188</v>
      </c>
      <c r="H5" t="s">
        <v>21</v>
      </c>
      <c r="I5" t="s">
        <v>24</v>
      </c>
      <c r="J5" t="s">
        <v>148</v>
      </c>
      <c r="K5" t="s">
        <v>23</v>
      </c>
      <c r="L5">
        <v>535</v>
      </c>
      <c r="M5" s="4">
        <v>16.114747900000001</v>
      </c>
      <c r="N5" s="4">
        <v>70.585586465815211</v>
      </c>
      <c r="O5" s="4">
        <v>-0.52649935690926708</v>
      </c>
      <c r="P5" s="1" t="str">
        <f>HYPERLINK(".\sm_car_260613_0458\sm_car_260613_0458_004_Ca001TrN_MaLSS_DrSt_ode23t.png","figure")</f>
        <v>figure</v>
      </c>
      <c r="Q5" t="s">
        <v>15</v>
      </c>
      <c r="S5" t="s">
        <v>207</v>
      </c>
    </row>
    <row r="6" spans="1:19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188</v>
      </c>
      <c r="H6" t="s">
        <v>21</v>
      </c>
      <c r="I6" t="s">
        <v>22</v>
      </c>
      <c r="J6" t="s">
        <v>148</v>
      </c>
      <c r="K6" t="s">
        <v>23</v>
      </c>
      <c r="L6">
        <v>437</v>
      </c>
      <c r="M6" s="4">
        <v>20.686125499999999</v>
      </c>
      <c r="N6" s="4">
        <v>229.08773946583517</v>
      </c>
      <c r="O6" s="4">
        <v>5.0071604495388014E-2</v>
      </c>
      <c r="P6" s="1" t="str">
        <f>HYPERLINK(".\sm_car_260613_0458\sm_car_260613_0458_005_Ca002TrN_MaWOT_DrSt_ode23t.png","figure")</f>
        <v>figure</v>
      </c>
      <c r="Q6" t="s">
        <v>15</v>
      </c>
    </row>
    <row r="7" spans="1:19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188</v>
      </c>
      <c r="H7" t="s">
        <v>21</v>
      </c>
      <c r="I7" t="s">
        <v>24</v>
      </c>
      <c r="J7" t="s">
        <v>148</v>
      </c>
      <c r="K7" t="s">
        <v>23</v>
      </c>
      <c r="L7">
        <v>523</v>
      </c>
      <c r="M7" s="4">
        <v>13.863000899999999</v>
      </c>
      <c r="N7" s="4">
        <v>70.585041528837195</v>
      </c>
      <c r="O7" s="4">
        <v>-0.52241692713006083</v>
      </c>
      <c r="P7" s="1" t="str">
        <f>HYPERLINK(".\sm_car_260613_0458\sm_car_260613_0458_006_Ca002TrN_MaLSS_DrSt_ode23t.png","figure")</f>
        <v>figure</v>
      </c>
      <c r="Q7" t="s">
        <v>15</v>
      </c>
    </row>
    <row r="8" spans="1:19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188</v>
      </c>
      <c r="H8" t="s">
        <v>21</v>
      </c>
      <c r="I8" t="s">
        <v>22</v>
      </c>
      <c r="J8" t="s">
        <v>148</v>
      </c>
      <c r="K8" t="s">
        <v>23</v>
      </c>
      <c r="L8">
        <v>496</v>
      </c>
      <c r="M8" s="4">
        <v>23.866108799999999</v>
      </c>
      <c r="N8" s="4">
        <v>228.73339608383588</v>
      </c>
      <c r="O8" s="4">
        <v>4.5644975983038183E-2</v>
      </c>
      <c r="P8" s="1" t="str">
        <f>HYPERLINK(".\sm_car_260613_0458\sm_car_260613_0458_007_Ca003TrN_MaWOT_DrSt_ode23t.png","figure")</f>
        <v>figure</v>
      </c>
      <c r="Q8" t="s">
        <v>15</v>
      </c>
    </row>
    <row r="9" spans="1:19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188</v>
      </c>
      <c r="H9" t="s">
        <v>21</v>
      </c>
      <c r="I9" t="s">
        <v>24</v>
      </c>
      <c r="J9" t="s">
        <v>148</v>
      </c>
      <c r="K9" t="s">
        <v>23</v>
      </c>
      <c r="L9">
        <v>551</v>
      </c>
      <c r="M9" s="4">
        <v>33.551695299999999</v>
      </c>
      <c r="N9" s="4">
        <v>70.460182897389103</v>
      </c>
      <c r="O9" s="4">
        <v>-0.52081075266526</v>
      </c>
      <c r="P9" s="1" t="str">
        <f>HYPERLINK(".\sm_car_260613_0458\sm_car_260613_0458_008_Ca003TrN_MaLSS_DrSt_ode23t.png","figure")</f>
        <v>figure</v>
      </c>
      <c r="Q9" t="s">
        <v>15</v>
      </c>
    </row>
    <row r="10" spans="1:19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188</v>
      </c>
      <c r="H10" t="s">
        <v>21</v>
      </c>
      <c r="I10" t="s">
        <v>22</v>
      </c>
      <c r="J10" t="s">
        <v>148</v>
      </c>
      <c r="K10" t="s">
        <v>23</v>
      </c>
      <c r="L10">
        <v>1101</v>
      </c>
      <c r="M10" s="4">
        <v>19.935898600000002</v>
      </c>
      <c r="N10" s="4">
        <v>230.03726528986655</v>
      </c>
      <c r="O10" s="4">
        <v>-9.7560265766938863E-3</v>
      </c>
      <c r="P10" s="1" t="str">
        <f>HYPERLINK(".\sm_car_260613_0458\sm_car_260613_0458_009_Ca004TrN_MaWOT_DrSt_ode23t.png","figure")</f>
        <v>figure</v>
      </c>
      <c r="Q10" t="s">
        <v>15</v>
      </c>
    </row>
    <row r="11" spans="1:19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188</v>
      </c>
      <c r="H11" t="s">
        <v>21</v>
      </c>
      <c r="I11" t="s">
        <v>24</v>
      </c>
      <c r="J11" t="s">
        <v>148</v>
      </c>
      <c r="K11" t="s">
        <v>23</v>
      </c>
      <c r="L11">
        <v>1228</v>
      </c>
      <c r="M11" s="4">
        <v>16.238368699999999</v>
      </c>
      <c r="N11" s="4">
        <v>70.87933579081141</v>
      </c>
      <c r="O11" s="4">
        <v>-0.53594520575646432</v>
      </c>
      <c r="P11" s="1" t="str">
        <f>HYPERLINK(".\sm_car_260613_0458\sm_car_260613_0458_010_Ca004TrN_MaLSS_DrSt_ode23t.png","figure")</f>
        <v>figure</v>
      </c>
      <c r="Q11" t="s">
        <v>15</v>
      </c>
    </row>
    <row r="12" spans="1:19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188</v>
      </c>
      <c r="H12" t="s">
        <v>21</v>
      </c>
      <c r="I12" t="s">
        <v>22</v>
      </c>
      <c r="J12" t="s">
        <v>148</v>
      </c>
      <c r="K12" t="s">
        <v>23</v>
      </c>
      <c r="L12">
        <v>1086</v>
      </c>
      <c r="M12" s="4">
        <v>13.2571475</v>
      </c>
      <c r="N12" s="4">
        <v>229.03707626097486</v>
      </c>
      <c r="O12" s="4">
        <v>-1.7601671088690585E-2</v>
      </c>
      <c r="P12" s="1" t="str">
        <f>HYPERLINK(".\sm_car_260613_0458\sm_car_260613_0458_011_Ca005TrN_MaWOT_DrSt_ode23t.png","figure")</f>
        <v>figure</v>
      </c>
      <c r="Q12" t="s">
        <v>15</v>
      </c>
    </row>
    <row r="13" spans="1:19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188</v>
      </c>
      <c r="H13" t="s">
        <v>21</v>
      </c>
      <c r="I13" t="s">
        <v>24</v>
      </c>
      <c r="J13" t="s">
        <v>148</v>
      </c>
      <c r="K13" t="s">
        <v>23</v>
      </c>
      <c r="L13">
        <v>1218</v>
      </c>
      <c r="M13" s="4">
        <v>15.2020084</v>
      </c>
      <c r="N13" s="4">
        <v>70.59176456017812</v>
      </c>
      <c r="O13" s="4">
        <v>-0.5301460871337158</v>
      </c>
      <c r="P13" s="1" t="str">
        <f>HYPERLINK(".\sm_car_260613_0458\sm_car_260613_0458_012_Ca005TrN_MaLSS_DrSt_ode23t.png","figure")</f>
        <v>figure</v>
      </c>
      <c r="Q13" t="s">
        <v>15</v>
      </c>
    </row>
    <row r="14" spans="1:19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188</v>
      </c>
      <c r="H14" t="s">
        <v>21</v>
      </c>
      <c r="I14" t="s">
        <v>22</v>
      </c>
      <c r="J14" t="s">
        <v>148</v>
      </c>
      <c r="K14" t="s">
        <v>23</v>
      </c>
      <c r="L14">
        <v>1219</v>
      </c>
      <c r="M14" s="4">
        <v>16.661981300000001</v>
      </c>
      <c r="N14" s="4">
        <v>229.16665208769467</v>
      </c>
      <c r="O14" s="4">
        <v>5.5425245842963183E-2</v>
      </c>
      <c r="P14" s="1" t="str">
        <f>HYPERLINK(".\sm_car_260613_0458\sm_car_260613_0458_013_Ca006TrN_MaWOT_DrSt_ode23t.png","figure")</f>
        <v>figure</v>
      </c>
      <c r="Q14" t="s">
        <v>15</v>
      </c>
    </row>
    <row r="15" spans="1:19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188</v>
      </c>
      <c r="H15" t="s">
        <v>21</v>
      </c>
      <c r="I15" t="s">
        <v>24</v>
      </c>
      <c r="J15" t="s">
        <v>148</v>
      </c>
      <c r="K15" t="s">
        <v>23</v>
      </c>
      <c r="L15">
        <v>1294</v>
      </c>
      <c r="M15" s="4">
        <v>16.3891189</v>
      </c>
      <c r="N15" s="4">
        <v>70.595090879542482</v>
      </c>
      <c r="O15" s="4">
        <v>-0.52640167319375897</v>
      </c>
      <c r="P15" s="1" t="str">
        <f>HYPERLINK(".\sm_car_260613_0458\sm_car_260613_0458_014_Ca006TrN_MaLSS_DrSt_ode23t.png","figure")</f>
        <v>figure</v>
      </c>
      <c r="Q15" t="s">
        <v>15</v>
      </c>
    </row>
    <row r="16" spans="1:19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188</v>
      </c>
      <c r="H16" t="s">
        <v>21</v>
      </c>
      <c r="I16" t="s">
        <v>22</v>
      </c>
      <c r="J16" t="s">
        <v>148</v>
      </c>
      <c r="K16" t="s">
        <v>23</v>
      </c>
      <c r="L16">
        <v>1186</v>
      </c>
      <c r="M16" s="4">
        <v>18.658489100000001</v>
      </c>
      <c r="N16" s="4">
        <v>228.66560738478978</v>
      </c>
      <c r="O16" s="4">
        <v>4.6681225028094069E-2</v>
      </c>
      <c r="P16" s="1" t="str">
        <f>HYPERLINK(".\sm_car_260613_0458\sm_car_260613_0458_015_Ca007TrN_MaWOT_DrSt_ode23t.png","figure")</f>
        <v>figure</v>
      </c>
      <c r="Q16" t="s">
        <v>15</v>
      </c>
    </row>
    <row r="17" spans="1:17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188</v>
      </c>
      <c r="H17" t="s">
        <v>21</v>
      </c>
      <c r="I17" t="s">
        <v>24</v>
      </c>
      <c r="J17" t="s">
        <v>148</v>
      </c>
      <c r="K17" t="s">
        <v>23</v>
      </c>
      <c r="L17">
        <v>1277</v>
      </c>
      <c r="M17" s="4">
        <v>17.333342900000002</v>
      </c>
      <c r="N17" s="4">
        <v>70.467908346729217</v>
      </c>
      <c r="O17" s="4">
        <v>-0.52324767130798622</v>
      </c>
      <c r="P17" s="1" t="str">
        <f>HYPERLINK(".\sm_car_260613_0458\sm_car_260613_0458_016_Ca007TrN_MaLSS_DrSt_ode23t.png","figure")</f>
        <v>figure</v>
      </c>
      <c r="Q17" t="s">
        <v>15</v>
      </c>
    </row>
    <row r="18" spans="1:17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188</v>
      </c>
      <c r="H18" t="s">
        <v>21</v>
      </c>
      <c r="I18" t="s">
        <v>22</v>
      </c>
      <c r="J18" t="s">
        <v>148</v>
      </c>
      <c r="K18" t="s">
        <v>23</v>
      </c>
      <c r="L18">
        <v>414</v>
      </c>
      <c r="M18" s="4">
        <v>5.9425572999999998</v>
      </c>
      <c r="N18" s="4">
        <v>230.40960672488885</v>
      </c>
      <c r="O18" s="4">
        <v>-7.5480656363989873E-2</v>
      </c>
      <c r="P18" s="1" t="str">
        <f>HYPERLINK(".\sm_car_260613_0458\sm_car_260613_0458_017_Ca016TrN_MaWOT_DrSt_ode23t.png","figure")</f>
        <v>figure</v>
      </c>
      <c r="Q18" t="s">
        <v>15</v>
      </c>
    </row>
    <row r="19" spans="1:17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188</v>
      </c>
      <c r="H19" t="s">
        <v>21</v>
      </c>
      <c r="I19" t="s">
        <v>24</v>
      </c>
      <c r="J19" t="s">
        <v>148</v>
      </c>
      <c r="K19" t="s">
        <v>23</v>
      </c>
      <c r="L19">
        <v>479</v>
      </c>
      <c r="M19" s="4">
        <v>6.1799552999999996</v>
      </c>
      <c r="N19" s="4">
        <v>71.136919732424161</v>
      </c>
      <c r="O19" s="4">
        <v>-2.1879904771588968E-2</v>
      </c>
      <c r="P19" s="1" t="str">
        <f>HYPERLINK(".\sm_car_260613_0458\sm_car_260613_0458_018_Ca016TrN_MaLSS_DrSt_ode23t.png","figure")</f>
        <v>figure</v>
      </c>
      <c r="Q19" t="s">
        <v>15</v>
      </c>
    </row>
    <row r="20" spans="1:17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188</v>
      </c>
      <c r="H20" t="s">
        <v>21</v>
      </c>
      <c r="I20" t="s">
        <v>22</v>
      </c>
      <c r="J20" t="s">
        <v>148</v>
      </c>
      <c r="K20" t="s">
        <v>23</v>
      </c>
      <c r="L20">
        <v>405</v>
      </c>
      <c r="M20" s="4">
        <v>7.8951045999999998</v>
      </c>
      <c r="N20" s="4">
        <v>230.15045365605587</v>
      </c>
      <c r="O20" s="4">
        <v>5.5534640356316141E-3</v>
      </c>
      <c r="P20" s="1" t="str">
        <f>HYPERLINK(".\sm_car_260613_0458\sm_car_260613_0458_019_Ca032TrN_MaWOT_DrSt_ode23t.png","figure")</f>
        <v>figure</v>
      </c>
      <c r="Q20" t="s">
        <v>15</v>
      </c>
    </row>
    <row r="21" spans="1:17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188</v>
      </c>
      <c r="H21" t="s">
        <v>21</v>
      </c>
      <c r="I21" t="s">
        <v>24</v>
      </c>
      <c r="J21" t="s">
        <v>148</v>
      </c>
      <c r="K21" t="s">
        <v>23</v>
      </c>
      <c r="L21">
        <v>526</v>
      </c>
      <c r="M21" s="4">
        <v>9.4559580000000008</v>
      </c>
      <c r="N21" s="4">
        <v>70.887018122001578</v>
      </c>
      <c r="O21" s="4">
        <v>-0.51641941013081838</v>
      </c>
      <c r="P21" s="1" t="str">
        <f>HYPERLINK(".\sm_car_260613_0458\sm_car_260613_0458_020_Ca032TrN_MaLSS_DrSt_ode23t.png","figure")</f>
        <v>figure</v>
      </c>
      <c r="Q21" t="s">
        <v>15</v>
      </c>
    </row>
    <row r="22" spans="1:17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188</v>
      </c>
      <c r="H22" t="s">
        <v>21</v>
      </c>
      <c r="I22" t="s">
        <v>22</v>
      </c>
      <c r="J22" t="s">
        <v>148</v>
      </c>
      <c r="K22" t="s">
        <v>23</v>
      </c>
      <c r="L22">
        <v>408</v>
      </c>
      <c r="M22" s="4">
        <v>8.3832789999999999</v>
      </c>
      <c r="N22" s="4">
        <v>230.07116592822823</v>
      </c>
      <c r="O22" s="4">
        <v>-2.2803956668757609E-2</v>
      </c>
      <c r="P22" s="1" t="str">
        <f>HYPERLINK(".\sm_car_260613_0458\sm_car_260613_0458_021_Ca048TrN_MaWOT_DrSt_ode23t.png","figure")</f>
        <v>figure</v>
      </c>
      <c r="Q22" t="s">
        <v>15</v>
      </c>
    </row>
    <row r="23" spans="1:17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188</v>
      </c>
      <c r="H23" t="s">
        <v>21</v>
      </c>
      <c r="I23" t="s">
        <v>24</v>
      </c>
      <c r="J23" t="s">
        <v>148</v>
      </c>
      <c r="K23" t="s">
        <v>23</v>
      </c>
      <c r="L23">
        <v>532</v>
      </c>
      <c r="M23" s="4">
        <v>8.5719952999999993</v>
      </c>
      <c r="N23" s="4">
        <v>70.879734943070645</v>
      </c>
      <c r="O23" s="4">
        <v>-0.52128276122161854</v>
      </c>
      <c r="P23" s="1" t="str">
        <f>HYPERLINK(".\sm_car_260613_0458\sm_car_260613_0458_022_Ca048TrN_MaLSS_DrSt_ode23t.png","figure")</f>
        <v>figure</v>
      </c>
      <c r="Q23" t="s">
        <v>15</v>
      </c>
    </row>
    <row r="24" spans="1:17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188</v>
      </c>
      <c r="H24" t="s">
        <v>21</v>
      </c>
      <c r="I24" t="s">
        <v>22</v>
      </c>
      <c r="J24" t="s">
        <v>148</v>
      </c>
      <c r="K24" t="s">
        <v>23</v>
      </c>
      <c r="L24">
        <v>400</v>
      </c>
      <c r="M24" s="4">
        <v>8.6292927000000006</v>
      </c>
      <c r="N24" s="4">
        <v>230.15012909419332</v>
      </c>
      <c r="O24" s="4">
        <v>4.0306009787751344E-3</v>
      </c>
      <c r="P24" s="1" t="str">
        <f>HYPERLINK(".\sm_car_260613_0458\sm_car_260613_0458_023_Ca064TrN_MaWOT_DrSt_ode23t.png","figure")</f>
        <v>figure</v>
      </c>
      <c r="Q24" t="s">
        <v>15</v>
      </c>
    </row>
    <row r="25" spans="1:17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188</v>
      </c>
      <c r="H25" t="s">
        <v>21</v>
      </c>
      <c r="I25" t="s">
        <v>24</v>
      </c>
      <c r="J25" t="s">
        <v>148</v>
      </c>
      <c r="K25" t="s">
        <v>23</v>
      </c>
      <c r="L25">
        <v>512</v>
      </c>
      <c r="M25" s="4">
        <v>8.7875557999999998</v>
      </c>
      <c r="N25" s="4">
        <v>70.903978167550335</v>
      </c>
      <c r="O25" s="4">
        <v>-0.50998323756179686</v>
      </c>
      <c r="P25" s="1" t="str">
        <f>HYPERLINK(".\sm_car_260613_0458\sm_car_260613_0458_024_Ca064TrN_MaLSS_DrSt_ode23t.png","figure")</f>
        <v>figure</v>
      </c>
      <c r="Q25" t="s">
        <v>15</v>
      </c>
    </row>
    <row r="26" spans="1:17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188</v>
      </c>
      <c r="H26" t="s">
        <v>21</v>
      </c>
      <c r="I26" t="s">
        <v>22</v>
      </c>
      <c r="J26" t="s">
        <v>148</v>
      </c>
      <c r="K26" t="s">
        <v>23</v>
      </c>
      <c r="L26">
        <v>407</v>
      </c>
      <c r="M26" s="4">
        <v>8.5695637999999992</v>
      </c>
      <c r="N26" s="4">
        <v>229.977002942746</v>
      </c>
      <c r="O26" s="4">
        <v>-2.5215828614378225E-2</v>
      </c>
      <c r="P26" s="1" t="str">
        <f>HYPERLINK(".\sm_car_260613_0458\sm_car_260613_0458_025_Ca080TrN_MaWOT_DrSt_ode23t.png","figure")</f>
        <v>figure</v>
      </c>
      <c r="Q26" t="s">
        <v>15</v>
      </c>
    </row>
    <row r="27" spans="1:17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188</v>
      </c>
      <c r="H27" t="s">
        <v>21</v>
      </c>
      <c r="I27" t="s">
        <v>24</v>
      </c>
      <c r="J27" t="s">
        <v>148</v>
      </c>
      <c r="K27" t="s">
        <v>23</v>
      </c>
      <c r="L27">
        <v>521</v>
      </c>
      <c r="M27" s="4">
        <v>8.9056929</v>
      </c>
      <c r="N27" s="4">
        <v>70.871571113951205</v>
      </c>
      <c r="O27" s="4">
        <v>-0.51798401216276602</v>
      </c>
      <c r="P27" s="1" t="str">
        <f>HYPERLINK(".\sm_car_260613_0458\sm_car_260613_0458_026_Ca080TrN_MaLSS_DrSt_ode23t.png","figure")</f>
        <v>figure</v>
      </c>
      <c r="Q27" t="s">
        <v>15</v>
      </c>
    </row>
    <row r="28" spans="1:17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188</v>
      </c>
      <c r="H28" t="s">
        <v>21</v>
      </c>
      <c r="I28" t="s">
        <v>22</v>
      </c>
      <c r="J28" t="s">
        <v>148</v>
      </c>
      <c r="K28" t="s">
        <v>23</v>
      </c>
      <c r="L28">
        <v>400</v>
      </c>
      <c r="M28" s="4">
        <v>6.0342826000000001</v>
      </c>
      <c r="N28" s="4">
        <v>231.7060108500074</v>
      </c>
      <c r="O28" s="4">
        <v>1.6013963503973151E-2</v>
      </c>
      <c r="P28" s="1" t="str">
        <f>HYPERLINK(".\sm_car_260613_0458\sm_car_260613_0458_027_Ca096TrN_MaWOT_DrSt_ode23t.png","figure")</f>
        <v>figure</v>
      </c>
      <c r="Q28" t="s">
        <v>15</v>
      </c>
    </row>
    <row r="29" spans="1:17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188</v>
      </c>
      <c r="H29" t="s">
        <v>21</v>
      </c>
      <c r="I29" t="s">
        <v>24</v>
      </c>
      <c r="J29" t="s">
        <v>148</v>
      </c>
      <c r="K29" t="s">
        <v>23</v>
      </c>
      <c r="L29">
        <v>516</v>
      </c>
      <c r="M29" s="4">
        <v>7.1909147000000004</v>
      </c>
      <c r="N29" s="4">
        <v>71.376201274642568</v>
      </c>
      <c r="O29" s="4">
        <v>-0.52101015842835785</v>
      </c>
      <c r="P29" s="1" t="str">
        <f>HYPERLINK(".\sm_car_260613_0458\sm_car_260613_0458_028_Ca096TrN_MaLSS_DrSt_ode23t.png","figure")</f>
        <v>figure</v>
      </c>
      <c r="Q29" t="s">
        <v>15</v>
      </c>
    </row>
    <row r="30" spans="1:17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188</v>
      </c>
      <c r="H30" t="s">
        <v>21</v>
      </c>
      <c r="I30" t="s">
        <v>22</v>
      </c>
      <c r="J30" t="s">
        <v>148</v>
      </c>
      <c r="K30" t="s">
        <v>23</v>
      </c>
      <c r="L30">
        <v>343</v>
      </c>
      <c r="M30" s="4">
        <v>2.9677701999999999</v>
      </c>
      <c r="N30" s="4">
        <v>242.43362774734626</v>
      </c>
      <c r="O30" s="4">
        <v>0.23525250866934741</v>
      </c>
      <c r="P30" s="1" t="str">
        <f>HYPERLINK(".\sm_car_260613_0458\sm_car_260613_0458_029_Ca112TrN_MaWOT_DrSt_ode23t.png","figure")</f>
        <v>figure</v>
      </c>
      <c r="Q30" t="s">
        <v>15</v>
      </c>
    </row>
    <row r="31" spans="1:17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188</v>
      </c>
      <c r="H31" t="s">
        <v>21</v>
      </c>
      <c r="I31" t="s">
        <v>24</v>
      </c>
      <c r="J31" t="s">
        <v>148</v>
      </c>
      <c r="K31" t="s">
        <v>23</v>
      </c>
      <c r="L31">
        <v>458</v>
      </c>
      <c r="M31" s="4">
        <v>2.7705506</v>
      </c>
      <c r="N31" s="4">
        <v>74.660640114503309</v>
      </c>
      <c r="O31" s="4">
        <v>-0.33895610552822808</v>
      </c>
      <c r="P31" s="1" t="str">
        <f>HYPERLINK(".\sm_car_260613_0458\sm_car_260613_0458_030_Ca112TrN_MaLSS_DrSt_ode23t.png","figure")</f>
        <v>figure</v>
      </c>
      <c r="Q31" t="s">
        <v>15</v>
      </c>
    </row>
    <row r="32" spans="1:17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188</v>
      </c>
      <c r="H32" t="s">
        <v>21</v>
      </c>
      <c r="I32" t="s">
        <v>22</v>
      </c>
      <c r="J32" t="s">
        <v>148</v>
      </c>
      <c r="K32" t="s">
        <v>23</v>
      </c>
      <c r="L32">
        <v>340</v>
      </c>
      <c r="M32" s="4">
        <v>3.1029016</v>
      </c>
      <c r="N32" s="4">
        <v>241.58349907106185</v>
      </c>
      <c r="O32" s="4">
        <v>0.23220441159262017</v>
      </c>
      <c r="P32" s="1" t="str">
        <f>HYPERLINK(".\sm_car_260613_0458\sm_car_260613_0458_031_Ca113TrN_MaWOT_DrSt_ode23t.png","figure")</f>
        <v>figure</v>
      </c>
      <c r="Q32" t="s">
        <v>15</v>
      </c>
    </row>
    <row r="33" spans="1:17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188</v>
      </c>
      <c r="H33" t="s">
        <v>21</v>
      </c>
      <c r="I33" t="s">
        <v>24</v>
      </c>
      <c r="J33" t="s">
        <v>148</v>
      </c>
      <c r="K33" t="s">
        <v>23</v>
      </c>
      <c r="L33">
        <v>452</v>
      </c>
      <c r="M33" s="4">
        <v>3.8400546000000002</v>
      </c>
      <c r="N33" s="4">
        <v>74.341149914540182</v>
      </c>
      <c r="O33" s="4">
        <v>-0.33338484264579354</v>
      </c>
      <c r="P33" s="1" t="str">
        <f>HYPERLINK(".\sm_car_260613_0458\sm_car_260613_0458_032_Ca113TrN_MaLSS_DrSt_ode23t.png","figure")</f>
        <v>figure</v>
      </c>
      <c r="Q33" t="s">
        <v>15</v>
      </c>
    </row>
    <row r="34" spans="1:17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188</v>
      </c>
      <c r="H34" t="s">
        <v>21</v>
      </c>
      <c r="I34" t="s">
        <v>22</v>
      </c>
      <c r="J34" t="s">
        <v>148</v>
      </c>
      <c r="K34" t="s">
        <v>23</v>
      </c>
      <c r="L34">
        <v>339</v>
      </c>
      <c r="M34" s="4">
        <v>3.4494918999999999</v>
      </c>
      <c r="N34" s="4">
        <v>241.65642515794619</v>
      </c>
      <c r="O34" s="4">
        <v>0.23387049705337862</v>
      </c>
      <c r="P34" s="1" t="str">
        <f>HYPERLINK(".\sm_car_260613_0458\sm_car_260613_0458_033_Ca114TrN_MaWOT_DrSt_ode23t.png","figure")</f>
        <v>figure</v>
      </c>
      <c r="Q34" t="s">
        <v>15</v>
      </c>
    </row>
    <row r="35" spans="1:17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188</v>
      </c>
      <c r="H35" t="s">
        <v>21</v>
      </c>
      <c r="I35" t="s">
        <v>24</v>
      </c>
      <c r="J35" t="s">
        <v>148</v>
      </c>
      <c r="K35" t="s">
        <v>23</v>
      </c>
      <c r="L35">
        <v>461</v>
      </c>
      <c r="M35" s="4">
        <v>3.6943845999999998</v>
      </c>
      <c r="N35" s="4">
        <v>74.368743385918108</v>
      </c>
      <c r="O35" s="4">
        <v>-0.33447973286028443</v>
      </c>
      <c r="P35" s="1" t="str">
        <f>HYPERLINK(".\sm_car_260613_0458\sm_car_260613_0458_034_Ca114TrN_MaLSS_DrSt_ode23t.png","figure")</f>
        <v>figure</v>
      </c>
      <c r="Q35" t="s">
        <v>15</v>
      </c>
    </row>
    <row r="36" spans="1:17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188</v>
      </c>
      <c r="H36" t="s">
        <v>21</v>
      </c>
      <c r="I36" t="s">
        <v>22</v>
      </c>
      <c r="J36" t="s">
        <v>148</v>
      </c>
      <c r="K36" t="s">
        <v>23</v>
      </c>
      <c r="L36">
        <v>396</v>
      </c>
      <c r="M36" s="4">
        <v>3.384109</v>
      </c>
      <c r="N36" s="4">
        <v>241.13928625442051</v>
      </c>
      <c r="O36" s="4">
        <v>0.23104054790605846</v>
      </c>
      <c r="P36" s="1" t="str">
        <f>HYPERLINK(".\sm_car_260613_0458\sm_car_260613_0458_035_Ca115TrN_MaWOT_DrSt_ode23t.png","figure")</f>
        <v>figure</v>
      </c>
      <c r="Q36" t="s">
        <v>15</v>
      </c>
    </row>
    <row r="37" spans="1:17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188</v>
      </c>
      <c r="H37" t="s">
        <v>21</v>
      </c>
      <c r="I37" t="s">
        <v>24</v>
      </c>
      <c r="J37" t="s">
        <v>148</v>
      </c>
      <c r="K37" t="s">
        <v>23</v>
      </c>
      <c r="L37">
        <v>480</v>
      </c>
      <c r="M37" s="4">
        <v>3.5615003999999999</v>
      </c>
      <c r="N37" s="4">
        <v>74.203049035238095</v>
      </c>
      <c r="O37" s="4">
        <v>-0.33176040052525929</v>
      </c>
      <c r="P37" s="1" t="str">
        <f>HYPERLINK(".\sm_car_260613_0458\sm_car_260613_0458_036_Ca115TrN_MaLSS_DrSt_ode23t.png","figure")</f>
        <v>figure</v>
      </c>
      <c r="Q37" t="s">
        <v>15</v>
      </c>
    </row>
    <row r="38" spans="1:17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188</v>
      </c>
      <c r="H38" t="s">
        <v>21</v>
      </c>
      <c r="I38" t="s">
        <v>22</v>
      </c>
      <c r="J38" t="s">
        <v>148</v>
      </c>
      <c r="K38" t="s">
        <v>23</v>
      </c>
      <c r="L38">
        <v>871</v>
      </c>
      <c r="M38" s="4">
        <v>4.7411922999999998</v>
      </c>
      <c r="N38" s="4">
        <v>242.63359811761086</v>
      </c>
      <c r="O38" s="4">
        <v>0.23812089056063013</v>
      </c>
      <c r="P38" s="1" t="str">
        <f>HYPERLINK(".\sm_car_260613_0458\sm_car_260613_0458_037_Ca116TrN_MaWOT_DrSt_ode23t.png","figure")</f>
        <v>figure</v>
      </c>
      <c r="Q38" t="s">
        <v>15</v>
      </c>
    </row>
    <row r="39" spans="1:17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188</v>
      </c>
      <c r="H39" t="s">
        <v>21</v>
      </c>
      <c r="I39" t="s">
        <v>24</v>
      </c>
      <c r="J39" t="s">
        <v>148</v>
      </c>
      <c r="K39" t="s">
        <v>23</v>
      </c>
      <c r="L39">
        <v>998</v>
      </c>
      <c r="M39" s="4">
        <v>5.1211466000000003</v>
      </c>
      <c r="N39" s="4">
        <v>74.662888271720306</v>
      </c>
      <c r="O39" s="4">
        <v>-0.34121923194264048</v>
      </c>
      <c r="P39" s="1" t="str">
        <f>HYPERLINK(".\sm_car_260613_0458\sm_car_260613_0458_038_Ca116TrN_MaLSS_DrSt_ode23t.png","figure")</f>
        <v>figure</v>
      </c>
      <c r="Q39" t="s">
        <v>15</v>
      </c>
    </row>
    <row r="40" spans="1:17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188</v>
      </c>
      <c r="H40" t="s">
        <v>21</v>
      </c>
      <c r="I40" t="s">
        <v>22</v>
      </c>
      <c r="J40" t="s">
        <v>148</v>
      </c>
      <c r="K40" t="s">
        <v>23</v>
      </c>
      <c r="L40">
        <v>938</v>
      </c>
      <c r="M40" s="4">
        <v>5.3784099999999997</v>
      </c>
      <c r="N40" s="4">
        <v>241.62037437889805</v>
      </c>
      <c r="O40" s="4">
        <v>0.2336187380888643</v>
      </c>
      <c r="P40" s="1" t="str">
        <f>HYPERLINK(".\sm_car_260613_0458\sm_car_260613_0458_039_Ca117TrN_MaWOT_DrSt_ode23t.png","figure")</f>
        <v>figure</v>
      </c>
      <c r="Q40" t="s">
        <v>15</v>
      </c>
    </row>
    <row r="41" spans="1:17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188</v>
      </c>
      <c r="H41" t="s">
        <v>21</v>
      </c>
      <c r="I41" t="s">
        <v>24</v>
      </c>
      <c r="J41" t="s">
        <v>148</v>
      </c>
      <c r="K41" t="s">
        <v>23</v>
      </c>
      <c r="L41">
        <v>1052</v>
      </c>
      <c r="M41" s="4">
        <v>5.7060541000000002</v>
      </c>
      <c r="N41" s="4">
        <v>74.343952719588856</v>
      </c>
      <c r="O41" s="4">
        <v>-0.33600016304038804</v>
      </c>
      <c r="P41" s="1" t="str">
        <f>HYPERLINK(".\sm_car_260613_0458\sm_car_260613_0458_040_Ca117TrN_MaLSS_DrSt_ode23t.png","figure")</f>
        <v>figure</v>
      </c>
      <c r="Q41" t="s">
        <v>15</v>
      </c>
    </row>
    <row r="42" spans="1:17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188</v>
      </c>
      <c r="H42" t="s">
        <v>21</v>
      </c>
      <c r="I42" t="s">
        <v>22</v>
      </c>
      <c r="J42" t="s">
        <v>148</v>
      </c>
      <c r="K42" t="s">
        <v>23</v>
      </c>
      <c r="L42">
        <v>929</v>
      </c>
      <c r="M42" s="4">
        <v>6.0263061999999996</v>
      </c>
      <c r="N42" s="4">
        <v>241.37664029866468</v>
      </c>
      <c r="O42" s="4">
        <v>0.23269239573681333</v>
      </c>
      <c r="P42" s="1" t="str">
        <f>HYPERLINK(".\sm_car_260613_0458\sm_car_260613_0458_041_Ca118TrN_MaWOT_DrSt_ode23t.png","figure")</f>
        <v>figure</v>
      </c>
      <c r="Q42" t="s">
        <v>15</v>
      </c>
    </row>
    <row r="43" spans="1:17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188</v>
      </c>
      <c r="H43" t="s">
        <v>21</v>
      </c>
      <c r="I43" t="s">
        <v>24</v>
      </c>
      <c r="J43" t="s">
        <v>148</v>
      </c>
      <c r="K43" t="s">
        <v>23</v>
      </c>
      <c r="L43">
        <v>1048</v>
      </c>
      <c r="M43" s="4">
        <v>6.7201415999999998</v>
      </c>
      <c r="N43" s="4">
        <v>74.337334317462975</v>
      </c>
      <c r="O43" s="4">
        <v>-0.33745011636549177</v>
      </c>
      <c r="P43" s="1" t="str">
        <f>HYPERLINK(".\sm_car_260613_0458\sm_car_260613_0458_042_Ca118TrN_MaLSS_DrSt_ode23t.png","figure")</f>
        <v>figure</v>
      </c>
      <c r="Q43" t="s">
        <v>15</v>
      </c>
    </row>
    <row r="44" spans="1:17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188</v>
      </c>
      <c r="H44" t="s">
        <v>21</v>
      </c>
      <c r="I44" t="s">
        <v>22</v>
      </c>
      <c r="J44" t="s">
        <v>148</v>
      </c>
      <c r="K44" t="s">
        <v>23</v>
      </c>
      <c r="L44">
        <v>1030</v>
      </c>
      <c r="M44" s="4">
        <v>5.9930304999999997</v>
      </c>
      <c r="N44" s="4">
        <v>240.99986560093319</v>
      </c>
      <c r="O44" s="4">
        <v>0.23170039853806862</v>
      </c>
      <c r="P44" s="1" t="str">
        <f>HYPERLINK(".\sm_car_260613_0458\sm_car_260613_0458_043_Ca119TrN_MaWOT_DrSt_ode23t.png","figure")</f>
        <v>figure</v>
      </c>
      <c r="Q44" t="s">
        <v>15</v>
      </c>
    </row>
    <row r="45" spans="1:17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188</v>
      </c>
      <c r="H45" t="s">
        <v>21</v>
      </c>
      <c r="I45" t="s">
        <v>24</v>
      </c>
      <c r="J45" t="s">
        <v>148</v>
      </c>
      <c r="K45" t="s">
        <v>23</v>
      </c>
      <c r="L45">
        <v>1136</v>
      </c>
      <c r="M45" s="4">
        <v>6.3803929999999998</v>
      </c>
      <c r="N45" s="4">
        <v>74.193070695012992</v>
      </c>
      <c r="O45" s="4">
        <v>-0.33354015569920908</v>
      </c>
      <c r="P45" s="1" t="str">
        <f>HYPERLINK(".\sm_car_260613_0458\sm_car_260613_0458_044_Ca119TrN_MaLSS_DrSt_ode23t.png","figure")</f>
        <v>figure</v>
      </c>
      <c r="Q45" t="s">
        <v>15</v>
      </c>
    </row>
    <row r="46" spans="1:17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148</v>
      </c>
      <c r="K46" t="s">
        <v>23</v>
      </c>
      <c r="L46">
        <v>318</v>
      </c>
      <c r="M46" s="4">
        <v>5.9840147999999997</v>
      </c>
      <c r="N46" s="4">
        <v>98.919788039808125</v>
      </c>
      <c r="O46" s="4">
        <v>-1.8569737828018705E-2</v>
      </c>
      <c r="P46" s="1" t="str">
        <f>HYPERLINK(".\sm_car_260613_0458\sm_car_260613_0458_045_Ca128TrN_MaWOT_DrSt_ode23t.png","figure")</f>
        <v>figure</v>
      </c>
      <c r="Q46" t="s">
        <v>15</v>
      </c>
    </row>
    <row r="47" spans="1:17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148</v>
      </c>
      <c r="K47" t="s">
        <v>23</v>
      </c>
      <c r="L47">
        <v>432</v>
      </c>
      <c r="M47" s="4">
        <v>7.3018637999999996</v>
      </c>
      <c r="N47" s="4">
        <v>36.705299228999252</v>
      </c>
      <c r="O47" s="4">
        <v>-0.12787326880599764</v>
      </c>
      <c r="P47" s="1" t="str">
        <f>HYPERLINK(".\sm_car_260613_0458\sm_car_260613_0458_046_Ca128TrN_MaLSS_DrSt_ode23t.png","figure")</f>
        <v>figure</v>
      </c>
      <c r="Q47" t="s">
        <v>15</v>
      </c>
    </row>
    <row r="48" spans="1:17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148</v>
      </c>
      <c r="K48" t="s">
        <v>23</v>
      </c>
      <c r="L48">
        <v>340</v>
      </c>
      <c r="M48" s="4">
        <v>6.3863542000000004</v>
      </c>
      <c r="N48" s="4">
        <v>228.49138734111415</v>
      </c>
      <c r="O48" s="4">
        <v>5.5899735783450963E-2</v>
      </c>
      <c r="P48" s="1" t="str">
        <f>HYPERLINK(".\sm_car_260613_0458\sm_car_260613_0458_047_Ca129TrN_MaWOT_DrSt_ode23t.png","figure")</f>
        <v>figure</v>
      </c>
      <c r="Q48" t="s">
        <v>15</v>
      </c>
    </row>
    <row r="49" spans="1:17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148</v>
      </c>
      <c r="K49" t="s">
        <v>23</v>
      </c>
      <c r="L49">
        <v>464</v>
      </c>
      <c r="M49" s="4">
        <v>8.5299717000000008</v>
      </c>
      <c r="N49" s="4">
        <v>70.410408908651092</v>
      </c>
      <c r="O49" s="4">
        <v>-0.51729311881616591</v>
      </c>
      <c r="P49" s="1" t="str">
        <f>HYPERLINK(".\sm_car_260613_0458\sm_car_260613_0458_048_Ca129TrN_MaLSS_DrSt_ode23t.png","figure")</f>
        <v>figure</v>
      </c>
      <c r="Q49" t="s">
        <v>15</v>
      </c>
    </row>
    <row r="50" spans="1:17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148</v>
      </c>
      <c r="K50" t="s">
        <v>23</v>
      </c>
      <c r="L50">
        <v>784</v>
      </c>
      <c r="M50" s="4">
        <v>22.7961068</v>
      </c>
      <c r="N50" s="4">
        <v>215.59735345246881</v>
      </c>
      <c r="O50" s="4">
        <v>-1.5811195402930518</v>
      </c>
      <c r="P50" s="1" t="str">
        <f>HYPERLINK(".\sm_car_260613_0458\sm_car_260613_0458_049_Ca130TrN_MaWOT_DrSt_ode23t.png","figure")</f>
        <v>figure</v>
      </c>
      <c r="Q50" t="s">
        <v>15</v>
      </c>
    </row>
    <row r="51" spans="1:17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148</v>
      </c>
      <c r="K51" t="s">
        <v>23</v>
      </c>
      <c r="L51">
        <v>783</v>
      </c>
      <c r="M51" s="4">
        <v>20.953658999999998</v>
      </c>
      <c r="N51" s="4">
        <v>68.38531206372528</v>
      </c>
      <c r="O51" s="4">
        <v>-0.54270858292140389</v>
      </c>
      <c r="P51" s="1" t="str">
        <f>HYPERLINK(".\sm_car_260613_0458\sm_car_260613_0458_050_Ca130TrN_MaLSS_DrSt_ode23t.png","figure")</f>
        <v>figure</v>
      </c>
      <c r="Q51" t="s">
        <v>15</v>
      </c>
    </row>
    <row r="52" spans="1:17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148</v>
      </c>
      <c r="K52" t="s">
        <v>23</v>
      </c>
      <c r="L52">
        <v>368</v>
      </c>
      <c r="M52" s="4">
        <v>4.5536837999999999</v>
      </c>
      <c r="N52" s="4">
        <v>229.16146815941212</v>
      </c>
      <c r="O52" s="4">
        <v>-4.5387536130300526E-2</v>
      </c>
      <c r="P52" s="1" t="str">
        <f>HYPERLINK(".\sm_car_260613_0458\sm_car_260613_0458_051_Ca131TrN_MaWOT_DrSt_ode23t.png","figure")</f>
        <v>figure</v>
      </c>
      <c r="Q52" t="s">
        <v>15</v>
      </c>
    </row>
    <row r="53" spans="1:17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148</v>
      </c>
      <c r="K53" t="s">
        <v>23</v>
      </c>
      <c r="L53">
        <v>498</v>
      </c>
      <c r="M53" s="4">
        <v>5.8361267999999997</v>
      </c>
      <c r="N53" s="4">
        <v>70.601708358857096</v>
      </c>
      <c r="O53" s="4">
        <v>-0.53385274095705504</v>
      </c>
      <c r="P53" s="1" t="str">
        <f>HYPERLINK(".\sm_car_260613_0458\sm_car_260613_0458_052_Ca131TrN_MaLSS_DrSt_ode23t.png","figure")</f>
        <v>figure</v>
      </c>
      <c r="Q53" t="s">
        <v>15</v>
      </c>
    </row>
    <row r="54" spans="1:17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148</v>
      </c>
      <c r="K54" t="s">
        <v>23</v>
      </c>
      <c r="L54">
        <v>337</v>
      </c>
      <c r="M54" s="4">
        <v>4.4913404999999997</v>
      </c>
      <c r="N54" s="4">
        <v>229.09686635793605</v>
      </c>
      <c r="O54" s="4">
        <v>-1.4702397163786005E-2</v>
      </c>
      <c r="P54" s="1" t="str">
        <f>HYPERLINK(".\sm_car_260613_0458\sm_car_260613_0458_053_Ca132TrN_MaWOT_DrSt_ode23t.png","figure")</f>
        <v>figure</v>
      </c>
      <c r="Q54" t="s">
        <v>15</v>
      </c>
    </row>
    <row r="55" spans="1:17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148</v>
      </c>
      <c r="K55" t="s">
        <v>23</v>
      </c>
      <c r="L55">
        <v>483</v>
      </c>
      <c r="M55" s="4">
        <v>5.6980095999999998</v>
      </c>
      <c r="N55" s="4">
        <v>70.62096642419273</v>
      </c>
      <c r="O55" s="4">
        <v>-0.52948445615777728</v>
      </c>
      <c r="P55" s="1" t="str">
        <f>HYPERLINK(".\sm_car_260613_0458\sm_car_260613_0458_054_Ca132TrN_MaLSS_DrSt_ode23t.png","figure")</f>
        <v>figure</v>
      </c>
      <c r="Q55" t="s">
        <v>15</v>
      </c>
    </row>
    <row r="56" spans="1:17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148</v>
      </c>
      <c r="K56" t="s">
        <v>23</v>
      </c>
      <c r="L56">
        <v>366</v>
      </c>
      <c r="M56" s="4">
        <v>4.5802437999999999</v>
      </c>
      <c r="N56" s="4">
        <v>229.2063453690663</v>
      </c>
      <c r="O56" s="4">
        <v>-1.7042451584273539E-2</v>
      </c>
      <c r="P56" s="1" t="str">
        <f>HYPERLINK(".\sm_car_260613_0458\sm_car_260613_0458_055_Ca133TrN_MaWOT_DrSt_ode23t.png","figure")</f>
        <v>figure</v>
      </c>
      <c r="Q56" t="s">
        <v>15</v>
      </c>
    </row>
    <row r="57" spans="1:17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148</v>
      </c>
      <c r="K57" t="s">
        <v>23</v>
      </c>
      <c r="L57">
        <v>491</v>
      </c>
      <c r="M57" s="4">
        <v>5.4811794000000003</v>
      </c>
      <c r="N57" s="4">
        <v>70.608870180681677</v>
      </c>
      <c r="O57" s="4">
        <v>-0.52123629521091008</v>
      </c>
      <c r="P57" s="1" t="str">
        <f>HYPERLINK(".\sm_car_260613_0458\sm_car_260613_0458_056_Ca133TrN_MaLSS_DrSt_ode23t.png","figure")</f>
        <v>figure</v>
      </c>
      <c r="Q57" t="s">
        <v>15</v>
      </c>
    </row>
    <row r="58" spans="1:17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148</v>
      </c>
      <c r="K58" t="s">
        <v>23</v>
      </c>
      <c r="L58">
        <v>342</v>
      </c>
      <c r="M58" s="4">
        <v>4.7271757000000001</v>
      </c>
      <c r="N58" s="4">
        <v>229.00606461000052</v>
      </c>
      <c r="O58" s="4">
        <v>-1.5789566639685615E-2</v>
      </c>
      <c r="P58" s="1" t="str">
        <f>HYPERLINK(".\sm_car_260613_0458\sm_car_260613_0458_057_Ca134TrN_MaWOT_DrSt_ode23t.png","figure")</f>
        <v>figure</v>
      </c>
      <c r="Q58" t="s">
        <v>15</v>
      </c>
    </row>
    <row r="59" spans="1:17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148</v>
      </c>
      <c r="K59" t="s">
        <v>23</v>
      </c>
      <c r="L59">
        <v>500</v>
      </c>
      <c r="M59" s="4">
        <v>5.7754713000000004</v>
      </c>
      <c r="N59" s="4">
        <v>70.608983958000593</v>
      </c>
      <c r="O59" s="4">
        <v>-0.52805692333142507</v>
      </c>
      <c r="P59" s="1" t="str">
        <f>HYPERLINK(".\sm_car_260613_0458\sm_car_260613_0458_058_Ca134TrN_MaLSS_DrSt_ode23t.png","figure")</f>
        <v>figure</v>
      </c>
      <c r="Q59" t="s">
        <v>15</v>
      </c>
    </row>
    <row r="60" spans="1:17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148</v>
      </c>
      <c r="K60" t="s">
        <v>23</v>
      </c>
      <c r="L60">
        <v>355</v>
      </c>
      <c r="M60" s="4">
        <v>5.0212586999999997</v>
      </c>
      <c r="N60" s="4">
        <v>229.08274146692679</v>
      </c>
      <c r="O60" s="4">
        <v>-1.5908070675105655E-2</v>
      </c>
      <c r="P60" s="1" t="str">
        <f>HYPERLINK(".\sm_car_260613_0458\sm_car_260613_0458_059_Ca135TrN_MaWOT_DrSt_ode23t.png","figure")</f>
        <v>figure</v>
      </c>
      <c r="Q60" t="s">
        <v>15</v>
      </c>
    </row>
    <row r="61" spans="1:17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148</v>
      </c>
      <c r="K61" t="s">
        <v>23</v>
      </c>
      <c r="L61">
        <v>487</v>
      </c>
      <c r="M61" s="4">
        <v>5.5143392000000002</v>
      </c>
      <c r="N61" s="4">
        <v>70.602494414080539</v>
      </c>
      <c r="O61" s="4">
        <v>-0.50992316588312225</v>
      </c>
      <c r="P61" s="1" t="str">
        <f>HYPERLINK(".\sm_car_260613_0458\sm_car_260613_0458_060_Ca135TrN_MaLSS_DrSt_ode23t.png","figure")</f>
        <v>figure</v>
      </c>
      <c r="Q61" t="s">
        <v>15</v>
      </c>
    </row>
    <row r="62" spans="1:17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148</v>
      </c>
      <c r="K62" t="s">
        <v>23</v>
      </c>
      <c r="L62">
        <v>391</v>
      </c>
      <c r="M62" s="4">
        <v>5.6210820000000004</v>
      </c>
      <c r="N62" s="4">
        <v>229.17963939580071</v>
      </c>
      <c r="O62" s="4">
        <v>4.9066083340325008E-2</v>
      </c>
      <c r="P62" s="1" t="str">
        <f>HYPERLINK(".\sm_car_260613_0458\sm_car_260613_0458_061_Ca136TrN_MaWOT_DrSt_ode23t.png","figure")</f>
        <v>figure</v>
      </c>
      <c r="Q62" t="s">
        <v>15</v>
      </c>
    </row>
    <row r="63" spans="1:17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148</v>
      </c>
      <c r="K63" t="s">
        <v>23</v>
      </c>
      <c r="L63">
        <v>503</v>
      </c>
      <c r="M63" s="4">
        <v>7.2076637000000003</v>
      </c>
      <c r="N63" s="4">
        <v>70.609264913113648</v>
      </c>
      <c r="O63" s="4">
        <v>-0.52394393501213488</v>
      </c>
      <c r="P63" s="1" t="str">
        <f>HYPERLINK(".\sm_car_260613_0458\sm_car_260613_0458_062_Ca136TrN_MaLSS_DrSt_ode23t.png","figure")</f>
        <v>figure</v>
      </c>
      <c r="Q63" t="s">
        <v>15</v>
      </c>
    </row>
    <row r="64" spans="1:17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148</v>
      </c>
      <c r="K64" t="s">
        <v>23</v>
      </c>
      <c r="L64">
        <v>330</v>
      </c>
      <c r="M64" s="4">
        <v>3.8966859999999999</v>
      </c>
      <c r="N64" s="4">
        <v>229.94797420659091</v>
      </c>
      <c r="O64" s="4">
        <v>0.13777795377562196</v>
      </c>
      <c r="P64" s="1" t="str">
        <f>HYPERLINK(".\sm_car_260613_0458\sm_car_260613_0458_063_Ca137TrN_MaWOT_DrSt_ode23t.png","figure")</f>
        <v>figure</v>
      </c>
      <c r="Q64" t="s">
        <v>15</v>
      </c>
    </row>
    <row r="65" spans="1:17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148</v>
      </c>
      <c r="K65" t="s">
        <v>23</v>
      </c>
      <c r="L65">
        <v>474</v>
      </c>
      <c r="M65" s="4">
        <v>4.7974576999999998</v>
      </c>
      <c r="N65" s="4">
        <v>70.870244846970778</v>
      </c>
      <c r="O65" s="4">
        <v>-0.5047364521263743</v>
      </c>
      <c r="P65" s="1" t="str">
        <f>HYPERLINK(".\sm_car_260613_0458\sm_car_260613_0458_064_Ca137TrN_MaLSS_DrSt_ode23t.png","figure")</f>
        <v>figure</v>
      </c>
      <c r="Q65" t="s">
        <v>15</v>
      </c>
    </row>
    <row r="66" spans="1:17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148</v>
      </c>
      <c r="K66" t="s">
        <v>23</v>
      </c>
      <c r="L66">
        <v>332</v>
      </c>
      <c r="M66" s="4">
        <v>5.9351628999999999</v>
      </c>
      <c r="N66" s="4">
        <v>230.05876567133805</v>
      </c>
      <c r="O66" s="4">
        <v>0.14738864367911098</v>
      </c>
      <c r="P66" s="1" t="str">
        <f>HYPERLINK(".\sm_car_260613_0458\sm_car_260613_0458_065_Ca138TrN_MaWOT_DrSt_ode23t.png","figure")</f>
        <v>figure</v>
      </c>
      <c r="Q66" t="s">
        <v>15</v>
      </c>
    </row>
    <row r="67" spans="1:17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148</v>
      </c>
      <c r="K67" t="s">
        <v>23</v>
      </c>
      <c r="L67">
        <v>480</v>
      </c>
      <c r="M67" s="4">
        <v>6.7650556999999996</v>
      </c>
      <c r="N67" s="4">
        <v>70.767388403341698</v>
      </c>
      <c r="O67" s="4">
        <v>-0.81576892462230555</v>
      </c>
      <c r="P67" s="1" t="str">
        <f>HYPERLINK(".\sm_car_260613_0458\sm_car_260613_0458_066_Ca138TrN_MaLSS_DrSt_ode23t.png","figure")</f>
        <v>figure</v>
      </c>
      <c r="Q67" t="s">
        <v>15</v>
      </c>
    </row>
    <row r="68" spans="1:17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148</v>
      </c>
      <c r="K68" t="s">
        <v>23</v>
      </c>
      <c r="L68">
        <v>648</v>
      </c>
      <c r="M68" s="4">
        <v>26.294373700000001</v>
      </c>
      <c r="N68" s="4">
        <v>402.21653160390974</v>
      </c>
      <c r="O68" s="4">
        <v>1.8377187216160997</v>
      </c>
      <c r="P68" s="1" t="str">
        <f>HYPERLINK(".\sm_car_260613_0458\sm_car_260613_0458_067_Ca139TrN_MaWOT_DrSt_ode23t.png","figure")</f>
        <v>figure</v>
      </c>
      <c r="Q68" t="s">
        <v>15</v>
      </c>
    </row>
    <row r="69" spans="1:17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148</v>
      </c>
      <c r="K69" t="s">
        <v>23</v>
      </c>
      <c r="L69">
        <v>658</v>
      </c>
      <c r="M69" s="4">
        <v>19.049859900000001</v>
      </c>
      <c r="N69" s="4">
        <v>153.02596754046718</v>
      </c>
      <c r="O69" s="4">
        <v>-0.56806201722586691</v>
      </c>
      <c r="P69" s="1" t="str">
        <f>HYPERLINK(".\sm_car_260613_0458\sm_car_260613_0458_068_Ca139TrN_MaLSS_DrSt_ode23t.png","figure")</f>
        <v>figure</v>
      </c>
      <c r="Q69" t="s">
        <v>15</v>
      </c>
    </row>
    <row r="70" spans="1:17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148</v>
      </c>
      <c r="K70" t="s">
        <v>23</v>
      </c>
      <c r="L70">
        <v>1893</v>
      </c>
      <c r="M70" s="4">
        <v>33.472870700000001</v>
      </c>
      <c r="N70" s="4">
        <v>402.2808484513186</v>
      </c>
      <c r="O70" s="4">
        <v>1.7015828578754275</v>
      </c>
      <c r="P70" s="1" t="str">
        <f>HYPERLINK(".\sm_car_260613_0458\sm_car_260613_0458_069_Ca141TrN_MaWOT_DrSt_ode23t.png","figure")</f>
        <v>figure</v>
      </c>
      <c r="Q70" t="s">
        <v>15</v>
      </c>
    </row>
    <row r="71" spans="1:17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148</v>
      </c>
      <c r="K71" t="s">
        <v>23</v>
      </c>
      <c r="L71">
        <v>1840</v>
      </c>
      <c r="M71" s="4">
        <v>24.115154</v>
      </c>
      <c r="N71" s="4">
        <v>153.10318885373826</v>
      </c>
      <c r="O71" s="4">
        <v>-0.57022301653120655</v>
      </c>
      <c r="P71" s="1" t="str">
        <f>HYPERLINK(".\sm_car_260613_0458\sm_car_260613_0458_070_Ca141TrN_MaLSS_DrSt_ode23t.png","figure")</f>
        <v>figure</v>
      </c>
      <c r="Q71" t="s">
        <v>15</v>
      </c>
    </row>
    <row r="72" spans="1:17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148</v>
      </c>
      <c r="K72" t="s">
        <v>23</v>
      </c>
      <c r="L72">
        <v>339</v>
      </c>
      <c r="M72" s="4">
        <v>15.2570415</v>
      </c>
      <c r="N72" s="4">
        <v>62.429228728995554</v>
      </c>
      <c r="O72" s="4">
        <v>2.0360010244354493E-2</v>
      </c>
      <c r="P72" s="1" t="str">
        <f>HYPERLINK(".\sm_car_260613_0458\sm_car_260613_0458_071_Ca143TrN_MaWOT_DrSt_ode23t.png","figure")</f>
        <v>figure</v>
      </c>
      <c r="Q72" t="s">
        <v>15</v>
      </c>
    </row>
    <row r="73" spans="1:17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148</v>
      </c>
      <c r="K73" t="s">
        <v>23</v>
      </c>
      <c r="L73">
        <v>455</v>
      </c>
      <c r="M73" s="4">
        <v>15.825968599999999</v>
      </c>
      <c r="N73" s="4">
        <v>24.932453038047335</v>
      </c>
      <c r="O73" s="4">
        <v>-5.2412360246060913E-2</v>
      </c>
      <c r="P73" s="1" t="str">
        <f>HYPERLINK(".\sm_car_260613_0458\sm_car_260613_0458_072_Ca143TrN_MaLSS_DrSt_ode23t.png","figure")</f>
        <v>figure</v>
      </c>
      <c r="Q73" t="s">
        <v>15</v>
      </c>
    </row>
    <row r="74" spans="1:17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148</v>
      </c>
      <c r="K74" t="s">
        <v>23</v>
      </c>
      <c r="L74">
        <v>333</v>
      </c>
      <c r="M74" s="4">
        <v>9.8136474000000007</v>
      </c>
      <c r="N74" s="4">
        <v>76.994184260676107</v>
      </c>
      <c r="O74" s="4">
        <v>0.24481820331855314</v>
      </c>
      <c r="P74" s="1" t="str">
        <f>HYPERLINK(".\sm_car_260613_0458\sm_car_260613_0458_073_Ca144TrN_MaWOT_DrSt_ode23t.png","figure")</f>
        <v>figure</v>
      </c>
      <c r="Q74" t="s">
        <v>15</v>
      </c>
    </row>
    <row r="75" spans="1:17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148</v>
      </c>
      <c r="K75" t="s">
        <v>23</v>
      </c>
      <c r="L75">
        <v>466</v>
      </c>
      <c r="M75" s="4">
        <v>11.8393178</v>
      </c>
      <c r="N75" s="4">
        <v>35.47184757229526</v>
      </c>
      <c r="O75" s="4">
        <v>-3.1656986960444493E-2</v>
      </c>
      <c r="P75" s="1" t="str">
        <f>HYPERLINK(".\sm_car_260613_0458\sm_car_260613_0458_074_Ca144TrN_MaLSS_DrSt_ode23t.png","figure")</f>
        <v>figure</v>
      </c>
      <c r="Q75" t="s">
        <v>15</v>
      </c>
    </row>
    <row r="76" spans="1:17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148</v>
      </c>
      <c r="K76" t="s">
        <v>23</v>
      </c>
      <c r="L76">
        <v>2413</v>
      </c>
      <c r="M76" s="4">
        <v>26.523005300000001</v>
      </c>
      <c r="N76" s="4">
        <v>396.65916909498793</v>
      </c>
      <c r="O76" s="4">
        <v>-14.181918288066388</v>
      </c>
      <c r="P76" s="1" t="str">
        <f>HYPERLINK(".\sm_car_260613_0458\sm_car_260613_0458_075_Ca147TrN_MaWOT_DrSt_ode23t.png","figure")</f>
        <v>figure</v>
      </c>
      <c r="Q76" t="s">
        <v>15</v>
      </c>
    </row>
    <row r="77" spans="1:17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148</v>
      </c>
      <c r="K77" t="s">
        <v>23</v>
      </c>
      <c r="L77">
        <v>1294</v>
      </c>
      <c r="M77" s="4">
        <v>18.618698299999998</v>
      </c>
      <c r="N77" s="4">
        <v>150.42667435708194</v>
      </c>
      <c r="O77" s="4">
        <v>-2.1884972565529126</v>
      </c>
      <c r="P77" s="1" t="str">
        <f>HYPERLINK(".\sm_car_260613_0458\sm_car_260613_0458_076_Ca147TrN_MaLSS_DrSt_ode23t.png","figure")</f>
        <v>figure</v>
      </c>
      <c r="Q77" t="s">
        <v>15</v>
      </c>
    </row>
    <row r="78" spans="1:17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148</v>
      </c>
      <c r="K78" t="s">
        <v>23</v>
      </c>
      <c r="L78">
        <v>268</v>
      </c>
      <c r="M78" s="4">
        <v>6.3144793000000004</v>
      </c>
      <c r="N78" s="4">
        <v>135.64635108456901</v>
      </c>
      <c r="O78" s="4">
        <v>1.734073910455962E-3</v>
      </c>
      <c r="P78" s="1" t="str">
        <f>HYPERLINK(".\sm_car_260613_0458\sm_car_260613_0458_077_Ca215TrN_MaWOT_DrSt_ode23t.png","figure")</f>
        <v>figure</v>
      </c>
      <c r="Q78" t="s">
        <v>15</v>
      </c>
    </row>
    <row r="79" spans="1:17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148</v>
      </c>
      <c r="K79" t="s">
        <v>23</v>
      </c>
      <c r="L79">
        <v>424</v>
      </c>
      <c r="M79" s="4">
        <v>8.4764894999999996</v>
      </c>
      <c r="N79" s="4">
        <v>50.384969697075952</v>
      </c>
      <c r="O79" s="4">
        <v>-0.1145654662065273</v>
      </c>
      <c r="P79" s="1" t="str">
        <f>HYPERLINK(".\sm_car_260613_0458\sm_car_260613_0458_078_Ca215TrN_MaLSS_DrSt_ode23t.png","figure")</f>
        <v>figure</v>
      </c>
      <c r="Q79" t="s">
        <v>15</v>
      </c>
    </row>
    <row r="80" spans="1:17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188</v>
      </c>
      <c r="H80" t="s">
        <v>21</v>
      </c>
      <c r="I80" t="s">
        <v>22</v>
      </c>
      <c r="J80" t="s">
        <v>148</v>
      </c>
      <c r="K80" t="s">
        <v>23</v>
      </c>
      <c r="L80">
        <v>351</v>
      </c>
      <c r="M80" s="4">
        <v>4.5791027</v>
      </c>
      <c r="N80" s="4">
        <v>229.74498702627719</v>
      </c>
      <c r="O80" s="4">
        <v>0.17073094729661317</v>
      </c>
      <c r="P80" s="1" t="str">
        <f>HYPERLINK(".\sm_car_260613_0458\sm_car_260613_0458_079_Ca218TrN_MaWOT_DrSt_ode23t.png","figure")</f>
        <v>figure</v>
      </c>
      <c r="Q80" t="s">
        <v>15</v>
      </c>
    </row>
    <row r="81" spans="1:17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188</v>
      </c>
      <c r="H81" t="s">
        <v>21</v>
      </c>
      <c r="I81" t="s">
        <v>24</v>
      </c>
      <c r="J81" t="s">
        <v>148</v>
      </c>
      <c r="K81" t="s">
        <v>23</v>
      </c>
      <c r="L81">
        <v>498</v>
      </c>
      <c r="M81" s="4">
        <v>5.9051491</v>
      </c>
      <c r="N81" s="4">
        <v>70.783538509552258</v>
      </c>
      <c r="O81" s="4">
        <v>-0.53140827757455522</v>
      </c>
      <c r="P81" s="1" t="str">
        <f>HYPERLINK(".\sm_car_260613_0458\sm_car_260613_0458_080_Ca218TrN_MaLSS_DrSt_ode23t.png","figure")</f>
        <v>figure</v>
      </c>
      <c r="Q81" t="s">
        <v>15</v>
      </c>
    </row>
    <row r="82" spans="1:17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188</v>
      </c>
      <c r="H82" t="s">
        <v>21</v>
      </c>
      <c r="I82" t="s">
        <v>22</v>
      </c>
      <c r="J82" t="s">
        <v>148</v>
      </c>
      <c r="K82" t="s">
        <v>23</v>
      </c>
      <c r="L82">
        <v>390</v>
      </c>
      <c r="M82" s="4">
        <v>7.0793854999999999</v>
      </c>
      <c r="N82" s="4">
        <v>228.883369845462</v>
      </c>
      <c r="O82" s="4">
        <v>0.17055872515439321</v>
      </c>
      <c r="P82" s="1" t="str">
        <f>HYPERLINK(".\sm_car_260613_0458\sm_car_260613_0458_081_Ca219TrN_MaWOT_DrSt_ode23t.png","figure")</f>
        <v>figure</v>
      </c>
      <c r="Q82" t="s">
        <v>15</v>
      </c>
    </row>
    <row r="83" spans="1:17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188</v>
      </c>
      <c r="H83" t="s">
        <v>21</v>
      </c>
      <c r="I83" t="s">
        <v>24</v>
      </c>
      <c r="J83" t="s">
        <v>148</v>
      </c>
      <c r="K83" t="s">
        <v>23</v>
      </c>
      <c r="L83">
        <v>523</v>
      </c>
      <c r="M83" s="4">
        <v>8.8065020999999994</v>
      </c>
      <c r="N83" s="4">
        <v>70.605155295623987</v>
      </c>
      <c r="O83" s="4">
        <v>-0.55662754192891428</v>
      </c>
      <c r="P83" s="1" t="str">
        <f>HYPERLINK(".\sm_car_260613_0458\sm_car_260613_0458_082_Ca219TrN_MaLSS_DrSt_ode23t.png","figure")</f>
        <v>figure</v>
      </c>
      <c r="Q83" t="s">
        <v>15</v>
      </c>
    </row>
    <row r="84" spans="1:17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188</v>
      </c>
      <c r="H84" t="s">
        <v>21</v>
      </c>
      <c r="I84" t="s">
        <v>22</v>
      </c>
      <c r="J84" t="s">
        <v>148</v>
      </c>
      <c r="K84" t="s">
        <v>23</v>
      </c>
      <c r="L84">
        <v>912</v>
      </c>
      <c r="M84" s="4">
        <v>39.538738600000002</v>
      </c>
      <c r="N84" s="4">
        <v>223.43379885657546</v>
      </c>
      <c r="O84" s="4">
        <v>-1.1974108895548197</v>
      </c>
      <c r="P84" s="1" t="str">
        <f>HYPERLINK(".\sm_car_260613_0458\sm_car_260613_0458_083_Ca220TrN_MaWOT_DrSt_ode23t.png","figure")</f>
        <v>figure</v>
      </c>
      <c r="Q84" t="s">
        <v>15</v>
      </c>
    </row>
    <row r="85" spans="1:17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188</v>
      </c>
      <c r="H85" t="s">
        <v>21</v>
      </c>
      <c r="I85" t="s">
        <v>24</v>
      </c>
      <c r="J85" t="s">
        <v>148</v>
      </c>
      <c r="K85" t="s">
        <v>23</v>
      </c>
      <c r="L85">
        <v>1078</v>
      </c>
      <c r="M85" s="4">
        <v>48.873425900000001</v>
      </c>
      <c r="N85" s="4">
        <v>69.32783050671263</v>
      </c>
      <c r="O85" s="4">
        <v>-1.497739295946485</v>
      </c>
      <c r="P85" s="1" t="str">
        <f>HYPERLINK(".\sm_car_260613_0458\sm_car_260613_0458_084_Ca220TrN_MaLSS_DrSt_ode23t.png","figure")</f>
        <v>figure</v>
      </c>
      <c r="Q85" t="s">
        <v>15</v>
      </c>
    </row>
    <row r="86" spans="1:17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148</v>
      </c>
      <c r="K86" t="s">
        <v>23</v>
      </c>
      <c r="L86">
        <v>460</v>
      </c>
      <c r="M86" s="4">
        <v>7.5662688999999999</v>
      </c>
      <c r="N86" s="4">
        <v>293.79411245454202</v>
      </c>
      <c r="O86" s="4">
        <v>-5.1846489817811072E-5</v>
      </c>
      <c r="P86" s="1" t="str">
        <f>HYPERLINK(".\sm_car_260613_0458\sm_car_260613_0458_085_Ca223TrN_MaWOT_DrSt_ode23t.png","figure")</f>
        <v>figure</v>
      </c>
      <c r="Q86" t="s">
        <v>15</v>
      </c>
    </row>
    <row r="87" spans="1:17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148</v>
      </c>
      <c r="K87" t="s">
        <v>23</v>
      </c>
      <c r="L87">
        <v>634</v>
      </c>
      <c r="M87" s="4">
        <v>7.7126548000000001</v>
      </c>
      <c r="N87" s="4">
        <v>103.81976274715086</v>
      </c>
      <c r="O87" s="4">
        <v>-0.14055131333798809</v>
      </c>
      <c r="P87" s="1" t="str">
        <f>HYPERLINK(".\sm_car_260613_0458\sm_car_260613_0458_086_Ca223TrN_MaLSS_DrSt_ode23t.png","figure")</f>
        <v>figure</v>
      </c>
      <c r="Q87" t="s">
        <v>15</v>
      </c>
    </row>
    <row r="88" spans="1:17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148</v>
      </c>
      <c r="K88" t="s">
        <v>23</v>
      </c>
      <c r="L88">
        <v>735</v>
      </c>
      <c r="M88" s="4">
        <v>23.4393444</v>
      </c>
      <c r="N88" s="4">
        <v>405.66767314222051</v>
      </c>
      <c r="O88" s="4">
        <v>-12.173042108292648</v>
      </c>
      <c r="P88" s="1" t="str">
        <f>HYPERLINK(".\sm_car_260613_0458\sm_car_260613_0458_087_Ca227TrN_MaWOT_DrSt_ode23t.png","figure")</f>
        <v>figure</v>
      </c>
      <c r="Q88" t="s">
        <v>15</v>
      </c>
    </row>
    <row r="89" spans="1:17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148</v>
      </c>
      <c r="K89" t="s">
        <v>23</v>
      </c>
      <c r="L89">
        <v>725</v>
      </c>
      <c r="M89" s="4">
        <v>15.130822</v>
      </c>
      <c r="N89" s="4">
        <v>154.52735813549413</v>
      </c>
      <c r="O89" s="4">
        <v>-2.8457631205867453</v>
      </c>
      <c r="P89" s="1" t="str">
        <f>HYPERLINK(".\sm_car_260613_0458\sm_car_260613_0458_088_Ca227TrN_MaLSS_DrSt_ode23t.png","figure")</f>
        <v>figure</v>
      </c>
      <c r="Q89" t="s">
        <v>15</v>
      </c>
    </row>
    <row r="90" spans="1:17" x14ac:dyDescent="0.25">
      <c r="A90">
        <v>89</v>
      </c>
      <c r="B90">
        <v>237</v>
      </c>
      <c r="C90" t="s">
        <v>45</v>
      </c>
      <c r="D90" t="s">
        <v>17</v>
      </c>
      <c r="E90" t="s">
        <v>107</v>
      </c>
      <c r="F90" t="s">
        <v>19</v>
      </c>
      <c r="G90" t="s">
        <v>191</v>
      </c>
      <c r="H90" t="s">
        <v>21</v>
      </c>
      <c r="I90" t="s">
        <v>22</v>
      </c>
      <c r="J90" t="s">
        <v>148</v>
      </c>
      <c r="K90" t="s">
        <v>23</v>
      </c>
      <c r="L90">
        <v>638</v>
      </c>
      <c r="M90" s="4">
        <v>48.5128208</v>
      </c>
      <c r="N90" s="4">
        <v>402.53872471435466</v>
      </c>
      <c r="O90" s="4">
        <v>1.5437255274215937</v>
      </c>
      <c r="P90" s="1" t="str">
        <f>HYPERLINK(".\sm_car_260613_0458\sm_car_260613_0458_089_Ca237TrN_MaWOT_DrSt_ode23t.png","figure")</f>
        <v>figure</v>
      </c>
      <c r="Q90" t="s">
        <v>15</v>
      </c>
    </row>
    <row r="91" spans="1:17" x14ac:dyDescent="0.25">
      <c r="A91">
        <v>90</v>
      </c>
      <c r="B91">
        <v>237</v>
      </c>
      <c r="C91" t="s">
        <v>45</v>
      </c>
      <c r="D91" t="s">
        <v>17</v>
      </c>
      <c r="E91" t="s">
        <v>107</v>
      </c>
      <c r="F91" t="s">
        <v>19</v>
      </c>
      <c r="G91" t="s">
        <v>191</v>
      </c>
      <c r="H91" t="s">
        <v>21</v>
      </c>
      <c r="I91" t="s">
        <v>24</v>
      </c>
      <c r="J91" t="s">
        <v>148</v>
      </c>
      <c r="K91" t="s">
        <v>23</v>
      </c>
      <c r="L91">
        <v>638</v>
      </c>
      <c r="M91" s="4">
        <v>30.731719200000001</v>
      </c>
      <c r="N91" s="4">
        <v>153.53781122891871</v>
      </c>
      <c r="O91" s="4">
        <v>-0.35066709220778491</v>
      </c>
      <c r="P91" s="1" t="str">
        <f>HYPERLINK(".\sm_car_260613_0458\sm_car_260613_0458_090_Ca237TrN_MaLSS_DrSt_ode23t.png","figure")</f>
        <v>figure</v>
      </c>
      <c r="Q91" t="s">
        <v>15</v>
      </c>
    </row>
    <row r="92" spans="1:17" x14ac:dyDescent="0.25">
      <c r="A92">
        <v>91</v>
      </c>
      <c r="B92">
        <v>238</v>
      </c>
      <c r="C92" t="s">
        <v>45</v>
      </c>
      <c r="D92" t="s">
        <v>17</v>
      </c>
      <c r="E92" t="s">
        <v>107</v>
      </c>
      <c r="F92" t="s">
        <v>19</v>
      </c>
      <c r="G92" t="s">
        <v>192</v>
      </c>
      <c r="H92" t="s">
        <v>21</v>
      </c>
      <c r="I92" t="s">
        <v>22</v>
      </c>
      <c r="J92" t="s">
        <v>148</v>
      </c>
      <c r="K92" t="s">
        <v>23</v>
      </c>
      <c r="L92">
        <v>746</v>
      </c>
      <c r="M92" s="4">
        <v>62.425251600000003</v>
      </c>
      <c r="N92" s="4">
        <v>402.51493321519757</v>
      </c>
      <c r="O92" s="4">
        <v>1.6409457243071328</v>
      </c>
      <c r="P92" s="1" t="str">
        <f>HYPERLINK(".\sm_car_260613_0458\sm_car_260613_0458_091_Ca238TrN_MaWOT_DrSt_ode23t.png","figure")</f>
        <v>figure</v>
      </c>
      <c r="Q92" t="s">
        <v>15</v>
      </c>
    </row>
    <row r="93" spans="1:17" x14ac:dyDescent="0.25">
      <c r="A93">
        <v>92</v>
      </c>
      <c r="B93">
        <v>238</v>
      </c>
      <c r="C93" t="s">
        <v>45</v>
      </c>
      <c r="D93" t="s">
        <v>17</v>
      </c>
      <c r="E93" t="s">
        <v>107</v>
      </c>
      <c r="F93" t="s">
        <v>19</v>
      </c>
      <c r="G93" t="s">
        <v>192</v>
      </c>
      <c r="H93" t="s">
        <v>21</v>
      </c>
      <c r="I93" t="s">
        <v>24</v>
      </c>
      <c r="J93" t="s">
        <v>148</v>
      </c>
      <c r="K93" t="s">
        <v>23</v>
      </c>
      <c r="L93">
        <v>691</v>
      </c>
      <c r="M93" s="4">
        <v>38.606619799999997</v>
      </c>
      <c r="N93" s="4">
        <v>153.44359394468142</v>
      </c>
      <c r="O93" s="4">
        <v>-0.34880226698314043</v>
      </c>
      <c r="P93" s="1" t="str">
        <f>HYPERLINK(".\sm_car_260613_0458\sm_car_260613_0458_092_Ca238TrN_MaLSS_DrSt_ode23t.png","figure")</f>
        <v>figure</v>
      </c>
      <c r="Q93" t="s">
        <v>15</v>
      </c>
    </row>
    <row r="94" spans="1:17" x14ac:dyDescent="0.25">
      <c r="A94">
        <v>93</v>
      </c>
      <c r="B94">
        <v>8</v>
      </c>
      <c r="C94" t="s">
        <v>16</v>
      </c>
      <c r="D94" t="s">
        <v>17</v>
      </c>
      <c r="E94" t="s">
        <v>49</v>
      </c>
      <c r="F94" t="s">
        <v>19</v>
      </c>
      <c r="G94" t="s">
        <v>188</v>
      </c>
      <c r="H94" t="s">
        <v>21</v>
      </c>
      <c r="I94" t="s">
        <v>22</v>
      </c>
      <c r="J94" t="s">
        <v>148</v>
      </c>
      <c r="K94" t="s">
        <v>23</v>
      </c>
      <c r="L94">
        <v>382</v>
      </c>
      <c r="M94" s="4">
        <v>11.2649697</v>
      </c>
      <c r="N94" s="4">
        <v>229.86289638092822</v>
      </c>
      <c r="O94" s="4">
        <v>-8.6453136492681461E-3</v>
      </c>
      <c r="P94" s="1" t="str">
        <f>HYPERLINK(".\sm_car_260613_0458\sm_car_260613_0458_093_Ca008TrN_MaWOT_DrSt_ode23t_1.png","figure")</f>
        <v>figure</v>
      </c>
      <c r="Q94" t="s">
        <v>15</v>
      </c>
    </row>
    <row r="95" spans="1:17" x14ac:dyDescent="0.25">
      <c r="A95">
        <v>94</v>
      </c>
      <c r="B95">
        <v>8</v>
      </c>
      <c r="C95" t="s">
        <v>16</v>
      </c>
      <c r="D95" t="s">
        <v>17</v>
      </c>
      <c r="E95" t="s">
        <v>49</v>
      </c>
      <c r="F95" t="s">
        <v>19</v>
      </c>
      <c r="G95" t="s">
        <v>188</v>
      </c>
      <c r="H95" t="s">
        <v>21</v>
      </c>
      <c r="I95" t="s">
        <v>24</v>
      </c>
      <c r="J95" t="s">
        <v>148</v>
      </c>
      <c r="K95" t="s">
        <v>23</v>
      </c>
      <c r="L95">
        <v>542</v>
      </c>
      <c r="M95" s="4">
        <v>13.0153553</v>
      </c>
      <c r="N95" s="4">
        <v>70.879575559165261</v>
      </c>
      <c r="O95" s="4">
        <v>-0.53202774463117308</v>
      </c>
      <c r="P95" s="1" t="str">
        <f>HYPERLINK(".\sm_car_260613_0458\sm_car_260613_0458_094_Ca008TrN_MaLSS_DrSt_ode23t_1.png","figure")</f>
        <v>figure</v>
      </c>
      <c r="Q95" t="s">
        <v>15</v>
      </c>
    </row>
    <row r="96" spans="1:17" x14ac:dyDescent="0.25">
      <c r="A96">
        <v>95</v>
      </c>
      <c r="B96">
        <v>13</v>
      </c>
      <c r="C96" t="s">
        <v>16</v>
      </c>
      <c r="D96" t="s">
        <v>17</v>
      </c>
      <c r="E96" t="s">
        <v>49</v>
      </c>
      <c r="F96" t="s">
        <v>28</v>
      </c>
      <c r="G96" t="s">
        <v>188</v>
      </c>
      <c r="H96" t="s">
        <v>21</v>
      </c>
      <c r="I96" t="s">
        <v>22</v>
      </c>
      <c r="J96" t="s">
        <v>148</v>
      </c>
      <c r="K96" t="s">
        <v>23</v>
      </c>
      <c r="L96">
        <v>856</v>
      </c>
      <c r="M96" s="4">
        <v>14.584119899999999</v>
      </c>
      <c r="N96" s="4">
        <v>229.09986921052308</v>
      </c>
      <c r="O96" s="4">
        <v>-1.6178206492318239E-2</v>
      </c>
      <c r="P96" s="1" t="str">
        <f>HYPERLINK(".\sm_car_260613_0458\sm_car_260613_0458_095_Ca013TrN_MaWOT_DrSt_ode23t_1.png","figure")</f>
        <v>figure</v>
      </c>
      <c r="Q96" t="s">
        <v>15</v>
      </c>
    </row>
    <row r="97" spans="1:17" x14ac:dyDescent="0.25">
      <c r="A97">
        <v>96</v>
      </c>
      <c r="B97">
        <v>13</v>
      </c>
      <c r="C97" t="s">
        <v>16</v>
      </c>
      <c r="D97" t="s">
        <v>17</v>
      </c>
      <c r="E97" t="s">
        <v>49</v>
      </c>
      <c r="F97" t="s">
        <v>28</v>
      </c>
      <c r="G97" t="s">
        <v>188</v>
      </c>
      <c r="H97" t="s">
        <v>21</v>
      </c>
      <c r="I97" t="s">
        <v>24</v>
      </c>
      <c r="J97" t="s">
        <v>148</v>
      </c>
      <c r="K97" t="s">
        <v>23</v>
      </c>
      <c r="L97">
        <v>1007</v>
      </c>
      <c r="M97" s="4">
        <v>16.995068100000001</v>
      </c>
      <c r="N97" s="4">
        <v>70.589936283730353</v>
      </c>
      <c r="O97" s="4">
        <v>-0.53085841609054596</v>
      </c>
      <c r="P97" s="1" t="str">
        <f>HYPERLINK(".\sm_car_260613_0458\sm_car_260613_0458_096_Ca013TrN_MaLSS_DrSt_ode23t_1.png","figure")</f>
        <v>figure</v>
      </c>
      <c r="Q97" t="s">
        <v>15</v>
      </c>
    </row>
    <row r="98" spans="1:17" x14ac:dyDescent="0.25">
      <c r="A98">
        <v>97</v>
      </c>
      <c r="B98">
        <v>120</v>
      </c>
      <c r="C98" t="s">
        <v>16</v>
      </c>
      <c r="D98" t="s">
        <v>35</v>
      </c>
      <c r="E98" t="s">
        <v>49</v>
      </c>
      <c r="F98" t="s">
        <v>19</v>
      </c>
      <c r="G98" t="s">
        <v>188</v>
      </c>
      <c r="H98" t="s">
        <v>21</v>
      </c>
      <c r="I98" t="s">
        <v>22</v>
      </c>
      <c r="J98" t="s">
        <v>148</v>
      </c>
      <c r="K98" t="s">
        <v>23</v>
      </c>
      <c r="L98">
        <v>384</v>
      </c>
      <c r="M98" s="4">
        <v>3.8220507000000001</v>
      </c>
      <c r="N98" s="4">
        <v>242.68444453743314</v>
      </c>
      <c r="O98" s="4">
        <v>0.23487762924843852</v>
      </c>
      <c r="P98" s="1" t="str">
        <f>HYPERLINK(".\sm_car_260613_0458\sm_car_260613_0458_097_Ca120TrN_MaWOT_DrSt_ode23t_1.png","figure")</f>
        <v>figure</v>
      </c>
      <c r="Q98" t="s">
        <v>15</v>
      </c>
    </row>
    <row r="99" spans="1:17" x14ac:dyDescent="0.25">
      <c r="A99">
        <v>98</v>
      </c>
      <c r="B99">
        <v>120</v>
      </c>
      <c r="C99" t="s">
        <v>16</v>
      </c>
      <c r="D99" t="s">
        <v>35</v>
      </c>
      <c r="E99" t="s">
        <v>49</v>
      </c>
      <c r="F99" t="s">
        <v>19</v>
      </c>
      <c r="G99" t="s">
        <v>188</v>
      </c>
      <c r="H99" t="s">
        <v>21</v>
      </c>
      <c r="I99" t="s">
        <v>24</v>
      </c>
      <c r="J99" t="s">
        <v>148</v>
      </c>
      <c r="K99" t="s">
        <v>23</v>
      </c>
      <c r="L99">
        <v>504</v>
      </c>
      <c r="M99" s="4">
        <v>4.2506503999999996</v>
      </c>
      <c r="N99" s="4">
        <v>74.678837977136325</v>
      </c>
      <c r="O99" s="4">
        <v>-0.33436064416935024</v>
      </c>
      <c r="P99" s="1" t="str">
        <f>HYPERLINK(".\sm_car_260613_0458\sm_car_260613_0458_098_Ca120TrN_MaLSS_DrSt_ode23t_1.png","figure")</f>
        <v>figure</v>
      </c>
      <c r="Q99" t="s">
        <v>15</v>
      </c>
    </row>
    <row r="100" spans="1:17" x14ac:dyDescent="0.25">
      <c r="A100">
        <v>99</v>
      </c>
      <c r="B100">
        <v>126</v>
      </c>
      <c r="C100" t="s">
        <v>16</v>
      </c>
      <c r="D100" t="s">
        <v>35</v>
      </c>
      <c r="E100" t="s">
        <v>49</v>
      </c>
      <c r="F100" t="s">
        <v>28</v>
      </c>
      <c r="G100" t="s">
        <v>188</v>
      </c>
      <c r="H100" t="s">
        <v>21</v>
      </c>
      <c r="I100" t="s">
        <v>22</v>
      </c>
      <c r="J100" t="s">
        <v>148</v>
      </c>
      <c r="K100" t="s">
        <v>23</v>
      </c>
      <c r="L100">
        <v>989</v>
      </c>
      <c r="M100" s="4">
        <v>5.8807822999999999</v>
      </c>
      <c r="N100" s="4">
        <v>241.4506384147154</v>
      </c>
      <c r="O100" s="4">
        <v>0.23236801113646072</v>
      </c>
      <c r="P100" s="1" t="str">
        <f>HYPERLINK(".\sm_car_260613_0458\sm_car_260613_0458_099_Ca126TrN_MaWOT_DrSt_ode23t_1.png","figure")</f>
        <v>figure</v>
      </c>
      <c r="Q100" t="s">
        <v>15</v>
      </c>
    </row>
    <row r="101" spans="1:17" x14ac:dyDescent="0.25">
      <c r="A101">
        <v>100</v>
      </c>
      <c r="B101">
        <v>126</v>
      </c>
      <c r="C101" t="s">
        <v>16</v>
      </c>
      <c r="D101" t="s">
        <v>35</v>
      </c>
      <c r="E101" t="s">
        <v>49</v>
      </c>
      <c r="F101" t="s">
        <v>28</v>
      </c>
      <c r="G101" t="s">
        <v>188</v>
      </c>
      <c r="H101" t="s">
        <v>21</v>
      </c>
      <c r="I101" t="s">
        <v>24</v>
      </c>
      <c r="J101" t="s">
        <v>148</v>
      </c>
      <c r="K101" t="s">
        <v>23</v>
      </c>
      <c r="L101">
        <v>1139</v>
      </c>
      <c r="M101" s="4">
        <v>6.8208289999999998</v>
      </c>
      <c r="N101" s="4">
        <v>74.345320011584874</v>
      </c>
      <c r="O101" s="4">
        <v>-0.33638448293260964</v>
      </c>
      <c r="P101" s="1" t="str">
        <f>HYPERLINK(".\sm_car_260613_0458\sm_car_260613_0458_100_Ca126TrN_MaLSS_DrSt_ode23t_1.png","figure")</f>
        <v>figure</v>
      </c>
      <c r="Q101" t="s">
        <v>15</v>
      </c>
    </row>
    <row r="102" spans="1:17" x14ac:dyDescent="0.25">
      <c r="A102">
        <v>101</v>
      </c>
      <c r="B102">
        <v>127</v>
      </c>
      <c r="C102" t="s">
        <v>16</v>
      </c>
      <c r="D102" t="s">
        <v>35</v>
      </c>
      <c r="E102" t="s">
        <v>49</v>
      </c>
      <c r="F102" t="s">
        <v>28</v>
      </c>
      <c r="G102" t="s">
        <v>188</v>
      </c>
      <c r="H102" t="s">
        <v>21</v>
      </c>
      <c r="I102" t="s">
        <v>22</v>
      </c>
      <c r="J102" t="s">
        <v>148</v>
      </c>
      <c r="K102" t="s">
        <v>23</v>
      </c>
      <c r="L102">
        <v>1030</v>
      </c>
      <c r="M102" s="4">
        <v>6.0400881000000002</v>
      </c>
      <c r="N102" s="4">
        <v>240.98843633088921</v>
      </c>
      <c r="O102" s="4">
        <v>0.2307828868177117</v>
      </c>
      <c r="P102" s="1" t="str">
        <f>HYPERLINK(".\sm_car_260613_0458\sm_car_260613_0458_101_Ca127TrN_MaWOT_DrSt_ode23t_1.png","figure")</f>
        <v>figure</v>
      </c>
      <c r="Q102" t="s">
        <v>15</v>
      </c>
    </row>
    <row r="103" spans="1:17" x14ac:dyDescent="0.25">
      <c r="A103">
        <v>102</v>
      </c>
      <c r="B103">
        <v>127</v>
      </c>
      <c r="C103" t="s">
        <v>16</v>
      </c>
      <c r="D103" t="s">
        <v>35</v>
      </c>
      <c r="E103" t="s">
        <v>49</v>
      </c>
      <c r="F103" t="s">
        <v>28</v>
      </c>
      <c r="G103" t="s">
        <v>188</v>
      </c>
      <c r="H103" t="s">
        <v>21</v>
      </c>
      <c r="I103" t="s">
        <v>24</v>
      </c>
      <c r="J103" t="s">
        <v>148</v>
      </c>
      <c r="K103" t="s">
        <v>23</v>
      </c>
      <c r="L103">
        <v>1138</v>
      </c>
      <c r="M103" s="4">
        <v>7.7343425999999997</v>
      </c>
      <c r="N103" s="4">
        <v>74.199326838271588</v>
      </c>
      <c r="O103" s="4">
        <v>-0.33516403319855159</v>
      </c>
      <c r="P103" s="1" t="str">
        <f>HYPERLINK(".\sm_car_260613_0458\sm_car_260613_0458_102_Ca127TrN_MaLSS_DrSt_ode23t_1.png","figure")</f>
        <v>figure</v>
      </c>
      <c r="Q103" t="s">
        <v>15</v>
      </c>
    </row>
    <row r="104" spans="1:17" x14ac:dyDescent="0.25">
      <c r="A104">
        <v>103</v>
      </c>
      <c r="B104">
        <v>145</v>
      </c>
      <c r="C104" t="s">
        <v>46</v>
      </c>
      <c r="D104" t="s">
        <v>17</v>
      </c>
      <c r="E104" t="s">
        <v>50</v>
      </c>
      <c r="F104" t="s">
        <v>19</v>
      </c>
      <c r="G104" t="s">
        <v>26</v>
      </c>
      <c r="H104" t="s">
        <v>21</v>
      </c>
      <c r="I104" t="s">
        <v>22</v>
      </c>
      <c r="J104" t="s">
        <v>148</v>
      </c>
      <c r="K104" t="s">
        <v>23</v>
      </c>
      <c r="L104">
        <v>353</v>
      </c>
      <c r="M104" s="4">
        <v>15.235628800000001</v>
      </c>
      <c r="N104" s="4">
        <v>62.399080719229602</v>
      </c>
      <c r="O104" s="4">
        <v>1.9098261566904209E-2</v>
      </c>
      <c r="P104" s="1" t="str">
        <f>HYPERLINK(".\sm_car_260613_0458\sm_car_260613_0458_103_Ca145TrN_MaWOT_DrSt_ode23t_1.png","figure")</f>
        <v>figure</v>
      </c>
      <c r="Q104" t="s">
        <v>15</v>
      </c>
    </row>
    <row r="105" spans="1:17" x14ac:dyDescent="0.25">
      <c r="A105">
        <v>104</v>
      </c>
      <c r="B105">
        <v>145</v>
      </c>
      <c r="C105" t="s">
        <v>46</v>
      </c>
      <c r="D105" t="s">
        <v>17</v>
      </c>
      <c r="E105" t="s">
        <v>50</v>
      </c>
      <c r="F105" t="s">
        <v>19</v>
      </c>
      <c r="G105" t="s">
        <v>26</v>
      </c>
      <c r="H105" t="s">
        <v>21</v>
      </c>
      <c r="I105" t="s">
        <v>24</v>
      </c>
      <c r="J105" t="s">
        <v>148</v>
      </c>
      <c r="K105" t="s">
        <v>23</v>
      </c>
      <c r="L105">
        <v>477</v>
      </c>
      <c r="M105" s="4">
        <v>20.562400499999999</v>
      </c>
      <c r="N105" s="4">
        <v>24.926902762877102</v>
      </c>
      <c r="O105" s="4">
        <v>-4.9659853639739363E-2</v>
      </c>
      <c r="P105" s="1" t="str">
        <f>HYPERLINK(".\sm_car_260613_0458\sm_car_260613_0458_104_Ca145TrN_MaLSS_DrSt_ode23t_1.png","figure")</f>
        <v>figure</v>
      </c>
      <c r="Q105" t="s">
        <v>15</v>
      </c>
    </row>
    <row r="106" spans="1:17" x14ac:dyDescent="0.25">
      <c r="A106">
        <v>105</v>
      </c>
      <c r="B106">
        <v>184</v>
      </c>
      <c r="C106" t="s">
        <v>105</v>
      </c>
      <c r="D106" t="s">
        <v>120</v>
      </c>
      <c r="E106" t="s">
        <v>49</v>
      </c>
      <c r="F106" t="s">
        <v>19</v>
      </c>
      <c r="G106" t="s">
        <v>20</v>
      </c>
      <c r="H106" t="s">
        <v>21</v>
      </c>
      <c r="I106" t="s">
        <v>22</v>
      </c>
      <c r="J106" t="s">
        <v>148</v>
      </c>
      <c r="K106" t="s">
        <v>23</v>
      </c>
      <c r="L106">
        <v>291</v>
      </c>
      <c r="M106" s="4">
        <v>16.9779719</v>
      </c>
      <c r="N106" s="4">
        <v>294.74646973530611</v>
      </c>
      <c r="O106" s="4">
        <v>-1.4570427344742578E-4</v>
      </c>
      <c r="P106" s="1" t="str">
        <f>HYPERLINK(".\sm_car_260613_0458\sm_car_260613_0458_105_Ca184TrN_MaWOT_DrSt_ode23t_1.png","figure")</f>
        <v>figure</v>
      </c>
      <c r="Q106" t="s">
        <v>15</v>
      </c>
    </row>
    <row r="107" spans="1:17" x14ac:dyDescent="0.25">
      <c r="A107">
        <v>106</v>
      </c>
      <c r="B107">
        <v>184</v>
      </c>
      <c r="C107" t="s">
        <v>105</v>
      </c>
      <c r="D107" t="s">
        <v>120</v>
      </c>
      <c r="E107" t="s">
        <v>49</v>
      </c>
      <c r="F107" t="s">
        <v>19</v>
      </c>
      <c r="G107" t="s">
        <v>20</v>
      </c>
      <c r="H107" t="s">
        <v>21</v>
      </c>
      <c r="I107" t="s">
        <v>24</v>
      </c>
      <c r="J107" t="s">
        <v>148</v>
      </c>
      <c r="K107" t="s">
        <v>23</v>
      </c>
      <c r="L107">
        <v>451</v>
      </c>
      <c r="M107" s="4">
        <v>14.5878327</v>
      </c>
      <c r="N107" s="4">
        <v>103.58507120162176</v>
      </c>
      <c r="O107" s="4">
        <v>-0.21171510350244102</v>
      </c>
      <c r="P107" s="1" t="str">
        <f>HYPERLINK(".\sm_car_260613_0458\sm_car_260613_0458_106_Ca184TrN_MaLSS_DrSt_ode23t_1.png","figure")</f>
        <v>figure</v>
      </c>
      <c r="Q107" t="s">
        <v>15</v>
      </c>
    </row>
    <row r="108" spans="1:17" x14ac:dyDescent="0.25">
      <c r="A108">
        <v>107</v>
      </c>
      <c r="B108">
        <v>217</v>
      </c>
      <c r="C108" t="s">
        <v>45</v>
      </c>
      <c r="D108" t="s">
        <v>17</v>
      </c>
      <c r="E108" t="s">
        <v>107</v>
      </c>
      <c r="F108" t="s">
        <v>119</v>
      </c>
      <c r="G108" t="s">
        <v>26</v>
      </c>
      <c r="H108" t="s">
        <v>21</v>
      </c>
      <c r="I108" t="s">
        <v>22</v>
      </c>
      <c r="J108" t="s">
        <v>148</v>
      </c>
      <c r="K108" t="s">
        <v>23</v>
      </c>
      <c r="L108">
        <v>700</v>
      </c>
      <c r="M108" s="4">
        <v>30.767423300000001</v>
      </c>
      <c r="N108" s="4">
        <v>165.32909919008193</v>
      </c>
      <c r="O108" s="4">
        <v>0.26595782899636206</v>
      </c>
      <c r="P108" s="1" t="str">
        <f>HYPERLINK(".\sm_car_260613_0458\sm_car_260613_0458_107_Ca217TrN_MaWOT_DrSt_ode23t_1.png","figure")</f>
        <v>figure</v>
      </c>
      <c r="Q108" t="s">
        <v>15</v>
      </c>
    </row>
    <row r="109" spans="1:17" x14ac:dyDescent="0.25">
      <c r="A109">
        <v>108</v>
      </c>
      <c r="B109">
        <v>217</v>
      </c>
      <c r="C109" t="s">
        <v>45</v>
      </c>
      <c r="D109" t="s">
        <v>17</v>
      </c>
      <c r="E109" t="s">
        <v>107</v>
      </c>
      <c r="F109" t="s">
        <v>119</v>
      </c>
      <c r="G109" t="s">
        <v>26</v>
      </c>
      <c r="H109" t="s">
        <v>21</v>
      </c>
      <c r="I109" t="s">
        <v>24</v>
      </c>
      <c r="J109" t="s">
        <v>148</v>
      </c>
      <c r="K109" t="s">
        <v>23</v>
      </c>
      <c r="L109">
        <v>822</v>
      </c>
      <c r="M109" s="4">
        <v>40.457813799999997</v>
      </c>
      <c r="N109" s="4">
        <v>69.531316392821338</v>
      </c>
      <c r="O109" s="4">
        <v>-0.18142050993403994</v>
      </c>
      <c r="P109" s="1" t="str">
        <f>HYPERLINK(".\sm_car_260613_0458\sm_car_260613_0458_108_Ca217TrN_MaLSS_DrSt_ode23t_1.png","figure")</f>
        <v>figure</v>
      </c>
      <c r="Q109" t="s">
        <v>15</v>
      </c>
    </row>
    <row r="110" spans="1:17" x14ac:dyDescent="0.25">
      <c r="A110">
        <v>109</v>
      </c>
      <c r="B110">
        <v>12</v>
      </c>
      <c r="C110" t="s">
        <v>16</v>
      </c>
      <c r="D110" t="s">
        <v>17</v>
      </c>
      <c r="E110" t="s">
        <v>49</v>
      </c>
      <c r="F110" t="s">
        <v>28</v>
      </c>
      <c r="G110" t="s">
        <v>188</v>
      </c>
      <c r="H110" t="s">
        <v>21</v>
      </c>
      <c r="I110" t="s">
        <v>53</v>
      </c>
      <c r="J110" t="s">
        <v>148</v>
      </c>
      <c r="K110" t="s">
        <v>23</v>
      </c>
      <c r="L110">
        <v>859</v>
      </c>
      <c r="M110" s="4">
        <v>11.5213371</v>
      </c>
      <c r="N110" s="4">
        <v>255.38978732848261</v>
      </c>
      <c r="O110" s="4">
        <v>4.0241209167115599E-2</v>
      </c>
      <c r="P110" s="1" t="str">
        <f>HYPERLINK(".\sm_car_260613_0458\sm_car_260613_0458_109_Ca012TrN_MaDLC_DrSt_ode23t_1.png","figure")</f>
        <v>figure</v>
      </c>
      <c r="Q110" t="s">
        <v>15</v>
      </c>
    </row>
    <row r="111" spans="1:17" x14ac:dyDescent="0.25">
      <c r="A111">
        <v>110</v>
      </c>
      <c r="B111">
        <v>12</v>
      </c>
      <c r="C111" t="s">
        <v>16</v>
      </c>
      <c r="D111" t="s">
        <v>17</v>
      </c>
      <c r="E111" t="s">
        <v>49</v>
      </c>
      <c r="F111" t="s">
        <v>28</v>
      </c>
      <c r="G111" t="s">
        <v>188</v>
      </c>
      <c r="H111" t="s">
        <v>21</v>
      </c>
      <c r="I111" t="s">
        <v>54</v>
      </c>
      <c r="J111" t="s">
        <v>148</v>
      </c>
      <c r="K111" t="s">
        <v>23</v>
      </c>
      <c r="L111">
        <v>916</v>
      </c>
      <c r="M111" s="4">
        <v>15.790577000000001</v>
      </c>
      <c r="N111" s="4">
        <v>74.405157923793482</v>
      </c>
      <c r="O111" s="4">
        <v>0.70196288454669575</v>
      </c>
      <c r="P111" s="1" t="str">
        <f>HYPERLINK(".\sm_car_260613_0458\sm_car_260613_0458_110_Ca012TrN_MaIPA_DrSt_ode23t_1.png","figure")</f>
        <v>figure</v>
      </c>
      <c r="Q111" t="s">
        <v>15</v>
      </c>
    </row>
    <row r="112" spans="1:17" x14ac:dyDescent="0.25">
      <c r="A112">
        <v>111</v>
      </c>
      <c r="B112">
        <v>142</v>
      </c>
      <c r="C112" t="s">
        <v>45</v>
      </c>
      <c r="D112" t="s">
        <v>17</v>
      </c>
      <c r="E112" t="s">
        <v>49</v>
      </c>
      <c r="F112" t="s">
        <v>28</v>
      </c>
      <c r="G112" t="s">
        <v>26</v>
      </c>
      <c r="H112" t="s">
        <v>21</v>
      </c>
      <c r="I112" t="s">
        <v>53</v>
      </c>
      <c r="J112" t="s">
        <v>148</v>
      </c>
      <c r="K112" t="s">
        <v>23</v>
      </c>
      <c r="L112">
        <v>984</v>
      </c>
      <c r="M112" s="4">
        <v>17.036193900000001</v>
      </c>
      <c r="N112" s="4">
        <v>254.16787784140047</v>
      </c>
      <c r="O112" s="4">
        <v>-7.9711492707881249E-3</v>
      </c>
      <c r="P112" s="1" t="str">
        <f>HYPERLINK(".\sm_car_260613_0458\sm_car_260613_0458_111_Ca142TrN_MaDLC_DrSt_ode23t_1.png","figure")</f>
        <v>figure</v>
      </c>
      <c r="Q112" t="s">
        <v>15</v>
      </c>
    </row>
    <row r="113" spans="1:17" x14ac:dyDescent="0.25">
      <c r="A113">
        <v>112</v>
      </c>
      <c r="B113">
        <v>142</v>
      </c>
      <c r="C113" t="s">
        <v>45</v>
      </c>
      <c r="D113" t="s">
        <v>17</v>
      </c>
      <c r="E113" t="s">
        <v>49</v>
      </c>
      <c r="F113" t="s">
        <v>28</v>
      </c>
      <c r="G113" t="s">
        <v>26</v>
      </c>
      <c r="H113" t="s">
        <v>21</v>
      </c>
      <c r="I113" t="s">
        <v>54</v>
      </c>
      <c r="J113" t="s">
        <v>148</v>
      </c>
      <c r="K113" t="s">
        <v>23</v>
      </c>
      <c r="L113">
        <v>1317</v>
      </c>
      <c r="M113" s="4">
        <v>34.626314200000003</v>
      </c>
      <c r="N113" s="4">
        <v>82.593723573957988</v>
      </c>
      <c r="O113" s="4">
        <v>0.65012621342309984</v>
      </c>
      <c r="P113" s="1" t="str">
        <f>HYPERLINK(".\sm_car_260613_0458\sm_car_260613_0458_112_Ca142TrN_MaIPA_DrSt_ode23t_1.png","figure")</f>
        <v>figure</v>
      </c>
      <c r="Q113" t="s">
        <v>15</v>
      </c>
    </row>
    <row r="114" spans="1:17" x14ac:dyDescent="0.25">
      <c r="A114">
        <v>113</v>
      </c>
      <c r="B114">
        <v>145</v>
      </c>
      <c r="C114" t="s">
        <v>46</v>
      </c>
      <c r="D114" t="s">
        <v>17</v>
      </c>
      <c r="E114" t="s">
        <v>50</v>
      </c>
      <c r="F114" t="s">
        <v>19</v>
      </c>
      <c r="G114" t="s">
        <v>26</v>
      </c>
      <c r="H114" t="s">
        <v>21</v>
      </c>
      <c r="I114" t="s">
        <v>53</v>
      </c>
      <c r="J114" t="s">
        <v>148</v>
      </c>
      <c r="K114" t="s">
        <v>23</v>
      </c>
      <c r="L114">
        <v>464</v>
      </c>
      <c r="M114" s="4">
        <v>18.1577734</v>
      </c>
      <c r="N114" s="4">
        <v>253.89788928119884</v>
      </c>
      <c r="O114" s="4">
        <v>7.4999592997252229E-2</v>
      </c>
      <c r="P114" s="1" t="str">
        <f>HYPERLINK(".\sm_car_260613_0458\sm_car_260613_0458_113_Ca145TrN_MaDLC_DrSt_ode23t_1.png","figure")</f>
        <v>figure</v>
      </c>
      <c r="Q114" t="s">
        <v>15</v>
      </c>
    </row>
    <row r="115" spans="1:17" x14ac:dyDescent="0.25">
      <c r="A115">
        <v>114</v>
      </c>
      <c r="B115">
        <v>145</v>
      </c>
      <c r="C115" t="s">
        <v>46</v>
      </c>
      <c r="D115" t="s">
        <v>17</v>
      </c>
      <c r="E115" t="s">
        <v>50</v>
      </c>
      <c r="F115" t="s">
        <v>19</v>
      </c>
      <c r="G115" t="s">
        <v>26</v>
      </c>
      <c r="H115" t="s">
        <v>21</v>
      </c>
      <c r="I115" t="s">
        <v>54</v>
      </c>
      <c r="J115" t="s">
        <v>148</v>
      </c>
      <c r="K115" t="s">
        <v>23</v>
      </c>
      <c r="L115">
        <v>307</v>
      </c>
      <c r="M115" s="4">
        <v>13.947414999999999</v>
      </c>
      <c r="N115" s="4">
        <v>27.998881334011159</v>
      </c>
      <c r="O115" s="4">
        <v>1.5718214641137665E-2</v>
      </c>
      <c r="P115" s="1" t="str">
        <f>HYPERLINK(".\sm_car_260613_0458\sm_car_260613_0458_114_Ca145TrN_MaIPA_DrSt_ode23t_1.png","figure")</f>
        <v>figure</v>
      </c>
      <c r="Q115" t="s">
        <v>15</v>
      </c>
    </row>
    <row r="116" spans="1:17" x14ac:dyDescent="0.25">
      <c r="A116">
        <v>115</v>
      </c>
      <c r="B116">
        <v>184</v>
      </c>
      <c r="C116" t="s">
        <v>105</v>
      </c>
      <c r="D116" t="s">
        <v>120</v>
      </c>
      <c r="E116" t="s">
        <v>49</v>
      </c>
      <c r="F116" t="s">
        <v>19</v>
      </c>
      <c r="G116" t="s">
        <v>20</v>
      </c>
      <c r="H116" t="s">
        <v>21</v>
      </c>
      <c r="I116" t="s">
        <v>53</v>
      </c>
      <c r="J116" t="s">
        <v>148</v>
      </c>
      <c r="K116" t="s">
        <v>23</v>
      </c>
      <c r="L116">
        <v>383</v>
      </c>
      <c r="M116" s="4">
        <v>12.167299</v>
      </c>
      <c r="N116" s="4">
        <v>253.56712213477283</v>
      </c>
      <c r="O116" s="4">
        <v>1.1316161180240591E-2</v>
      </c>
      <c r="P116" s="1" t="str">
        <f>HYPERLINK(".\sm_car_260613_0458\sm_car_260613_0458_115_Ca184TrN_MaDLC_DrSt_ode23t_1.png","figure")</f>
        <v>figure</v>
      </c>
      <c r="Q116" t="s">
        <v>15</v>
      </c>
    </row>
    <row r="117" spans="1:17" x14ac:dyDescent="0.25">
      <c r="A117">
        <v>116</v>
      </c>
      <c r="B117">
        <v>184</v>
      </c>
      <c r="C117" t="s">
        <v>105</v>
      </c>
      <c r="D117" t="s">
        <v>120</v>
      </c>
      <c r="E117" t="s">
        <v>49</v>
      </c>
      <c r="F117" t="s">
        <v>19</v>
      </c>
      <c r="G117" t="s">
        <v>20</v>
      </c>
      <c r="H117" t="s">
        <v>21</v>
      </c>
      <c r="I117" t="s">
        <v>54</v>
      </c>
      <c r="J117" t="s">
        <v>148</v>
      </c>
      <c r="K117" t="s">
        <v>23</v>
      </c>
      <c r="L117">
        <v>321</v>
      </c>
      <c r="M117" s="4">
        <v>13.832147600000001</v>
      </c>
      <c r="N117" s="4">
        <v>55.279528556092167</v>
      </c>
      <c r="O117" s="4">
        <v>6.5719118617946111E-3</v>
      </c>
      <c r="P117" s="1" t="str">
        <f>HYPERLINK(".\sm_car_260613_0458\sm_car_260613_0458_116_Ca184TrN_MaIPA_DrSt_ode23t_1.png","figure")</f>
        <v>figure</v>
      </c>
      <c r="Q117" t="s">
        <v>15</v>
      </c>
    </row>
    <row r="118" spans="1:17" x14ac:dyDescent="0.25">
      <c r="A118">
        <v>117</v>
      </c>
      <c r="B118">
        <v>204</v>
      </c>
      <c r="C118" t="s">
        <v>105</v>
      </c>
      <c r="D118" t="s">
        <v>106</v>
      </c>
      <c r="E118" t="s">
        <v>18</v>
      </c>
      <c r="F118" t="s">
        <v>19</v>
      </c>
      <c r="G118" t="s">
        <v>20</v>
      </c>
      <c r="H118" t="s">
        <v>21</v>
      </c>
      <c r="I118" t="s">
        <v>53</v>
      </c>
      <c r="J118" t="s">
        <v>148</v>
      </c>
      <c r="K118" t="s">
        <v>23</v>
      </c>
      <c r="L118">
        <v>1828</v>
      </c>
      <c r="M118" s="4">
        <v>27.5859706</v>
      </c>
      <c r="N118" s="4">
        <v>254.41154763444962</v>
      </c>
      <c r="O118" s="4">
        <v>1.8567527511646809E-2</v>
      </c>
      <c r="P118" s="1" t="str">
        <f>HYPERLINK(".\sm_car_260613_0458\sm_car_260613_0458_117_Ca204TrN_MaDLC_DrSt_ode23t_1.png","figure")</f>
        <v>figure</v>
      </c>
      <c r="Q118" t="s">
        <v>15</v>
      </c>
    </row>
    <row r="119" spans="1:17" x14ac:dyDescent="0.25">
      <c r="A119">
        <v>118</v>
      </c>
      <c r="B119">
        <v>204</v>
      </c>
      <c r="C119" t="s">
        <v>105</v>
      </c>
      <c r="D119" t="s">
        <v>106</v>
      </c>
      <c r="E119" t="s">
        <v>18</v>
      </c>
      <c r="F119" t="s">
        <v>19</v>
      </c>
      <c r="G119" t="s">
        <v>20</v>
      </c>
      <c r="H119" t="s">
        <v>21</v>
      </c>
      <c r="I119" t="s">
        <v>54</v>
      </c>
      <c r="J119" t="s">
        <v>148</v>
      </c>
      <c r="K119" t="s">
        <v>23</v>
      </c>
      <c r="L119">
        <v>689</v>
      </c>
      <c r="M119" s="4">
        <v>14.1293124</v>
      </c>
      <c r="N119" s="4">
        <v>26.037122672845488</v>
      </c>
      <c r="O119" s="4">
        <v>9.6389907040024796E-3</v>
      </c>
      <c r="P119" s="1" t="str">
        <f>HYPERLINK(".\sm_car_260613_0458\sm_car_260613_0458_118_Ca204TrN_MaIPA_DrSt_ode23t_1.png","figure")</f>
        <v>figure</v>
      </c>
      <c r="Q119" t="s">
        <v>15</v>
      </c>
    </row>
    <row r="120" spans="1:17" x14ac:dyDescent="0.25">
      <c r="A120">
        <v>119</v>
      </c>
      <c r="B120">
        <v>12</v>
      </c>
      <c r="C120" t="s">
        <v>16</v>
      </c>
      <c r="D120" t="s">
        <v>17</v>
      </c>
      <c r="E120" t="s">
        <v>49</v>
      </c>
      <c r="F120" t="s">
        <v>28</v>
      </c>
      <c r="G120" t="s">
        <v>188</v>
      </c>
      <c r="H120" t="s">
        <v>21</v>
      </c>
      <c r="I120" t="s">
        <v>55</v>
      </c>
      <c r="J120" t="s">
        <v>148</v>
      </c>
      <c r="K120" t="s">
        <v>23</v>
      </c>
      <c r="L120">
        <v>2579</v>
      </c>
      <c r="M120" s="4">
        <v>26.699593400000001</v>
      </c>
      <c r="N120" s="4">
        <v>-1.5535072751644549E-2</v>
      </c>
      <c r="O120" s="4">
        <v>-0.64601161232637283</v>
      </c>
      <c r="P120" s="1" t="str">
        <f>HYPERLINK(".\sm_car_260613_0458\sm_car_260613_0458_119_Ca012TrN_MaMPK_DrSt_ode23t_1.png","figure")</f>
        <v>figure</v>
      </c>
      <c r="Q120" t="s">
        <v>15</v>
      </c>
    </row>
    <row r="121" spans="1:17" x14ac:dyDescent="0.25">
      <c r="A121">
        <v>120</v>
      </c>
      <c r="B121">
        <v>12</v>
      </c>
      <c r="C121" t="s">
        <v>16</v>
      </c>
      <c r="D121" t="s">
        <v>17</v>
      </c>
      <c r="E121" t="s">
        <v>49</v>
      </c>
      <c r="F121" t="s">
        <v>28</v>
      </c>
      <c r="G121" t="s">
        <v>188</v>
      </c>
      <c r="H121" t="s">
        <v>21</v>
      </c>
      <c r="I121" t="s">
        <v>55</v>
      </c>
      <c r="J121" t="s">
        <v>149</v>
      </c>
      <c r="K121" t="s">
        <v>23</v>
      </c>
      <c r="L121">
        <v>2401</v>
      </c>
      <c r="M121" s="4">
        <v>24.941656299999998</v>
      </c>
      <c r="N121" s="4">
        <v>-9.3576876739216164E-3</v>
      </c>
      <c r="O121" s="4">
        <v>-3.7524624150169425E-2</v>
      </c>
      <c r="P121" s="1" t="str">
        <f>HYPERLINK(".\sm_car_260613_0458\sm_car_260613_0458_120_Ca012TrN_MaMPK_DrSt_ode23t_1.png","figure")</f>
        <v>figure</v>
      </c>
      <c r="Q121" t="s">
        <v>15</v>
      </c>
    </row>
    <row r="122" spans="1:17" x14ac:dyDescent="0.25">
      <c r="A122">
        <v>121</v>
      </c>
      <c r="B122">
        <v>12</v>
      </c>
      <c r="C122" t="s">
        <v>16</v>
      </c>
      <c r="D122" t="s">
        <v>17</v>
      </c>
      <c r="E122" t="s">
        <v>49</v>
      </c>
      <c r="F122" t="s">
        <v>28</v>
      </c>
      <c r="G122" t="s">
        <v>188</v>
      </c>
      <c r="H122" t="s">
        <v>21</v>
      </c>
      <c r="I122" t="s">
        <v>56</v>
      </c>
      <c r="J122" t="s">
        <v>148</v>
      </c>
      <c r="K122" t="s">
        <v>23</v>
      </c>
      <c r="L122">
        <v>2414</v>
      </c>
      <c r="M122" s="4">
        <v>25.165818699999999</v>
      </c>
      <c r="N122" s="4">
        <v>0.7877851761905923</v>
      </c>
      <c r="O122" s="4">
        <v>-0.33088366372090522</v>
      </c>
      <c r="P122" s="1" t="str">
        <f>HYPERLINK(".\sm_car_260613_0458\sm_car_260613_0458_121_Ca012TrN_MaMPC_DrSt_ode23t_1.png","figure")</f>
        <v>figure</v>
      </c>
      <c r="Q122" t="s">
        <v>15</v>
      </c>
    </row>
    <row r="123" spans="1:17" x14ac:dyDescent="0.25">
      <c r="A123">
        <v>122</v>
      </c>
      <c r="B123">
        <v>12</v>
      </c>
      <c r="C123" t="s">
        <v>16</v>
      </c>
      <c r="D123" t="s">
        <v>17</v>
      </c>
      <c r="E123" t="s">
        <v>49</v>
      </c>
      <c r="F123" t="s">
        <v>28</v>
      </c>
      <c r="G123" t="s">
        <v>188</v>
      </c>
      <c r="H123" t="s">
        <v>21</v>
      </c>
      <c r="I123" t="s">
        <v>56</v>
      </c>
      <c r="J123" t="s">
        <v>149</v>
      </c>
      <c r="K123" t="s">
        <v>23</v>
      </c>
      <c r="L123">
        <v>2241</v>
      </c>
      <c r="M123" s="4">
        <v>24.170062399999999</v>
      </c>
      <c r="N123" s="4">
        <v>0.78901198833632691</v>
      </c>
      <c r="O123" s="4">
        <v>0.10467080845013405</v>
      </c>
      <c r="P123" s="1" t="str">
        <f>HYPERLINK(".\sm_car_260613_0458\sm_car_260613_0458_122_Ca012TrN_MaMPC_DrSt_ode23t_1.png","figure")</f>
        <v>figure</v>
      </c>
      <c r="Q123" t="s">
        <v>15</v>
      </c>
    </row>
    <row r="124" spans="1:17" x14ac:dyDescent="0.25">
      <c r="A124">
        <v>123</v>
      </c>
      <c r="B124">
        <v>142</v>
      </c>
      <c r="C124" t="s">
        <v>45</v>
      </c>
      <c r="D124" t="s">
        <v>17</v>
      </c>
      <c r="E124" t="s">
        <v>49</v>
      </c>
      <c r="F124" t="s">
        <v>28</v>
      </c>
      <c r="G124" t="s">
        <v>26</v>
      </c>
      <c r="H124" t="s">
        <v>21</v>
      </c>
      <c r="I124" t="s">
        <v>55</v>
      </c>
      <c r="J124" t="s">
        <v>148</v>
      </c>
      <c r="K124" t="s">
        <v>23</v>
      </c>
      <c r="L124">
        <v>2533</v>
      </c>
      <c r="M124" s="4">
        <v>29.5110584</v>
      </c>
      <c r="N124" s="4">
        <v>-1.8569670130262353E-2</v>
      </c>
      <c r="O124" s="4">
        <v>-0.55891058528366633</v>
      </c>
      <c r="P124" s="1" t="str">
        <f>HYPERLINK(".\sm_car_260613_0458\sm_car_260613_0458_123_Ca142TrN_MaMPK_DrSt_ode23t_1.png","figure")</f>
        <v>figure</v>
      </c>
      <c r="Q124" t="s">
        <v>15</v>
      </c>
    </row>
    <row r="125" spans="1:17" x14ac:dyDescent="0.25">
      <c r="A125">
        <v>124</v>
      </c>
      <c r="B125">
        <v>142</v>
      </c>
      <c r="C125" t="s">
        <v>45</v>
      </c>
      <c r="D125" t="s">
        <v>17</v>
      </c>
      <c r="E125" t="s">
        <v>49</v>
      </c>
      <c r="F125" t="s">
        <v>28</v>
      </c>
      <c r="G125" t="s">
        <v>26</v>
      </c>
      <c r="H125" t="s">
        <v>21</v>
      </c>
      <c r="I125" t="s">
        <v>55</v>
      </c>
      <c r="J125" t="s">
        <v>149</v>
      </c>
      <c r="K125" t="s">
        <v>23</v>
      </c>
      <c r="L125">
        <v>2883</v>
      </c>
      <c r="M125" s="4">
        <v>32.566835099999999</v>
      </c>
      <c r="N125" s="4">
        <v>-1.127040349786658E-2</v>
      </c>
      <c r="O125" s="4">
        <v>-7.9889984459702496E-2</v>
      </c>
      <c r="P125" s="1" t="str">
        <f>HYPERLINK(".\sm_car_260613_0458\sm_car_260613_0458_124_Ca142TrN_MaMPK_DrSt_ode23t_1.png","figure")</f>
        <v>figure</v>
      </c>
      <c r="Q125" t="s">
        <v>15</v>
      </c>
    </row>
    <row r="126" spans="1:17" x14ac:dyDescent="0.25">
      <c r="A126">
        <v>125</v>
      </c>
      <c r="B126">
        <v>142</v>
      </c>
      <c r="C126" t="s">
        <v>45</v>
      </c>
      <c r="D126" t="s">
        <v>17</v>
      </c>
      <c r="E126" t="s">
        <v>49</v>
      </c>
      <c r="F126" t="s">
        <v>28</v>
      </c>
      <c r="G126" t="s">
        <v>26</v>
      </c>
      <c r="H126" t="s">
        <v>21</v>
      </c>
      <c r="I126" t="s">
        <v>56</v>
      </c>
      <c r="J126" t="s">
        <v>148</v>
      </c>
      <c r="K126" t="s">
        <v>23</v>
      </c>
      <c r="L126">
        <v>2420</v>
      </c>
      <c r="M126" s="4">
        <v>36.669158799999998</v>
      </c>
      <c r="N126" s="4">
        <v>0.78803712033202622</v>
      </c>
      <c r="O126" s="4">
        <v>-0.37181335243640545</v>
      </c>
      <c r="P126" s="1" t="str">
        <f>HYPERLINK(".\sm_car_260613_0458\sm_car_260613_0458_125_Ca142TrN_MaMPC_DrSt_ode23t_1.png","figure")</f>
        <v>figure</v>
      </c>
      <c r="Q126" t="s">
        <v>15</v>
      </c>
    </row>
    <row r="127" spans="1:17" x14ac:dyDescent="0.25">
      <c r="A127">
        <v>126</v>
      </c>
      <c r="B127">
        <v>142</v>
      </c>
      <c r="C127" t="s">
        <v>45</v>
      </c>
      <c r="D127" t="s">
        <v>17</v>
      </c>
      <c r="E127" t="s">
        <v>49</v>
      </c>
      <c r="F127" t="s">
        <v>28</v>
      </c>
      <c r="G127" t="s">
        <v>26</v>
      </c>
      <c r="H127" t="s">
        <v>21</v>
      </c>
      <c r="I127" t="s">
        <v>56</v>
      </c>
      <c r="J127" t="s">
        <v>149</v>
      </c>
      <c r="K127" t="s">
        <v>23</v>
      </c>
      <c r="L127">
        <v>2753</v>
      </c>
      <c r="M127" s="4">
        <v>36.0792042</v>
      </c>
      <c r="N127" s="4">
        <v>0.78874697939688154</v>
      </c>
      <c r="O127" s="4">
        <v>1.6378554678400915E-2</v>
      </c>
      <c r="P127" s="1" t="str">
        <f>HYPERLINK(".\sm_car_260613_0458\sm_car_260613_0458_126_Ca142TrN_MaMPC_DrSt_ode23t_1.png","figure")</f>
        <v>figure</v>
      </c>
      <c r="Q127" t="s">
        <v>15</v>
      </c>
    </row>
    <row r="128" spans="1:17" x14ac:dyDescent="0.25">
      <c r="A128">
        <v>127</v>
      </c>
      <c r="B128">
        <v>116</v>
      </c>
      <c r="C128" t="s">
        <v>16</v>
      </c>
      <c r="D128" t="s">
        <v>35</v>
      </c>
      <c r="E128" t="s">
        <v>18</v>
      </c>
      <c r="F128" t="s">
        <v>28</v>
      </c>
      <c r="G128" t="s">
        <v>188</v>
      </c>
      <c r="H128" t="s">
        <v>21</v>
      </c>
      <c r="I128" t="s">
        <v>55</v>
      </c>
      <c r="J128" t="s">
        <v>148</v>
      </c>
      <c r="K128" t="s">
        <v>23</v>
      </c>
      <c r="L128">
        <v>2838</v>
      </c>
      <c r="M128" s="4">
        <v>12.117667900000001</v>
      </c>
      <c r="N128" s="4">
        <v>-1.8622435721342173E-2</v>
      </c>
      <c r="O128" s="4">
        <v>-0.54250334213586648</v>
      </c>
      <c r="P128" s="1" t="str">
        <f>HYPERLINK(".\sm_car_260613_0458\sm_car_260613_0458_127_Ca116TrN_MaMPK_DrSt_ode23t_1.png","figure")</f>
        <v>figure</v>
      </c>
      <c r="Q128" t="s">
        <v>15</v>
      </c>
    </row>
    <row r="129" spans="1:17" x14ac:dyDescent="0.25">
      <c r="A129">
        <v>128</v>
      </c>
      <c r="B129">
        <v>116</v>
      </c>
      <c r="C129" t="s">
        <v>16</v>
      </c>
      <c r="D129" t="s">
        <v>35</v>
      </c>
      <c r="E129" t="s">
        <v>18</v>
      </c>
      <c r="F129" t="s">
        <v>28</v>
      </c>
      <c r="G129" t="s">
        <v>188</v>
      </c>
      <c r="H129" t="s">
        <v>21</v>
      </c>
      <c r="I129" t="s">
        <v>55</v>
      </c>
      <c r="J129" t="s">
        <v>149</v>
      </c>
      <c r="K129" t="s">
        <v>23</v>
      </c>
      <c r="L129">
        <v>2748</v>
      </c>
      <c r="M129" s="4">
        <v>11.6588327</v>
      </c>
      <c r="N129" s="4">
        <v>-1.9429225189244559E-2</v>
      </c>
      <c r="O129" s="4">
        <v>-0.53562834070852061</v>
      </c>
      <c r="P129" s="1" t="str">
        <f>HYPERLINK(".\sm_car_260613_0458\sm_car_260613_0458_128_Ca116TrN_MaMPK_DrSt_ode23t_1.png","figure")</f>
        <v>figure</v>
      </c>
      <c r="Q129" t="s">
        <v>15</v>
      </c>
    </row>
    <row r="130" spans="1:17" x14ac:dyDescent="0.25">
      <c r="A130">
        <v>129</v>
      </c>
      <c r="B130">
        <v>116</v>
      </c>
      <c r="C130" t="s">
        <v>16</v>
      </c>
      <c r="D130" t="s">
        <v>35</v>
      </c>
      <c r="E130" t="s">
        <v>18</v>
      </c>
      <c r="F130" t="s">
        <v>28</v>
      </c>
      <c r="G130" t="s">
        <v>188</v>
      </c>
      <c r="H130" t="s">
        <v>21</v>
      </c>
      <c r="I130" t="s">
        <v>56</v>
      </c>
      <c r="J130" t="s">
        <v>148</v>
      </c>
      <c r="K130" t="s">
        <v>23</v>
      </c>
      <c r="L130">
        <v>2722</v>
      </c>
      <c r="M130" s="4">
        <v>11.4608294</v>
      </c>
      <c r="N130" s="4">
        <v>0.77278698195634199</v>
      </c>
      <c r="O130" s="4">
        <v>-0.36264547959846405</v>
      </c>
      <c r="P130" s="1" t="str">
        <f>HYPERLINK(".\sm_car_260613_0458\sm_car_260613_0458_129_Ca116TrN_MaMPC_DrSt_ode23t_1.png","figure")</f>
        <v>figure</v>
      </c>
      <c r="Q130" t="s">
        <v>15</v>
      </c>
    </row>
    <row r="131" spans="1:17" x14ac:dyDescent="0.25">
      <c r="A131">
        <v>130</v>
      </c>
      <c r="B131">
        <v>116</v>
      </c>
      <c r="C131" t="s">
        <v>16</v>
      </c>
      <c r="D131" t="s">
        <v>35</v>
      </c>
      <c r="E131" t="s">
        <v>18</v>
      </c>
      <c r="F131" t="s">
        <v>28</v>
      </c>
      <c r="G131" t="s">
        <v>188</v>
      </c>
      <c r="H131" t="s">
        <v>21</v>
      </c>
      <c r="I131" t="s">
        <v>56</v>
      </c>
      <c r="J131" t="s">
        <v>149</v>
      </c>
      <c r="K131" t="s">
        <v>23</v>
      </c>
      <c r="L131">
        <v>2608</v>
      </c>
      <c r="M131" s="4">
        <v>11.588188300000001</v>
      </c>
      <c r="N131" s="4">
        <v>0.78512686596492109</v>
      </c>
      <c r="O131" s="4">
        <v>0.44067580967379483</v>
      </c>
      <c r="P131" s="1" t="str">
        <f>HYPERLINK(".\sm_car_260613_0458\sm_car_260613_0458_130_Ca116TrN_MaMPC_DrSt_ode23t_1.png","figure")</f>
        <v>figure</v>
      </c>
      <c r="Q131" t="s">
        <v>15</v>
      </c>
    </row>
    <row r="132" spans="1:17" x14ac:dyDescent="0.25">
      <c r="A132">
        <v>131</v>
      </c>
      <c r="B132">
        <v>143</v>
      </c>
      <c r="C132" t="s">
        <v>46</v>
      </c>
      <c r="D132" t="s">
        <v>17</v>
      </c>
      <c r="E132" t="s">
        <v>47</v>
      </c>
      <c r="F132" t="s">
        <v>19</v>
      </c>
      <c r="G132" t="s">
        <v>26</v>
      </c>
      <c r="H132" t="s">
        <v>21</v>
      </c>
      <c r="I132" t="s">
        <v>55</v>
      </c>
      <c r="J132" t="s">
        <v>148</v>
      </c>
      <c r="K132" t="s">
        <v>23</v>
      </c>
      <c r="L132">
        <v>2446</v>
      </c>
      <c r="M132" s="4">
        <v>49.602128399999998</v>
      </c>
      <c r="N132" s="4">
        <v>8.7723116759506892E-4</v>
      </c>
      <c r="O132" s="4">
        <v>-0.40385323425565295</v>
      </c>
      <c r="P132" s="1" t="str">
        <f>HYPERLINK(".\sm_car_260613_0458\sm_car_260613_0458_131_Ca143TrN_MaMPK_DrSt_ode23t_1.png","figure")</f>
        <v>figure</v>
      </c>
      <c r="Q132" t="s">
        <v>15</v>
      </c>
    </row>
    <row r="133" spans="1:17" x14ac:dyDescent="0.25">
      <c r="A133">
        <v>132</v>
      </c>
      <c r="B133">
        <v>143</v>
      </c>
      <c r="C133" t="s">
        <v>46</v>
      </c>
      <c r="D133" t="s">
        <v>17</v>
      </c>
      <c r="E133" t="s">
        <v>47</v>
      </c>
      <c r="F133" t="s">
        <v>19</v>
      </c>
      <c r="G133" t="s">
        <v>26</v>
      </c>
      <c r="H133" t="s">
        <v>21</v>
      </c>
      <c r="I133" t="s">
        <v>55</v>
      </c>
      <c r="J133" t="s">
        <v>149</v>
      </c>
      <c r="K133" t="s">
        <v>23</v>
      </c>
      <c r="L133">
        <v>2204</v>
      </c>
      <c r="M133" s="4">
        <v>45.587287000000003</v>
      </c>
      <c r="N133" s="4">
        <v>-1.1336251382628129E-2</v>
      </c>
      <c r="O133" s="4">
        <v>-9.0061627724928636E-2</v>
      </c>
      <c r="P133" s="1" t="str">
        <f>HYPERLINK(".\sm_car_260613_0458\sm_car_260613_0458_132_Ca143TrN_MaMPK_DrSt_ode23t_1.png","figure")</f>
        <v>figure</v>
      </c>
      <c r="Q133" t="s">
        <v>15</v>
      </c>
    </row>
    <row r="134" spans="1:17" x14ac:dyDescent="0.25">
      <c r="A134">
        <v>133</v>
      </c>
      <c r="B134">
        <v>143</v>
      </c>
      <c r="C134" t="s">
        <v>46</v>
      </c>
      <c r="D134" t="s">
        <v>17</v>
      </c>
      <c r="E134" t="s">
        <v>47</v>
      </c>
      <c r="F134" t="s">
        <v>19</v>
      </c>
      <c r="G134" t="s">
        <v>26</v>
      </c>
      <c r="H134" t="s">
        <v>21</v>
      </c>
      <c r="I134" t="s">
        <v>56</v>
      </c>
      <c r="J134" t="s">
        <v>148</v>
      </c>
      <c r="K134" t="s">
        <v>23</v>
      </c>
      <c r="L134">
        <v>2361</v>
      </c>
      <c r="M134" s="4">
        <v>51.101178099999998</v>
      </c>
      <c r="N134" s="4">
        <v>0.75555819239843558</v>
      </c>
      <c r="O134" s="4">
        <v>-0.27232873221484516</v>
      </c>
      <c r="P134" s="1" t="str">
        <f>HYPERLINK(".\sm_car_260613_0458\sm_car_260613_0458_133_Ca143TrN_MaMPC_DrSt_ode23t_1.png","figure")</f>
        <v>figure</v>
      </c>
      <c r="Q134" t="s">
        <v>15</v>
      </c>
    </row>
    <row r="135" spans="1:17" x14ac:dyDescent="0.25">
      <c r="A135">
        <v>134</v>
      </c>
      <c r="B135">
        <v>143</v>
      </c>
      <c r="C135" t="s">
        <v>46</v>
      </c>
      <c r="D135" t="s">
        <v>17</v>
      </c>
      <c r="E135" t="s">
        <v>47</v>
      </c>
      <c r="F135" t="s">
        <v>19</v>
      </c>
      <c r="G135" t="s">
        <v>26</v>
      </c>
      <c r="H135" t="s">
        <v>21</v>
      </c>
      <c r="I135" t="s">
        <v>56</v>
      </c>
      <c r="J135" t="s">
        <v>149</v>
      </c>
      <c r="K135" t="s">
        <v>23</v>
      </c>
      <c r="L135">
        <v>2123</v>
      </c>
      <c r="M135" s="4">
        <v>50.5910613</v>
      </c>
      <c r="N135" s="4">
        <v>0.78685958202550665</v>
      </c>
      <c r="O135" s="4">
        <v>-0.15518440758868812</v>
      </c>
      <c r="P135" s="1" t="str">
        <f>HYPERLINK(".\sm_car_260613_0458\sm_car_260613_0458_134_Ca143TrN_MaMPC_DrSt_ode23t_1.png","figure")</f>
        <v>figure</v>
      </c>
      <c r="Q135" t="s">
        <v>15</v>
      </c>
    </row>
    <row r="136" spans="1:17" x14ac:dyDescent="0.25">
      <c r="A136">
        <v>135</v>
      </c>
      <c r="B136">
        <v>166</v>
      </c>
      <c r="C136" t="s">
        <v>45</v>
      </c>
      <c r="D136" t="s">
        <v>57</v>
      </c>
      <c r="E136" t="s">
        <v>18</v>
      </c>
      <c r="F136" t="s">
        <v>19</v>
      </c>
      <c r="G136" t="s">
        <v>26</v>
      </c>
      <c r="H136" t="s">
        <v>21</v>
      </c>
      <c r="I136" t="s">
        <v>55</v>
      </c>
      <c r="J136" t="s">
        <v>148</v>
      </c>
      <c r="K136" t="s">
        <v>23</v>
      </c>
      <c r="L136">
        <v>3178</v>
      </c>
      <c r="M136" s="4">
        <v>51.8181437</v>
      </c>
      <c r="N136" s="4">
        <v>-1.7585448986862914E-2</v>
      </c>
      <c r="O136" s="4">
        <v>-0.57016084223722818</v>
      </c>
      <c r="P136" s="1" t="str">
        <f>HYPERLINK(".\sm_car_260613_0458\sm_car_260613_0458_135_Ca166TrN_MaMPK_DrSt_ode23t_1.png","figure")</f>
        <v>figure</v>
      </c>
      <c r="Q136" t="s">
        <v>15</v>
      </c>
    </row>
    <row r="137" spans="1:17" x14ac:dyDescent="0.25">
      <c r="A137">
        <v>136</v>
      </c>
      <c r="B137">
        <v>166</v>
      </c>
      <c r="C137" t="s">
        <v>45</v>
      </c>
      <c r="D137" t="s">
        <v>57</v>
      </c>
      <c r="E137" t="s">
        <v>18</v>
      </c>
      <c r="F137" t="s">
        <v>19</v>
      </c>
      <c r="G137" t="s">
        <v>26</v>
      </c>
      <c r="H137" t="s">
        <v>21</v>
      </c>
      <c r="I137" t="s">
        <v>55</v>
      </c>
      <c r="J137" t="s">
        <v>149</v>
      </c>
      <c r="K137" t="s">
        <v>23</v>
      </c>
      <c r="L137">
        <v>3705</v>
      </c>
      <c r="M137" s="4">
        <v>52.161548400000001</v>
      </c>
      <c r="N137" s="4">
        <v>-1.0459660011230637E-2</v>
      </c>
      <c r="O137" s="4">
        <v>-8.5104946449721108E-2</v>
      </c>
      <c r="P137" s="1" t="str">
        <f>HYPERLINK(".\sm_car_260613_0458\sm_car_260613_0458_136_Ca166TrN_MaMPK_DrSt_ode23t_1.png","figure")</f>
        <v>figure</v>
      </c>
      <c r="Q137" t="s">
        <v>15</v>
      </c>
    </row>
    <row r="138" spans="1:17" x14ac:dyDescent="0.25">
      <c r="A138">
        <v>137</v>
      </c>
      <c r="B138">
        <v>166</v>
      </c>
      <c r="C138" t="s">
        <v>45</v>
      </c>
      <c r="D138" t="s">
        <v>57</v>
      </c>
      <c r="E138" t="s">
        <v>18</v>
      </c>
      <c r="F138" t="s">
        <v>19</v>
      </c>
      <c r="G138" t="s">
        <v>26</v>
      </c>
      <c r="H138" t="s">
        <v>21</v>
      </c>
      <c r="I138" t="s">
        <v>56</v>
      </c>
      <c r="J138" t="s">
        <v>148</v>
      </c>
      <c r="K138" t="s">
        <v>23</v>
      </c>
      <c r="L138">
        <v>2956</v>
      </c>
      <c r="M138" s="4">
        <v>48.187609500000001</v>
      </c>
      <c r="N138" s="4">
        <v>0.78896453220692919</v>
      </c>
      <c r="O138" s="4">
        <v>-0.36294489904326649</v>
      </c>
      <c r="P138" s="1" t="str">
        <f>HYPERLINK(".\sm_car_260613_0458\sm_car_260613_0458_137_Ca166TrN_MaMPC_DrSt_ode23t_1.png","figure")</f>
        <v>figure</v>
      </c>
      <c r="Q138" t="s">
        <v>15</v>
      </c>
    </row>
    <row r="139" spans="1:17" x14ac:dyDescent="0.25">
      <c r="A139">
        <v>138</v>
      </c>
      <c r="B139">
        <v>166</v>
      </c>
      <c r="C139" t="s">
        <v>45</v>
      </c>
      <c r="D139" t="s">
        <v>57</v>
      </c>
      <c r="E139" t="s">
        <v>18</v>
      </c>
      <c r="F139" t="s">
        <v>19</v>
      </c>
      <c r="G139" t="s">
        <v>26</v>
      </c>
      <c r="H139" t="s">
        <v>21</v>
      </c>
      <c r="I139" t="s">
        <v>56</v>
      </c>
      <c r="J139" t="s">
        <v>149</v>
      </c>
      <c r="K139" t="s">
        <v>23</v>
      </c>
      <c r="L139">
        <v>3448</v>
      </c>
      <c r="M139" s="4">
        <v>49.250913500000003</v>
      </c>
      <c r="N139" s="4">
        <v>0.78912778471898193</v>
      </c>
      <c r="O139" s="4">
        <v>2.4068321399322742E-2</v>
      </c>
      <c r="P139" s="1" t="str">
        <f>HYPERLINK(".\sm_car_260613_0458\sm_car_260613_0458_138_Ca166TrN_MaMPC_DrSt_ode23t_1.png","figure")</f>
        <v>figure</v>
      </c>
      <c r="Q139" t="s">
        <v>15</v>
      </c>
    </row>
    <row r="140" spans="1:17" x14ac:dyDescent="0.25">
      <c r="A140">
        <v>139</v>
      </c>
      <c r="B140">
        <v>169</v>
      </c>
      <c r="C140" t="s">
        <v>45</v>
      </c>
      <c r="D140" t="s">
        <v>58</v>
      </c>
      <c r="E140" t="s">
        <v>49</v>
      </c>
      <c r="F140" t="s">
        <v>19</v>
      </c>
      <c r="G140" t="s">
        <v>26</v>
      </c>
      <c r="H140" t="s">
        <v>21</v>
      </c>
      <c r="I140" t="s">
        <v>55</v>
      </c>
      <c r="J140" t="s">
        <v>148</v>
      </c>
      <c r="K140" t="s">
        <v>23</v>
      </c>
      <c r="L140">
        <v>3179</v>
      </c>
      <c r="M140" s="4">
        <v>50.7485377</v>
      </c>
      <c r="N140" s="4">
        <v>-1.9109556856405197E-2</v>
      </c>
      <c r="O140" s="4">
        <v>-0.57088527551769253</v>
      </c>
      <c r="P140" s="1" t="str">
        <f>HYPERLINK(".\sm_car_260613_0458\sm_car_260613_0458_139_Ca169TrN_MaMPK_DrSt_ode23t_1.png","figure")</f>
        <v>figure</v>
      </c>
      <c r="Q140" t="s">
        <v>15</v>
      </c>
    </row>
    <row r="141" spans="1:17" x14ac:dyDescent="0.25">
      <c r="A141">
        <v>140</v>
      </c>
      <c r="B141">
        <v>169</v>
      </c>
      <c r="C141" t="s">
        <v>45</v>
      </c>
      <c r="D141" t="s">
        <v>58</v>
      </c>
      <c r="E141" t="s">
        <v>49</v>
      </c>
      <c r="F141" t="s">
        <v>19</v>
      </c>
      <c r="G141" t="s">
        <v>26</v>
      </c>
      <c r="H141" t="s">
        <v>21</v>
      </c>
      <c r="I141" t="s">
        <v>55</v>
      </c>
      <c r="J141" t="s">
        <v>149</v>
      </c>
      <c r="K141" t="s">
        <v>23</v>
      </c>
      <c r="L141">
        <v>3753</v>
      </c>
      <c r="M141" s="4">
        <v>53.4225444</v>
      </c>
      <c r="N141" s="4">
        <v>-9.8454873720921626E-3</v>
      </c>
      <c r="O141" s="4">
        <v>-8.5036317903853451E-2</v>
      </c>
      <c r="P141" s="1" t="str">
        <f>HYPERLINK(".\sm_car_260613_0458\sm_car_260613_0458_140_Ca169TrN_MaMPK_DrSt_ode23t_1.png","figure")</f>
        <v>figure</v>
      </c>
      <c r="Q141" t="s">
        <v>15</v>
      </c>
    </row>
    <row r="142" spans="1:17" x14ac:dyDescent="0.25">
      <c r="A142">
        <v>141</v>
      </c>
      <c r="B142">
        <v>169</v>
      </c>
      <c r="C142" t="s">
        <v>45</v>
      </c>
      <c r="D142" t="s">
        <v>58</v>
      </c>
      <c r="E142" t="s">
        <v>49</v>
      </c>
      <c r="F142" t="s">
        <v>19</v>
      </c>
      <c r="G142" t="s">
        <v>26</v>
      </c>
      <c r="H142" t="s">
        <v>21</v>
      </c>
      <c r="I142" t="s">
        <v>56</v>
      </c>
      <c r="J142" t="s">
        <v>148</v>
      </c>
      <c r="K142" t="s">
        <v>23</v>
      </c>
      <c r="L142">
        <v>2923</v>
      </c>
      <c r="M142" s="4">
        <v>46.499927800000002</v>
      </c>
      <c r="N142" s="4">
        <v>0.7779027328539847</v>
      </c>
      <c r="O142" s="4">
        <v>-0.3622715722499395</v>
      </c>
      <c r="P142" s="1" t="str">
        <f>HYPERLINK(".\sm_car_260613_0458\sm_car_260613_0458_141_Ca169TrN_MaMPC_DrSt_ode23t_1.png","figure")</f>
        <v>figure</v>
      </c>
      <c r="Q142" t="s">
        <v>15</v>
      </c>
    </row>
    <row r="143" spans="1:17" x14ac:dyDescent="0.25">
      <c r="A143">
        <v>142</v>
      </c>
      <c r="B143">
        <v>169</v>
      </c>
      <c r="C143" t="s">
        <v>45</v>
      </c>
      <c r="D143" t="s">
        <v>58</v>
      </c>
      <c r="E143" t="s">
        <v>49</v>
      </c>
      <c r="F143" t="s">
        <v>19</v>
      </c>
      <c r="G143" t="s">
        <v>26</v>
      </c>
      <c r="H143" t="s">
        <v>21</v>
      </c>
      <c r="I143" t="s">
        <v>56</v>
      </c>
      <c r="J143" t="s">
        <v>149</v>
      </c>
      <c r="K143" t="s">
        <v>23</v>
      </c>
      <c r="L143">
        <v>3396</v>
      </c>
      <c r="M143" s="4">
        <v>47.898591600000003</v>
      </c>
      <c r="N143" s="4">
        <v>0.78826830741315845</v>
      </c>
      <c r="O143" s="4">
        <v>2.5161670182697052E-2</v>
      </c>
      <c r="P143" s="1" t="str">
        <f>HYPERLINK(".\sm_car_260613_0458\sm_car_260613_0458_142_Ca169TrN_MaMPC_DrSt_ode23t_1.png","figure")</f>
        <v>figure</v>
      </c>
      <c r="Q143" t="s">
        <v>15</v>
      </c>
    </row>
    <row r="144" spans="1:17" x14ac:dyDescent="0.25">
      <c r="A144">
        <v>143</v>
      </c>
      <c r="B144">
        <v>184</v>
      </c>
      <c r="C144" t="s">
        <v>105</v>
      </c>
      <c r="D144" t="s">
        <v>120</v>
      </c>
      <c r="E144" t="s">
        <v>49</v>
      </c>
      <c r="F144" t="s">
        <v>19</v>
      </c>
      <c r="G144" t="s">
        <v>20</v>
      </c>
      <c r="H144" t="s">
        <v>21</v>
      </c>
      <c r="I144" t="s">
        <v>55</v>
      </c>
      <c r="J144" t="s">
        <v>148</v>
      </c>
      <c r="K144" t="s">
        <v>23</v>
      </c>
      <c r="L144">
        <v>2227</v>
      </c>
      <c r="M144" s="4">
        <v>54.905270999999999</v>
      </c>
      <c r="N144" s="4">
        <v>-2.2972285074280355E-2</v>
      </c>
      <c r="O144" s="4">
        <v>-0.74275555606248056</v>
      </c>
      <c r="P144" s="1" t="str">
        <f>HYPERLINK(".\sm_car_260613_0458\sm_car_260613_0458_143_Ca184TrN_MaMPK_DrSt_ode23t_1.png","figure")</f>
        <v>figure</v>
      </c>
      <c r="Q144" t="s">
        <v>15</v>
      </c>
    </row>
    <row r="145" spans="1:17" x14ac:dyDescent="0.25">
      <c r="A145">
        <v>144</v>
      </c>
      <c r="B145">
        <v>184</v>
      </c>
      <c r="C145" t="s">
        <v>105</v>
      </c>
      <c r="D145" t="s">
        <v>120</v>
      </c>
      <c r="E145" t="s">
        <v>49</v>
      </c>
      <c r="F145" t="s">
        <v>19</v>
      </c>
      <c r="G145" t="s">
        <v>20</v>
      </c>
      <c r="H145" t="s">
        <v>21</v>
      </c>
      <c r="I145" t="s">
        <v>55</v>
      </c>
      <c r="J145" t="s">
        <v>149</v>
      </c>
      <c r="K145" t="s">
        <v>23</v>
      </c>
      <c r="L145">
        <v>2309</v>
      </c>
      <c r="M145" s="4">
        <v>56.268106600000003</v>
      </c>
      <c r="N145" s="4">
        <v>-9.7115186893210609E-3</v>
      </c>
      <c r="O145" s="4">
        <v>-2.997595799822193E-2</v>
      </c>
      <c r="P145" s="1" t="str">
        <f>HYPERLINK(".\sm_car_260613_0458\sm_car_260613_0458_144_Ca184TrN_MaMPK_DrSt_ode23t_1.png","figure")</f>
        <v>figure</v>
      </c>
      <c r="Q145" t="s">
        <v>15</v>
      </c>
    </row>
    <row r="146" spans="1:17" x14ac:dyDescent="0.25">
      <c r="A146">
        <v>145</v>
      </c>
      <c r="B146">
        <v>184</v>
      </c>
      <c r="C146" t="s">
        <v>105</v>
      </c>
      <c r="D146" t="s">
        <v>120</v>
      </c>
      <c r="E146" t="s">
        <v>49</v>
      </c>
      <c r="F146" t="s">
        <v>19</v>
      </c>
      <c r="G146" t="s">
        <v>20</v>
      </c>
      <c r="H146" t="s">
        <v>21</v>
      </c>
      <c r="I146" t="s">
        <v>56</v>
      </c>
      <c r="J146" t="s">
        <v>148</v>
      </c>
      <c r="K146" t="s">
        <v>23</v>
      </c>
      <c r="L146">
        <v>2060</v>
      </c>
      <c r="M146" s="4">
        <v>51.623332400000002</v>
      </c>
      <c r="N146" s="4">
        <v>0.78740642121275251</v>
      </c>
      <c r="O146" s="4">
        <v>-0.33805111009068478</v>
      </c>
      <c r="P146" s="1" t="str">
        <f>HYPERLINK(".\sm_car_260613_0458\sm_car_260613_0458_145_Ca184TrN_MaMPC_DrSt_ode23t_1.png","figure")</f>
        <v>figure</v>
      </c>
      <c r="Q146" t="s">
        <v>15</v>
      </c>
    </row>
    <row r="147" spans="1:17" x14ac:dyDescent="0.25">
      <c r="A147">
        <v>146</v>
      </c>
      <c r="B147">
        <v>184</v>
      </c>
      <c r="C147" t="s">
        <v>105</v>
      </c>
      <c r="D147" t="s">
        <v>120</v>
      </c>
      <c r="E147" t="s">
        <v>49</v>
      </c>
      <c r="F147" t="s">
        <v>19</v>
      </c>
      <c r="G147" t="s">
        <v>20</v>
      </c>
      <c r="H147" t="s">
        <v>21</v>
      </c>
      <c r="I147" t="s">
        <v>56</v>
      </c>
      <c r="J147" t="s">
        <v>149</v>
      </c>
      <c r="K147" t="s">
        <v>23</v>
      </c>
      <c r="L147">
        <v>2044</v>
      </c>
      <c r="M147" s="4">
        <v>55.687936700000002</v>
      </c>
      <c r="N147" s="4">
        <v>0.75881524208450379</v>
      </c>
      <c r="O147" s="4">
        <v>-8.2144984597842752E-2</v>
      </c>
      <c r="P147" s="1" t="str">
        <f>HYPERLINK(".\sm_car_260613_0458\sm_car_260613_0458_146_Ca184TrN_MaMPC_DrSt_ode23t_1.png","figure")</f>
        <v>figure</v>
      </c>
      <c r="Q147" t="s">
        <v>15</v>
      </c>
    </row>
    <row r="148" spans="1:17" x14ac:dyDescent="0.25">
      <c r="A148">
        <v>147</v>
      </c>
      <c r="B148">
        <v>195</v>
      </c>
      <c r="C148" t="s">
        <v>45</v>
      </c>
      <c r="D148" t="s">
        <v>58</v>
      </c>
      <c r="E148" t="s">
        <v>107</v>
      </c>
      <c r="F148" t="s">
        <v>19</v>
      </c>
      <c r="G148" t="s">
        <v>26</v>
      </c>
      <c r="H148" t="s">
        <v>21</v>
      </c>
      <c r="I148" t="s">
        <v>55</v>
      </c>
      <c r="J148" t="s">
        <v>148</v>
      </c>
      <c r="K148" t="s">
        <v>23</v>
      </c>
      <c r="L148">
        <v>3168</v>
      </c>
      <c r="M148" s="4">
        <v>43.334537099999999</v>
      </c>
      <c r="N148" s="4">
        <v>-1.7705319292586494E-2</v>
      </c>
      <c r="O148" s="4">
        <v>-0.57095420707903766</v>
      </c>
      <c r="P148" s="1" t="str">
        <f>HYPERLINK(".\sm_car_260613_0458\sm_car_260613_0458_147_Ca195TrN_MaMPK_DrSt_ode23t_1.png","figure")</f>
        <v>figure</v>
      </c>
      <c r="Q148" t="s">
        <v>15</v>
      </c>
    </row>
    <row r="149" spans="1:17" x14ac:dyDescent="0.25">
      <c r="A149">
        <v>148</v>
      </c>
      <c r="B149">
        <v>195</v>
      </c>
      <c r="C149" t="s">
        <v>45</v>
      </c>
      <c r="D149" t="s">
        <v>58</v>
      </c>
      <c r="E149" t="s">
        <v>107</v>
      </c>
      <c r="F149" t="s">
        <v>19</v>
      </c>
      <c r="G149" t="s">
        <v>26</v>
      </c>
      <c r="H149" t="s">
        <v>21</v>
      </c>
      <c r="I149" t="s">
        <v>55</v>
      </c>
      <c r="J149" t="s">
        <v>149</v>
      </c>
      <c r="K149" t="s">
        <v>23</v>
      </c>
      <c r="L149">
        <v>3727</v>
      </c>
      <c r="M149" s="4">
        <v>46.527377100000002</v>
      </c>
      <c r="N149" s="4">
        <v>1.9557248642172037E-3</v>
      </c>
      <c r="O149" s="4">
        <v>-8.507973645006961E-2</v>
      </c>
      <c r="P149" s="1" t="str">
        <f>HYPERLINK(".\sm_car_260613_0458\sm_car_260613_0458_148_Ca195TrN_MaMPK_DrSt_ode23t_1.png","figure")</f>
        <v>figure</v>
      </c>
      <c r="Q149" t="s">
        <v>15</v>
      </c>
    </row>
    <row r="150" spans="1:17" x14ac:dyDescent="0.25">
      <c r="A150">
        <v>149</v>
      </c>
      <c r="B150">
        <v>195</v>
      </c>
      <c r="C150" t="s">
        <v>45</v>
      </c>
      <c r="D150" t="s">
        <v>58</v>
      </c>
      <c r="E150" t="s">
        <v>107</v>
      </c>
      <c r="F150" t="s">
        <v>19</v>
      </c>
      <c r="G150" t="s">
        <v>26</v>
      </c>
      <c r="H150" t="s">
        <v>21</v>
      </c>
      <c r="I150" t="s">
        <v>56</v>
      </c>
      <c r="J150" t="s">
        <v>148</v>
      </c>
      <c r="K150" t="s">
        <v>23</v>
      </c>
      <c r="L150">
        <v>2926</v>
      </c>
      <c r="M150" s="4">
        <v>40.759464100000002</v>
      </c>
      <c r="N150" s="4">
        <v>0.774180278586174</v>
      </c>
      <c r="O150" s="4">
        <v>-0.36221863436089891</v>
      </c>
      <c r="P150" s="1" t="str">
        <f>HYPERLINK(".\sm_car_260613_0458\sm_car_260613_0458_149_Ca195TrN_MaMPC_DrSt_ode23t_1.png","figure")</f>
        <v>figure</v>
      </c>
      <c r="Q150" t="s">
        <v>15</v>
      </c>
    </row>
    <row r="151" spans="1:17" x14ac:dyDescent="0.25">
      <c r="A151">
        <v>150</v>
      </c>
      <c r="B151">
        <v>195</v>
      </c>
      <c r="C151" t="s">
        <v>45</v>
      </c>
      <c r="D151" t="s">
        <v>58</v>
      </c>
      <c r="E151" t="s">
        <v>107</v>
      </c>
      <c r="F151" t="s">
        <v>19</v>
      </c>
      <c r="G151" t="s">
        <v>26</v>
      </c>
      <c r="H151" t="s">
        <v>21</v>
      </c>
      <c r="I151" t="s">
        <v>56</v>
      </c>
      <c r="J151" t="s">
        <v>149</v>
      </c>
      <c r="K151" t="s">
        <v>23</v>
      </c>
      <c r="L151">
        <v>3374</v>
      </c>
      <c r="M151" s="4">
        <v>45.6051419</v>
      </c>
      <c r="N151" s="4">
        <v>0.78833239754914608</v>
      </c>
      <c r="O151" s="4">
        <v>2.5165669241250171E-2</v>
      </c>
      <c r="P151" s="1" t="str">
        <f>HYPERLINK(".\sm_car_260613_0458\sm_car_260613_0458_150_Ca195TrN_MaMPC_DrSt_ode23t_1.png","figure")</f>
        <v>figure</v>
      </c>
      <c r="Q151" t="s">
        <v>15</v>
      </c>
    </row>
    <row r="152" spans="1:17" x14ac:dyDescent="0.25">
      <c r="A152">
        <v>151</v>
      </c>
      <c r="B152">
        <v>198</v>
      </c>
      <c r="C152" t="s">
        <v>105</v>
      </c>
      <c r="D152" t="s">
        <v>120</v>
      </c>
      <c r="E152" t="s">
        <v>107</v>
      </c>
      <c r="F152" t="s">
        <v>19</v>
      </c>
      <c r="G152" t="s">
        <v>20</v>
      </c>
      <c r="H152" t="s">
        <v>21</v>
      </c>
      <c r="I152" t="s">
        <v>55</v>
      </c>
      <c r="J152" t="s">
        <v>148</v>
      </c>
      <c r="K152" t="s">
        <v>23</v>
      </c>
      <c r="L152">
        <v>2278</v>
      </c>
      <c r="M152" s="4">
        <v>34.318183900000001</v>
      </c>
      <c r="N152" s="4">
        <v>-8.5735388843032195E-3</v>
      </c>
      <c r="O152" s="4">
        <v>-0.7430773875855452</v>
      </c>
      <c r="P152" s="1" t="str">
        <f>HYPERLINK(".\sm_car_260613_0458\sm_car_260613_0458_151_Ca198TrN_MaMPK_DrSt_ode23t_1.png","figure")</f>
        <v>figure</v>
      </c>
      <c r="Q152" t="s">
        <v>15</v>
      </c>
    </row>
    <row r="153" spans="1:17" x14ac:dyDescent="0.25">
      <c r="A153">
        <v>152</v>
      </c>
      <c r="B153">
        <v>198</v>
      </c>
      <c r="C153" t="s">
        <v>105</v>
      </c>
      <c r="D153" t="s">
        <v>120</v>
      </c>
      <c r="E153" t="s">
        <v>107</v>
      </c>
      <c r="F153" t="s">
        <v>19</v>
      </c>
      <c r="G153" t="s">
        <v>20</v>
      </c>
      <c r="H153" t="s">
        <v>21</v>
      </c>
      <c r="I153" t="s">
        <v>55</v>
      </c>
      <c r="J153" t="s">
        <v>149</v>
      </c>
      <c r="K153" t="s">
        <v>23</v>
      </c>
      <c r="L153">
        <v>2550</v>
      </c>
      <c r="M153" s="4">
        <v>38.013540900000002</v>
      </c>
      <c r="N153" s="4">
        <v>-8.4844534785731007E-3</v>
      </c>
      <c r="O153" s="4">
        <v>-3.0452399384162741E-2</v>
      </c>
      <c r="P153" s="1" t="str">
        <f>HYPERLINK(".\sm_car_260613_0458\sm_car_260613_0458_152_Ca198TrN_MaMPK_DrSt_ode23t_1.png","figure")</f>
        <v>figure</v>
      </c>
      <c r="Q153" t="s">
        <v>15</v>
      </c>
    </row>
    <row r="154" spans="1:17" x14ac:dyDescent="0.25">
      <c r="A154">
        <v>153</v>
      </c>
      <c r="B154">
        <v>198</v>
      </c>
      <c r="C154" t="s">
        <v>105</v>
      </c>
      <c r="D154" t="s">
        <v>120</v>
      </c>
      <c r="E154" t="s">
        <v>107</v>
      </c>
      <c r="F154" t="s">
        <v>19</v>
      </c>
      <c r="G154" t="s">
        <v>20</v>
      </c>
      <c r="H154" t="s">
        <v>21</v>
      </c>
      <c r="I154" t="s">
        <v>56</v>
      </c>
      <c r="J154" t="s">
        <v>148</v>
      </c>
      <c r="K154" t="s">
        <v>23</v>
      </c>
      <c r="L154">
        <v>2088</v>
      </c>
      <c r="M154" s="4">
        <v>32.902883099999997</v>
      </c>
      <c r="N154" s="4">
        <v>0.78665783735535832</v>
      </c>
      <c r="O154" s="4">
        <v>-0.3379542418854885</v>
      </c>
      <c r="P154" s="1" t="str">
        <f>HYPERLINK(".\sm_car_260613_0458\sm_car_260613_0458_153_Ca198TrN_MaMPC_DrSt_ode23t_1.png","figure")</f>
        <v>figure</v>
      </c>
      <c r="Q154" t="s">
        <v>15</v>
      </c>
    </row>
    <row r="155" spans="1:17" x14ac:dyDescent="0.25">
      <c r="A155">
        <v>154</v>
      </c>
      <c r="B155">
        <v>198</v>
      </c>
      <c r="C155" t="s">
        <v>105</v>
      </c>
      <c r="D155" t="s">
        <v>120</v>
      </c>
      <c r="E155" t="s">
        <v>107</v>
      </c>
      <c r="F155" t="s">
        <v>19</v>
      </c>
      <c r="G155" t="s">
        <v>20</v>
      </c>
      <c r="H155" t="s">
        <v>21</v>
      </c>
      <c r="I155" t="s">
        <v>56</v>
      </c>
      <c r="J155" t="s">
        <v>149</v>
      </c>
      <c r="K155" t="s">
        <v>23</v>
      </c>
      <c r="L155">
        <v>2149</v>
      </c>
      <c r="M155" s="4">
        <v>33.997812799999998</v>
      </c>
      <c r="N155" s="4">
        <v>0.77998998413238141</v>
      </c>
      <c r="O155" s="4">
        <v>-8.2058491760213209E-2</v>
      </c>
      <c r="P155" s="1" t="str">
        <f>HYPERLINK(".\sm_car_260613_0458\sm_car_260613_0458_154_Ca198TrN_MaMPC_DrSt_ode23t_1.png","figure")</f>
        <v>figure</v>
      </c>
      <c r="Q155" t="s">
        <v>15</v>
      </c>
    </row>
    <row r="156" spans="1:17" x14ac:dyDescent="0.25">
      <c r="A156">
        <v>155</v>
      </c>
      <c r="B156">
        <v>151</v>
      </c>
      <c r="C156" t="s">
        <v>16</v>
      </c>
      <c r="D156" t="s">
        <v>17</v>
      </c>
      <c r="E156" t="s">
        <v>18</v>
      </c>
      <c r="F156" t="s">
        <v>19</v>
      </c>
      <c r="G156" t="s">
        <v>59</v>
      </c>
      <c r="H156" t="s">
        <v>21</v>
      </c>
      <c r="I156" t="s">
        <v>24</v>
      </c>
      <c r="J156" t="s">
        <v>148</v>
      </c>
      <c r="K156" t="s">
        <v>23</v>
      </c>
      <c r="L156">
        <v>503</v>
      </c>
      <c r="M156" s="4">
        <v>12.582095199999999</v>
      </c>
      <c r="N156" s="4">
        <v>72.158573474040494</v>
      </c>
      <c r="O156" s="4">
        <v>-0.79112498998053571</v>
      </c>
      <c r="P156" s="1" t="str">
        <f>HYPERLINK(".\sm_car_260613_0458\sm_car_260613_0458_155_Ca151TrN_MaLSS_DrSt_ode23t_1.png","figure")</f>
        <v>figure</v>
      </c>
      <c r="Q156" t="s">
        <v>15</v>
      </c>
    </row>
    <row r="157" spans="1:17" x14ac:dyDescent="0.25">
      <c r="A157">
        <v>156</v>
      </c>
      <c r="B157">
        <v>152</v>
      </c>
      <c r="C157" t="s">
        <v>16</v>
      </c>
      <c r="D157" t="s">
        <v>17</v>
      </c>
      <c r="E157" t="s">
        <v>18</v>
      </c>
      <c r="F157" t="s">
        <v>19</v>
      </c>
      <c r="G157" t="s">
        <v>60</v>
      </c>
      <c r="H157" t="s">
        <v>21</v>
      </c>
      <c r="I157" t="s">
        <v>24</v>
      </c>
      <c r="J157" t="s">
        <v>148</v>
      </c>
      <c r="K157" t="s">
        <v>23</v>
      </c>
      <c r="L157">
        <v>529</v>
      </c>
      <c r="M157" s="4">
        <v>13.752020699999999</v>
      </c>
      <c r="N157" s="4">
        <v>70.582489448570342</v>
      </c>
      <c r="O157" s="4">
        <v>-0.52552702890225911</v>
      </c>
      <c r="P157" s="1" t="str">
        <f>HYPERLINK(".\sm_car_260613_0458\sm_car_260613_0458_156_Ca152TrN_MaLSS_DrSt_ode23t_1.png","figure")</f>
        <v>figure</v>
      </c>
      <c r="Q157" t="s">
        <v>15</v>
      </c>
    </row>
    <row r="158" spans="1:17" x14ac:dyDescent="0.25">
      <c r="A158">
        <v>157</v>
      </c>
      <c r="B158">
        <v>153</v>
      </c>
      <c r="C158" t="s">
        <v>16</v>
      </c>
      <c r="D158" t="s">
        <v>17</v>
      </c>
      <c r="E158" t="s">
        <v>18</v>
      </c>
      <c r="F158" t="s">
        <v>19</v>
      </c>
      <c r="G158" t="s">
        <v>61</v>
      </c>
      <c r="H158" t="s">
        <v>21</v>
      </c>
      <c r="I158" t="s">
        <v>24</v>
      </c>
      <c r="J158" t="s">
        <v>148</v>
      </c>
      <c r="K158" t="s">
        <v>23</v>
      </c>
      <c r="L158">
        <v>545</v>
      </c>
      <c r="M158" s="4">
        <v>14.604294299999999</v>
      </c>
      <c r="N158" s="4">
        <v>70.430649948222495</v>
      </c>
      <c r="O158" s="4">
        <v>-0.86290032781101922</v>
      </c>
      <c r="P158" s="1" t="str">
        <f>HYPERLINK(".\sm_car_260613_0458\sm_car_260613_0458_157_Ca153TrN_MaLSS_DrSt_ode23t_1.png","figure")</f>
        <v>figure</v>
      </c>
      <c r="Q158" t="s">
        <v>15</v>
      </c>
    </row>
    <row r="159" spans="1:17" x14ac:dyDescent="0.25">
      <c r="A159">
        <v>158</v>
      </c>
      <c r="B159">
        <v>154</v>
      </c>
      <c r="C159" t="s">
        <v>16</v>
      </c>
      <c r="D159" t="s">
        <v>17</v>
      </c>
      <c r="E159" t="s">
        <v>18</v>
      </c>
      <c r="F159" t="s">
        <v>19</v>
      </c>
      <c r="G159" t="s">
        <v>108</v>
      </c>
      <c r="H159" t="s">
        <v>21</v>
      </c>
      <c r="I159" t="s">
        <v>24</v>
      </c>
      <c r="J159" t="s">
        <v>148</v>
      </c>
      <c r="K159" t="s">
        <v>23</v>
      </c>
      <c r="L159">
        <v>500</v>
      </c>
      <c r="M159" s="4">
        <v>17.153528900000001</v>
      </c>
      <c r="N159" s="4">
        <v>70.607147016675427</v>
      </c>
      <c r="O159" s="4">
        <v>-0.3557601453719117</v>
      </c>
      <c r="P159" s="1" t="str">
        <f>HYPERLINK(".\sm_car_260613_0458\sm_car_260613_0458_158_Ca154TrN_MaLSS_DrSt_ode23t_1.png","figure")</f>
        <v>figure</v>
      </c>
      <c r="Q159" t="s">
        <v>15</v>
      </c>
    </row>
    <row r="160" spans="1:17" x14ac:dyDescent="0.25">
      <c r="A160">
        <v>159</v>
      </c>
      <c r="B160">
        <v>155</v>
      </c>
      <c r="C160" t="s">
        <v>16</v>
      </c>
      <c r="D160" t="s">
        <v>17</v>
      </c>
      <c r="E160" t="s">
        <v>18</v>
      </c>
      <c r="F160" t="s">
        <v>19</v>
      </c>
      <c r="G160" t="s">
        <v>62</v>
      </c>
      <c r="H160" t="s">
        <v>21</v>
      </c>
      <c r="I160" t="s">
        <v>24</v>
      </c>
      <c r="J160" t="s">
        <v>148</v>
      </c>
      <c r="K160" t="s">
        <v>23</v>
      </c>
      <c r="L160">
        <v>548</v>
      </c>
      <c r="M160" s="4">
        <v>19.1758688</v>
      </c>
      <c r="N160" s="4">
        <v>70.460357685160901</v>
      </c>
      <c r="O160" s="4">
        <v>-0.83356471992057513</v>
      </c>
      <c r="P160" s="1" t="str">
        <f>HYPERLINK(".\sm_car_260613_0458\sm_car_260613_0458_159_Ca155TrN_MaLSS_DrSt_ode23t_1.png","figure")</f>
        <v>figure</v>
      </c>
      <c r="Q160" t="s">
        <v>15</v>
      </c>
    </row>
    <row r="161" spans="1:17" x14ac:dyDescent="0.25">
      <c r="A161">
        <v>160</v>
      </c>
      <c r="B161">
        <v>4</v>
      </c>
      <c r="C161" t="s">
        <v>16</v>
      </c>
      <c r="D161" t="s">
        <v>17</v>
      </c>
      <c r="E161" t="s">
        <v>18</v>
      </c>
      <c r="F161" t="s">
        <v>28</v>
      </c>
      <c r="G161" t="s">
        <v>188</v>
      </c>
      <c r="H161" t="s">
        <v>21</v>
      </c>
      <c r="I161" t="s">
        <v>22</v>
      </c>
      <c r="J161" t="s">
        <v>148</v>
      </c>
      <c r="K161" t="s">
        <v>63</v>
      </c>
      <c r="L161">
        <v>3247</v>
      </c>
      <c r="M161" s="4">
        <v>10.027229699999999</v>
      </c>
      <c r="N161" s="4">
        <v>230.12391721786827</v>
      </c>
      <c r="O161" s="4">
        <v>-2.7190338637773392E-3</v>
      </c>
      <c r="P161" s="1" t="str">
        <f>HYPERLINK(".\sm_car_260613_0458\sm_car_260613_0458_160_Ca004TrN_MaWOT_DrSt_ode3_1.png","figure")</f>
        <v>figure</v>
      </c>
      <c r="Q161" t="s">
        <v>15</v>
      </c>
    </row>
    <row r="162" spans="1:17" x14ac:dyDescent="0.25">
      <c r="A162">
        <v>161</v>
      </c>
      <c r="B162">
        <v>4</v>
      </c>
      <c r="C162" t="s">
        <v>16</v>
      </c>
      <c r="D162" t="s">
        <v>17</v>
      </c>
      <c r="E162" t="s">
        <v>18</v>
      </c>
      <c r="F162" t="s">
        <v>28</v>
      </c>
      <c r="G162" t="s">
        <v>188</v>
      </c>
      <c r="H162" t="s">
        <v>21</v>
      </c>
      <c r="I162" t="s">
        <v>24</v>
      </c>
      <c r="J162" t="s">
        <v>148</v>
      </c>
      <c r="K162" t="s">
        <v>63</v>
      </c>
      <c r="L162">
        <v>2564</v>
      </c>
      <c r="M162" s="4">
        <v>7.8282584000000002</v>
      </c>
      <c r="N162" s="4">
        <v>70.877460183569553</v>
      </c>
      <c r="O162" s="4">
        <v>-0.53377972266774365</v>
      </c>
      <c r="P162" s="1" t="str">
        <f>HYPERLINK(".\sm_car_260613_0458\sm_car_260613_0458_161_Ca004TrN_MaLSS_DrSt_ode3_1.png","figure")</f>
        <v>figure</v>
      </c>
      <c r="Q162" t="s">
        <v>15</v>
      </c>
    </row>
    <row r="163" spans="1:17" x14ac:dyDescent="0.25">
      <c r="A163">
        <v>162</v>
      </c>
      <c r="B163">
        <v>4</v>
      </c>
      <c r="C163" t="s">
        <v>16</v>
      </c>
      <c r="D163" t="s">
        <v>17</v>
      </c>
      <c r="E163" t="s">
        <v>18</v>
      </c>
      <c r="F163" t="s">
        <v>28</v>
      </c>
      <c r="G163" t="s">
        <v>188</v>
      </c>
      <c r="H163" t="s">
        <v>21</v>
      </c>
      <c r="I163" t="s">
        <v>64</v>
      </c>
      <c r="J163" t="s">
        <v>148</v>
      </c>
      <c r="K163" t="s">
        <v>63</v>
      </c>
      <c r="L163">
        <v>2562</v>
      </c>
      <c r="M163" s="4">
        <v>7.6967154000000004</v>
      </c>
      <c r="N163" s="4">
        <v>63.517181708669909</v>
      </c>
      <c r="O163" s="4">
        <v>-24.808510950198681</v>
      </c>
      <c r="P163" s="1" t="str">
        <f>HYPERLINK(".\sm_car_260613_0458\sm_car_260613_0458_162_Ca004TrN_MaTUR_DrSt_ode3_1.png","figure")</f>
        <v>figure</v>
      </c>
      <c r="Q163" t="s">
        <v>15</v>
      </c>
    </row>
    <row r="164" spans="1:17" x14ac:dyDescent="0.25">
      <c r="A164">
        <v>163</v>
      </c>
      <c r="B164">
        <v>116</v>
      </c>
      <c r="C164" t="s">
        <v>16</v>
      </c>
      <c r="D164" t="s">
        <v>35</v>
      </c>
      <c r="E164" t="s">
        <v>18</v>
      </c>
      <c r="F164" t="s">
        <v>28</v>
      </c>
      <c r="G164" t="s">
        <v>188</v>
      </c>
      <c r="H164" t="s">
        <v>21</v>
      </c>
      <c r="I164" t="s">
        <v>22</v>
      </c>
      <c r="J164" t="s">
        <v>148</v>
      </c>
      <c r="K164" t="s">
        <v>63</v>
      </c>
      <c r="L164">
        <v>3244</v>
      </c>
      <c r="M164" s="4">
        <v>4.0282428000000001</v>
      </c>
      <c r="N164" s="4">
        <v>242.69607452495515</v>
      </c>
      <c r="O164" s="4">
        <v>0.2363544606825817</v>
      </c>
      <c r="P164" s="1" t="str">
        <f>HYPERLINK(".\sm_car_260613_0458\sm_car_260613_0458_163_Ca116TrN_MaWOT_DrSt_ode3_1.png","figure")</f>
        <v>figure</v>
      </c>
      <c r="Q164" t="s">
        <v>15</v>
      </c>
    </row>
    <row r="165" spans="1:17" x14ac:dyDescent="0.25">
      <c r="A165">
        <v>164</v>
      </c>
      <c r="B165">
        <v>116</v>
      </c>
      <c r="C165" t="s">
        <v>16</v>
      </c>
      <c r="D165" t="s">
        <v>35</v>
      </c>
      <c r="E165" t="s">
        <v>18</v>
      </c>
      <c r="F165" t="s">
        <v>28</v>
      </c>
      <c r="G165" t="s">
        <v>188</v>
      </c>
      <c r="H165" t="s">
        <v>21</v>
      </c>
      <c r="I165" t="s">
        <v>24</v>
      </c>
      <c r="J165" t="s">
        <v>148</v>
      </c>
      <c r="K165" t="s">
        <v>63</v>
      </c>
      <c r="L165">
        <v>2564</v>
      </c>
      <c r="M165" s="4">
        <v>3.3476210000000002</v>
      </c>
      <c r="N165" s="4">
        <v>74.657190781020958</v>
      </c>
      <c r="O165" s="4">
        <v>-0.3407582447130062</v>
      </c>
      <c r="P165" s="1" t="str">
        <f>HYPERLINK(".\sm_car_260613_0458\sm_car_260613_0458_164_Ca116TrN_MaLSS_DrSt_ode3_1.png","figure")</f>
        <v>figure</v>
      </c>
      <c r="Q165" t="s">
        <v>15</v>
      </c>
    </row>
    <row r="166" spans="1:17" x14ac:dyDescent="0.25">
      <c r="A166">
        <v>165</v>
      </c>
      <c r="B166">
        <v>116</v>
      </c>
      <c r="C166" t="s">
        <v>16</v>
      </c>
      <c r="D166" t="s">
        <v>35</v>
      </c>
      <c r="E166" t="s">
        <v>18</v>
      </c>
      <c r="F166" t="s">
        <v>28</v>
      </c>
      <c r="G166" t="s">
        <v>188</v>
      </c>
      <c r="H166" t="s">
        <v>21</v>
      </c>
      <c r="I166" t="s">
        <v>64</v>
      </c>
      <c r="J166" t="s">
        <v>148</v>
      </c>
      <c r="K166" t="s">
        <v>63</v>
      </c>
      <c r="L166">
        <v>2563</v>
      </c>
      <c r="M166" s="4">
        <v>3.3236378000000002</v>
      </c>
      <c r="N166" s="4">
        <v>71.322015482827737</v>
      </c>
      <c r="O166" s="4">
        <v>-17.590329133627819</v>
      </c>
      <c r="P166" s="1" t="str">
        <f>HYPERLINK(".\sm_car_260613_0458\sm_car_260613_0458_165_Ca116TrN_MaTUR_DrSt_ode3_1.png","figure")</f>
        <v>figure</v>
      </c>
      <c r="Q166" t="s">
        <v>15</v>
      </c>
    </row>
    <row r="167" spans="1:17" x14ac:dyDescent="0.25">
      <c r="A167">
        <v>166</v>
      </c>
      <c r="B167">
        <v>124</v>
      </c>
      <c r="C167" t="s">
        <v>16</v>
      </c>
      <c r="D167" t="s">
        <v>35</v>
      </c>
      <c r="E167" t="s">
        <v>49</v>
      </c>
      <c r="F167" t="s">
        <v>28</v>
      </c>
      <c r="G167" t="s">
        <v>188</v>
      </c>
      <c r="H167" t="s">
        <v>21</v>
      </c>
      <c r="I167" t="s">
        <v>22</v>
      </c>
      <c r="J167" t="s">
        <v>148</v>
      </c>
      <c r="K167" t="s">
        <v>63</v>
      </c>
      <c r="L167">
        <v>3244</v>
      </c>
      <c r="M167" s="4">
        <v>2.3087799000000002</v>
      </c>
      <c r="N167" s="4">
        <v>242.87242715532983</v>
      </c>
      <c r="O167" s="4">
        <v>0.23615865807342021</v>
      </c>
      <c r="P167" s="1" t="str">
        <f>HYPERLINK(".\sm_car_260613_0458\sm_car_260613_0458_166_Ca124TrN_MaWOT_DrSt_ode3_1.png","figure")</f>
        <v>figure</v>
      </c>
      <c r="Q167" t="s">
        <v>15</v>
      </c>
    </row>
    <row r="168" spans="1:17" x14ac:dyDescent="0.25">
      <c r="A168">
        <v>167</v>
      </c>
      <c r="B168">
        <v>124</v>
      </c>
      <c r="C168" t="s">
        <v>16</v>
      </c>
      <c r="D168" t="s">
        <v>35</v>
      </c>
      <c r="E168" t="s">
        <v>49</v>
      </c>
      <c r="F168" t="s">
        <v>28</v>
      </c>
      <c r="G168" t="s">
        <v>188</v>
      </c>
      <c r="H168" t="s">
        <v>21</v>
      </c>
      <c r="I168" t="s">
        <v>24</v>
      </c>
      <c r="J168" t="s">
        <v>148</v>
      </c>
      <c r="K168" t="s">
        <v>63</v>
      </c>
      <c r="L168">
        <v>2565</v>
      </c>
      <c r="M168" s="4">
        <v>1.8497964</v>
      </c>
      <c r="N168" s="4">
        <v>74.796106047635263</v>
      </c>
      <c r="O168" s="4">
        <v>-0.34233746036970669</v>
      </c>
      <c r="P168" s="1" t="str">
        <f>HYPERLINK(".\sm_car_260613_0458\sm_car_260613_0458_167_Ca124TrN_MaLSS_DrSt_ode3_1.png","figure")</f>
        <v>figure</v>
      </c>
      <c r="Q168" t="s">
        <v>15</v>
      </c>
    </row>
    <row r="169" spans="1:17" x14ac:dyDescent="0.25">
      <c r="A169">
        <v>168</v>
      </c>
      <c r="B169">
        <v>124</v>
      </c>
      <c r="C169" t="s">
        <v>16</v>
      </c>
      <c r="D169" t="s">
        <v>35</v>
      </c>
      <c r="E169" t="s">
        <v>49</v>
      </c>
      <c r="F169" t="s">
        <v>28</v>
      </c>
      <c r="G169" t="s">
        <v>188</v>
      </c>
      <c r="H169" t="s">
        <v>21</v>
      </c>
      <c r="I169" t="s">
        <v>64</v>
      </c>
      <c r="J169" t="s">
        <v>148</v>
      </c>
      <c r="K169" t="s">
        <v>63</v>
      </c>
      <c r="L169">
        <v>2564</v>
      </c>
      <c r="M169" s="4">
        <v>1.8374459999999999</v>
      </c>
      <c r="N169" s="4">
        <v>71.447408148581204</v>
      </c>
      <c r="O169" s="4">
        <v>-17.636376331807366</v>
      </c>
      <c r="P169" s="1" t="str">
        <f>HYPERLINK(".\sm_car_260613_0458\sm_car_260613_0458_168_Ca124TrN_MaTUR_DrSt_ode3_1.png","figure")</f>
        <v>figure</v>
      </c>
      <c r="Q169" t="s">
        <v>15</v>
      </c>
    </row>
    <row r="170" spans="1:17" x14ac:dyDescent="0.25">
      <c r="A170">
        <v>169</v>
      </c>
      <c r="B170">
        <v>141</v>
      </c>
      <c r="C170" t="s">
        <v>45</v>
      </c>
      <c r="D170" t="s">
        <v>17</v>
      </c>
      <c r="E170" t="s">
        <v>18</v>
      </c>
      <c r="F170" t="s">
        <v>28</v>
      </c>
      <c r="G170" t="s">
        <v>26</v>
      </c>
      <c r="H170" t="s">
        <v>21</v>
      </c>
      <c r="I170" t="s">
        <v>22</v>
      </c>
      <c r="J170" t="s">
        <v>148</v>
      </c>
      <c r="K170" t="s">
        <v>63</v>
      </c>
      <c r="L170">
        <v>3839</v>
      </c>
      <c r="M170" s="4">
        <v>12.9752639</v>
      </c>
      <c r="N170" s="4">
        <v>402.30863495617422</v>
      </c>
      <c r="O170" s="4">
        <v>1.6338397315292668</v>
      </c>
      <c r="P170" s="1" t="str">
        <f>HYPERLINK(".\sm_car_260613_0458\sm_car_260613_0458_169_Ca141TrN_MaWOT_DrSt_ode3_1.png","figure")</f>
        <v>figure</v>
      </c>
      <c r="Q170" t="s">
        <v>15</v>
      </c>
    </row>
    <row r="171" spans="1:17" x14ac:dyDescent="0.25">
      <c r="A171">
        <v>170</v>
      </c>
      <c r="B171">
        <v>141</v>
      </c>
      <c r="C171" t="s">
        <v>45</v>
      </c>
      <c r="D171" t="s">
        <v>17</v>
      </c>
      <c r="E171" t="s">
        <v>18</v>
      </c>
      <c r="F171" t="s">
        <v>28</v>
      </c>
      <c r="G171" t="s">
        <v>26</v>
      </c>
      <c r="H171" t="s">
        <v>21</v>
      </c>
      <c r="I171" t="s">
        <v>24</v>
      </c>
      <c r="J171" t="s">
        <v>148</v>
      </c>
      <c r="K171" t="s">
        <v>63</v>
      </c>
      <c r="L171">
        <v>3192</v>
      </c>
      <c r="M171" s="4">
        <v>11.1837327</v>
      </c>
      <c r="N171" s="4">
        <v>153.16103252931833</v>
      </c>
      <c r="O171" s="4">
        <v>-0.57333301644331658</v>
      </c>
      <c r="P171" s="1" t="str">
        <f>HYPERLINK(".\sm_car_260613_0458\sm_car_260613_0458_170_Ca141TrN_MaLSS_DrSt_ode3_1.png","figure")</f>
        <v>figure</v>
      </c>
      <c r="Q171" t="s">
        <v>15</v>
      </c>
    </row>
    <row r="172" spans="1:17" x14ac:dyDescent="0.25">
      <c r="A172">
        <v>171</v>
      </c>
      <c r="B172">
        <v>141</v>
      </c>
      <c r="C172" t="s">
        <v>45</v>
      </c>
      <c r="D172" t="s">
        <v>17</v>
      </c>
      <c r="E172" t="s">
        <v>18</v>
      </c>
      <c r="F172" t="s">
        <v>28</v>
      </c>
      <c r="G172" t="s">
        <v>26</v>
      </c>
      <c r="H172" t="s">
        <v>21</v>
      </c>
      <c r="I172" t="s">
        <v>64</v>
      </c>
      <c r="J172" t="s">
        <v>148</v>
      </c>
      <c r="K172" t="s">
        <v>63</v>
      </c>
      <c r="L172">
        <v>3161</v>
      </c>
      <c r="M172" s="4">
        <v>11.070070599999999</v>
      </c>
      <c r="N172" s="4">
        <v>98.182502301574189</v>
      </c>
      <c r="O172" s="4">
        <v>-86.478323075534789</v>
      </c>
      <c r="P172" s="1" t="str">
        <f>HYPERLINK(".\sm_car_260613_0458\sm_car_260613_0458_171_Ca141TrN_MaTUR_DrSt_ode3_1.png","figure")</f>
        <v>figure</v>
      </c>
      <c r="Q172" t="s">
        <v>15</v>
      </c>
    </row>
    <row r="173" spans="1:17" x14ac:dyDescent="0.25">
      <c r="A173">
        <v>172</v>
      </c>
      <c r="B173">
        <v>145</v>
      </c>
      <c r="C173" t="s">
        <v>46</v>
      </c>
      <c r="D173" t="s">
        <v>17</v>
      </c>
      <c r="E173" t="s">
        <v>50</v>
      </c>
      <c r="F173" t="s">
        <v>19</v>
      </c>
      <c r="G173" t="s">
        <v>26</v>
      </c>
      <c r="H173" t="s">
        <v>21</v>
      </c>
      <c r="I173" t="s">
        <v>22</v>
      </c>
      <c r="J173" t="s">
        <v>148</v>
      </c>
      <c r="K173" t="s">
        <v>63</v>
      </c>
      <c r="L173">
        <v>2642</v>
      </c>
      <c r="M173" s="4">
        <v>7.9098103999999996</v>
      </c>
      <c r="N173" s="4">
        <v>62.801313298608221</v>
      </c>
      <c r="O173" s="4">
        <v>1.2893842335469084E-2</v>
      </c>
      <c r="P173" s="1" t="str">
        <f>HYPERLINK(".\sm_car_260613_0458\sm_car_260613_0458_172_Ca145TrN_MaWOT_DrSt_ode3_1.png","figure")</f>
        <v>figure</v>
      </c>
      <c r="Q173" t="s">
        <v>15</v>
      </c>
    </row>
    <row r="174" spans="1:17" x14ac:dyDescent="0.25">
      <c r="A174">
        <v>173</v>
      </c>
      <c r="B174">
        <v>145</v>
      </c>
      <c r="C174" t="s">
        <v>46</v>
      </c>
      <c r="D174" t="s">
        <v>17</v>
      </c>
      <c r="E174" t="s">
        <v>50</v>
      </c>
      <c r="F174" t="s">
        <v>19</v>
      </c>
      <c r="G174" t="s">
        <v>26</v>
      </c>
      <c r="H174" t="s">
        <v>21</v>
      </c>
      <c r="I174" t="s">
        <v>24</v>
      </c>
      <c r="J174" t="s">
        <v>148</v>
      </c>
      <c r="K174" t="s">
        <v>63</v>
      </c>
      <c r="L174">
        <v>2382</v>
      </c>
      <c r="M174" s="4">
        <v>7.1598167999999998</v>
      </c>
      <c r="N174" s="4">
        <v>25.299765577118411</v>
      </c>
      <c r="O174" s="4">
        <v>-5.1070003004616386E-2</v>
      </c>
      <c r="P174" s="1" t="str">
        <f>HYPERLINK(".\sm_car_260613_0458\sm_car_260613_0458_173_Ca145TrN_MaLSS_DrSt_ode3_1.png","figure")</f>
        <v>figure</v>
      </c>
      <c r="Q174" t="s">
        <v>15</v>
      </c>
    </row>
    <row r="175" spans="1:17" x14ac:dyDescent="0.25">
      <c r="A175">
        <v>174</v>
      </c>
      <c r="B175">
        <v>145</v>
      </c>
      <c r="C175" t="s">
        <v>46</v>
      </c>
      <c r="D175" t="s">
        <v>17</v>
      </c>
      <c r="E175" t="s">
        <v>50</v>
      </c>
      <c r="F175" t="s">
        <v>19</v>
      </c>
      <c r="G175" t="s">
        <v>26</v>
      </c>
      <c r="H175" t="s">
        <v>21</v>
      </c>
      <c r="I175" t="s">
        <v>64</v>
      </c>
      <c r="J175" t="s">
        <v>148</v>
      </c>
      <c r="K175" t="s">
        <v>63</v>
      </c>
      <c r="L175">
        <v>2379</v>
      </c>
      <c r="M175" s="4">
        <v>7.1719318000000003</v>
      </c>
      <c r="N175" s="4">
        <v>25.119346970662672</v>
      </c>
      <c r="O175" s="4">
        <v>-2.6098494503383183</v>
      </c>
      <c r="P175" s="1" t="str">
        <f>HYPERLINK(".\sm_car_260613_0458\sm_car_260613_0458_174_Ca145TrN_MaTUR_DrSt_ode3_1.png","figure")</f>
        <v>figure</v>
      </c>
      <c r="Q175" t="s">
        <v>15</v>
      </c>
    </row>
    <row r="176" spans="1:17" x14ac:dyDescent="0.25">
      <c r="A176">
        <v>175</v>
      </c>
      <c r="B176">
        <v>199</v>
      </c>
      <c r="C176" t="s">
        <v>46</v>
      </c>
      <c r="D176" t="s">
        <v>17</v>
      </c>
      <c r="E176" t="s">
        <v>109</v>
      </c>
      <c r="F176" t="s">
        <v>19</v>
      </c>
      <c r="G176" t="s">
        <v>26</v>
      </c>
      <c r="H176" t="s">
        <v>21</v>
      </c>
      <c r="I176" t="s">
        <v>22</v>
      </c>
      <c r="J176" t="s">
        <v>148</v>
      </c>
      <c r="K176" t="s">
        <v>63</v>
      </c>
      <c r="L176">
        <v>2647</v>
      </c>
      <c r="M176" s="4">
        <v>8.9576723000000005</v>
      </c>
      <c r="N176" s="4">
        <v>63.479991086186772</v>
      </c>
      <c r="O176" s="4">
        <v>-1.3351542397531919E-4</v>
      </c>
      <c r="P176" s="1" t="str">
        <f>HYPERLINK(".\sm_car_260613_0458\sm_car_260613_0458_175_Ca199TrN_MaWOT_DrSt_ode3_1.png","figure")</f>
        <v>figure</v>
      </c>
      <c r="Q176" t="s">
        <v>15</v>
      </c>
    </row>
    <row r="177" spans="1:17" x14ac:dyDescent="0.25">
      <c r="A177">
        <v>176</v>
      </c>
      <c r="B177">
        <v>199</v>
      </c>
      <c r="C177" t="s">
        <v>46</v>
      </c>
      <c r="D177" t="s">
        <v>17</v>
      </c>
      <c r="E177" t="s">
        <v>109</v>
      </c>
      <c r="F177" t="s">
        <v>19</v>
      </c>
      <c r="G177" t="s">
        <v>26</v>
      </c>
      <c r="H177" t="s">
        <v>21</v>
      </c>
      <c r="I177" t="s">
        <v>24</v>
      </c>
      <c r="J177" t="s">
        <v>148</v>
      </c>
      <c r="K177" t="s">
        <v>63</v>
      </c>
      <c r="L177">
        <v>2385</v>
      </c>
      <c r="M177" s="4">
        <v>8.1328408000000003</v>
      </c>
      <c r="N177" s="4">
        <v>25.919543247611728</v>
      </c>
      <c r="O177" s="4">
        <v>-5.3777383538012799E-2</v>
      </c>
      <c r="P177" s="1" t="str">
        <f>HYPERLINK(".\sm_car_260613_0458\sm_car_260613_0458_176_Ca199TrN_MaLSS_DrSt_ode3_1.png","figure")</f>
        <v>figure</v>
      </c>
      <c r="Q177" t="s">
        <v>15</v>
      </c>
    </row>
    <row r="178" spans="1:17" x14ac:dyDescent="0.25">
      <c r="A178">
        <v>177</v>
      </c>
      <c r="B178">
        <v>199</v>
      </c>
      <c r="C178" t="s">
        <v>46</v>
      </c>
      <c r="D178" t="s">
        <v>17</v>
      </c>
      <c r="E178" t="s">
        <v>109</v>
      </c>
      <c r="F178" t="s">
        <v>19</v>
      </c>
      <c r="G178" t="s">
        <v>26</v>
      </c>
      <c r="H178" t="s">
        <v>21</v>
      </c>
      <c r="I178" t="s">
        <v>64</v>
      </c>
      <c r="J178" t="s">
        <v>148</v>
      </c>
      <c r="K178" t="s">
        <v>63</v>
      </c>
      <c r="L178">
        <v>2383</v>
      </c>
      <c r="M178" s="4">
        <v>8.1224510999999993</v>
      </c>
      <c r="N178" s="4">
        <v>25.733626918673806</v>
      </c>
      <c r="O178" s="4">
        <v>-2.6936807199068045</v>
      </c>
      <c r="P178" s="1" t="str">
        <f>HYPERLINK(".\sm_car_260613_0458\sm_car_260613_0458_177_Ca199TrN_MaTUR_DrSt_ode3_1.png","figure")</f>
        <v>figure</v>
      </c>
      <c r="Q178" t="s">
        <v>15</v>
      </c>
    </row>
    <row r="179" spans="1:17" x14ac:dyDescent="0.25">
      <c r="A179">
        <v>178</v>
      </c>
      <c r="B179">
        <v>139</v>
      </c>
      <c r="C179" t="s">
        <v>45</v>
      </c>
      <c r="D179" t="s">
        <v>17</v>
      </c>
      <c r="E179" t="s">
        <v>18</v>
      </c>
      <c r="F179" t="s">
        <v>19</v>
      </c>
      <c r="G179" t="s">
        <v>26</v>
      </c>
      <c r="H179" t="s">
        <v>21</v>
      </c>
      <c r="I179" t="s">
        <v>53</v>
      </c>
      <c r="J179" t="s">
        <v>148</v>
      </c>
      <c r="K179" t="s">
        <v>23</v>
      </c>
      <c r="L179">
        <v>524</v>
      </c>
      <c r="M179" s="4">
        <v>11.479525600000001</v>
      </c>
      <c r="N179" s="4">
        <v>253.99676452488802</v>
      </c>
      <c r="O179" s="4">
        <v>-8.6149756927254018E-3</v>
      </c>
      <c r="P179" s="1" t="str">
        <f>HYPERLINK(".\sm_car_260613_0458\sm_car_260613_0458_178_Ca139TrN_MaDLC_DrSt_ode23t_1.png","figure")</f>
        <v>figure</v>
      </c>
      <c r="Q179" t="s">
        <v>15</v>
      </c>
    </row>
    <row r="180" spans="1:17" x14ac:dyDescent="0.25">
      <c r="A180">
        <v>179</v>
      </c>
      <c r="B180">
        <v>139</v>
      </c>
      <c r="C180" t="s">
        <v>45</v>
      </c>
      <c r="D180" t="s">
        <v>17</v>
      </c>
      <c r="E180" t="s">
        <v>18</v>
      </c>
      <c r="F180" t="s">
        <v>19</v>
      </c>
      <c r="G180" t="s">
        <v>26</v>
      </c>
      <c r="H180" t="s">
        <v>65</v>
      </c>
      <c r="I180" t="s">
        <v>53</v>
      </c>
      <c r="J180" t="s">
        <v>148</v>
      </c>
      <c r="K180" t="s">
        <v>23</v>
      </c>
      <c r="L180">
        <v>815</v>
      </c>
      <c r="M180" s="4">
        <v>33.0080332</v>
      </c>
      <c r="N180" s="4">
        <v>253.80160384792362</v>
      </c>
      <c r="O180" s="4">
        <v>7.3828787203487067E-3</v>
      </c>
      <c r="P180" s="1" t="str">
        <f>HYPERLINK(".\sm_car_260613_0458\sm_car_260613_0458_179_Ca139TrE_MaDLC_DrSt_ode23t_1.png","figure")</f>
        <v>figure</v>
      </c>
      <c r="Q180" t="s">
        <v>15</v>
      </c>
    </row>
    <row r="181" spans="1:17" x14ac:dyDescent="0.25">
      <c r="A181">
        <v>180</v>
      </c>
      <c r="B181">
        <v>139</v>
      </c>
      <c r="C181" t="s">
        <v>45</v>
      </c>
      <c r="D181" t="s">
        <v>17</v>
      </c>
      <c r="E181" t="s">
        <v>18</v>
      </c>
      <c r="F181" t="s">
        <v>19</v>
      </c>
      <c r="G181" t="s">
        <v>26</v>
      </c>
      <c r="H181" t="s">
        <v>66</v>
      </c>
      <c r="I181" t="s">
        <v>53</v>
      </c>
      <c r="J181" t="s">
        <v>148</v>
      </c>
      <c r="K181" t="s">
        <v>23</v>
      </c>
      <c r="L181">
        <v>857</v>
      </c>
      <c r="M181" s="4">
        <v>35.933042999999998</v>
      </c>
      <c r="N181" s="4">
        <v>256.58900117886174</v>
      </c>
      <c r="O181" s="4">
        <v>-6.6800113465834698E-3</v>
      </c>
      <c r="P181" s="1" t="str">
        <f>HYPERLINK(".\sm_car_260613_0458\sm_car_260613_0458_180_Ca139TrT_MaDLC_DrSt_ode23t_1.png","figure")</f>
        <v>figure</v>
      </c>
      <c r="Q181" t="s">
        <v>15</v>
      </c>
    </row>
    <row r="182" spans="1:17" x14ac:dyDescent="0.25">
      <c r="A182">
        <v>181</v>
      </c>
      <c r="B182">
        <v>139</v>
      </c>
      <c r="C182" t="s">
        <v>45</v>
      </c>
      <c r="D182" t="s">
        <v>17</v>
      </c>
      <c r="E182" t="s">
        <v>18</v>
      </c>
      <c r="F182" t="s">
        <v>19</v>
      </c>
      <c r="G182" t="s">
        <v>26</v>
      </c>
      <c r="H182" t="s">
        <v>65</v>
      </c>
      <c r="I182" t="s">
        <v>53</v>
      </c>
      <c r="J182" t="s">
        <v>148</v>
      </c>
      <c r="K182" t="s">
        <v>23</v>
      </c>
      <c r="L182">
        <v>936</v>
      </c>
      <c r="M182" s="4">
        <v>26.9378417</v>
      </c>
      <c r="N182" s="4">
        <v>253.38042401563018</v>
      </c>
      <c r="O182" s="4">
        <v>0.16724169237921149</v>
      </c>
      <c r="P182" s="1" t="str">
        <f>HYPERLINK(".\sm_car_260613_0458\sm_car_260613_0458_181_Ca139TrE_MaDLC_DrSt_ode23t_1.png","figure")</f>
        <v>figure</v>
      </c>
      <c r="Q182" t="s">
        <v>15</v>
      </c>
    </row>
    <row r="183" spans="1:17" x14ac:dyDescent="0.25">
      <c r="A183">
        <v>182</v>
      </c>
      <c r="B183">
        <v>2</v>
      </c>
      <c r="C183" t="s">
        <v>16</v>
      </c>
      <c r="D183" t="s">
        <v>17</v>
      </c>
      <c r="E183" t="s">
        <v>18</v>
      </c>
      <c r="F183" t="s">
        <v>19</v>
      </c>
      <c r="G183" t="s">
        <v>188</v>
      </c>
      <c r="H183" t="s">
        <v>21</v>
      </c>
      <c r="I183" t="s">
        <v>53</v>
      </c>
      <c r="J183" t="s">
        <v>148</v>
      </c>
      <c r="K183" t="s">
        <v>23</v>
      </c>
      <c r="L183">
        <v>527</v>
      </c>
      <c r="M183" s="4">
        <v>9.9932747000000006</v>
      </c>
      <c r="N183" s="4">
        <v>254.3980921395289</v>
      </c>
      <c r="O183" s="4">
        <v>4.309435175936116E-2</v>
      </c>
      <c r="P183" s="1" t="str">
        <f>HYPERLINK(".\sm_car_260613_0458\sm_car_260613_0458_182_Ca002TrN_MaDLC_DrSt_ode23t_1.png","figure")</f>
        <v>figure</v>
      </c>
      <c r="Q183" t="s">
        <v>15</v>
      </c>
    </row>
    <row r="184" spans="1:17" x14ac:dyDescent="0.25">
      <c r="A184">
        <v>183</v>
      </c>
      <c r="B184">
        <v>2</v>
      </c>
      <c r="C184" t="s">
        <v>16</v>
      </c>
      <c r="D184" t="s">
        <v>17</v>
      </c>
      <c r="E184" t="s">
        <v>18</v>
      </c>
      <c r="F184" t="s">
        <v>19</v>
      </c>
      <c r="G184" t="s">
        <v>188</v>
      </c>
      <c r="H184" t="s">
        <v>65</v>
      </c>
      <c r="I184" t="s">
        <v>53</v>
      </c>
      <c r="J184" t="s">
        <v>148</v>
      </c>
      <c r="K184" t="s">
        <v>23</v>
      </c>
      <c r="L184">
        <v>555</v>
      </c>
      <c r="M184" s="4">
        <v>19.641454</v>
      </c>
      <c r="N184" s="4">
        <v>255.03264664219012</v>
      </c>
      <c r="O184" s="4">
        <v>4.1463938932376543E-2</v>
      </c>
      <c r="P184" s="1" t="str">
        <f>HYPERLINK(".\sm_car_260613_0458\sm_car_260613_0458_183_Ca002TrE_MaDLC_DrSt_ode23t_1.png","figure")</f>
        <v>figure</v>
      </c>
      <c r="Q184" t="s">
        <v>15</v>
      </c>
    </row>
    <row r="185" spans="1:17" x14ac:dyDescent="0.25">
      <c r="A185">
        <v>184</v>
      </c>
      <c r="B185">
        <v>2</v>
      </c>
      <c r="C185" t="s">
        <v>16</v>
      </c>
      <c r="D185" t="s">
        <v>17</v>
      </c>
      <c r="E185" t="s">
        <v>18</v>
      </c>
      <c r="F185" t="s">
        <v>19</v>
      </c>
      <c r="G185" t="s">
        <v>188</v>
      </c>
      <c r="H185" t="s">
        <v>66</v>
      </c>
      <c r="I185" t="s">
        <v>53</v>
      </c>
      <c r="J185" t="s">
        <v>148</v>
      </c>
      <c r="K185" t="s">
        <v>23</v>
      </c>
      <c r="L185">
        <v>857</v>
      </c>
      <c r="M185" s="4">
        <v>27.1135573</v>
      </c>
      <c r="N185" s="4">
        <v>253.4148112528311</v>
      </c>
      <c r="O185" s="4">
        <v>4.6705041521387436E-2</v>
      </c>
      <c r="P185" s="1" t="str">
        <f>HYPERLINK(".\sm_car_260613_0458\sm_car_260613_0458_184_Ca002TrT_MaDLC_DrSt_ode23t_1.png","figure")</f>
        <v>figure</v>
      </c>
      <c r="Q185" t="s">
        <v>15</v>
      </c>
    </row>
    <row r="186" spans="1:17" x14ac:dyDescent="0.25">
      <c r="A186">
        <v>185</v>
      </c>
      <c r="B186">
        <v>2</v>
      </c>
      <c r="C186" t="s">
        <v>16</v>
      </c>
      <c r="D186" t="s">
        <v>17</v>
      </c>
      <c r="E186" t="s">
        <v>18</v>
      </c>
      <c r="F186" t="s">
        <v>19</v>
      </c>
      <c r="G186" t="s">
        <v>188</v>
      </c>
      <c r="H186" t="s">
        <v>65</v>
      </c>
      <c r="I186" t="s">
        <v>53</v>
      </c>
      <c r="J186" t="s">
        <v>148</v>
      </c>
      <c r="K186" t="s">
        <v>23</v>
      </c>
      <c r="L186">
        <v>563</v>
      </c>
      <c r="M186" s="4">
        <v>13.7324837</v>
      </c>
      <c r="N186" s="4">
        <v>253.21717308073283</v>
      </c>
      <c r="O186" s="4">
        <v>4.8158266585414111E-2</v>
      </c>
      <c r="P186" s="1" t="str">
        <f>HYPERLINK(".\sm_car_260613_0458\sm_car_260613_0458_185_Ca002TrE_MaDLC_DrSt_ode23t_1.png","figure")</f>
        <v>figure</v>
      </c>
      <c r="Q186" t="s">
        <v>15</v>
      </c>
    </row>
    <row r="187" spans="1:17" x14ac:dyDescent="0.25">
      <c r="A187">
        <v>186</v>
      </c>
      <c r="B187">
        <v>145</v>
      </c>
      <c r="C187" t="s">
        <v>46</v>
      </c>
      <c r="D187" t="s">
        <v>17</v>
      </c>
      <c r="E187" t="s">
        <v>50</v>
      </c>
      <c r="F187" t="s">
        <v>19</v>
      </c>
      <c r="G187" t="s">
        <v>26</v>
      </c>
      <c r="H187" t="s">
        <v>21</v>
      </c>
      <c r="I187" t="s">
        <v>53</v>
      </c>
      <c r="J187" t="s">
        <v>148</v>
      </c>
      <c r="K187" t="s">
        <v>23</v>
      </c>
      <c r="L187">
        <v>464</v>
      </c>
      <c r="M187" s="4">
        <v>18.616051500000001</v>
      </c>
      <c r="N187" s="4">
        <v>253.89788928119884</v>
      </c>
      <c r="O187" s="4">
        <v>7.4999592997252229E-2</v>
      </c>
      <c r="P187" s="1" t="str">
        <f>HYPERLINK(".\sm_car_260613_0458\sm_car_260613_0458_186_Ca145TrN_MaDLC_DrSt_ode23t_1.png","figure")</f>
        <v>figure</v>
      </c>
      <c r="Q187" t="s">
        <v>15</v>
      </c>
    </row>
    <row r="188" spans="1:17" x14ac:dyDescent="0.25">
      <c r="A188">
        <v>187</v>
      </c>
      <c r="B188">
        <v>145</v>
      </c>
      <c r="C188" t="s">
        <v>46</v>
      </c>
      <c r="D188" t="s">
        <v>17</v>
      </c>
      <c r="E188" t="s">
        <v>50</v>
      </c>
      <c r="F188" t="s">
        <v>19</v>
      </c>
      <c r="G188" t="s">
        <v>26</v>
      </c>
      <c r="H188" t="s">
        <v>65</v>
      </c>
      <c r="I188" t="s">
        <v>53</v>
      </c>
      <c r="J188" t="s">
        <v>148</v>
      </c>
      <c r="K188" t="s">
        <v>23</v>
      </c>
      <c r="L188">
        <v>571</v>
      </c>
      <c r="M188" s="4">
        <v>35.305638100000003</v>
      </c>
      <c r="N188" s="4">
        <v>253.78551424782256</v>
      </c>
      <c r="O188" s="4">
        <v>7.6159541067355896E-2</v>
      </c>
      <c r="P188" s="1" t="str">
        <f>HYPERLINK(".\sm_car_260613_0458\sm_car_260613_0458_187_Ca145TrE_MaDLC_DrSt_ode23t_1.png","figure")</f>
        <v>figure</v>
      </c>
      <c r="Q188" t="s">
        <v>15</v>
      </c>
    </row>
    <row r="189" spans="1:17" x14ac:dyDescent="0.25">
      <c r="A189">
        <v>188</v>
      </c>
      <c r="B189">
        <v>145</v>
      </c>
      <c r="C189" t="s">
        <v>46</v>
      </c>
      <c r="D189" t="s">
        <v>17</v>
      </c>
      <c r="E189" t="s">
        <v>50</v>
      </c>
      <c r="F189" t="s">
        <v>19</v>
      </c>
      <c r="G189" t="s">
        <v>26</v>
      </c>
      <c r="H189" t="s">
        <v>66</v>
      </c>
      <c r="I189" t="s">
        <v>53</v>
      </c>
      <c r="J189" t="s">
        <v>148</v>
      </c>
      <c r="K189" t="s">
        <v>23</v>
      </c>
      <c r="L189">
        <v>1825</v>
      </c>
      <c r="M189" s="4">
        <v>271.79187109999998</v>
      </c>
      <c r="N189" s="4">
        <v>255.19981931947939</v>
      </c>
      <c r="O189" s="4">
        <v>6.9073493590370738E-2</v>
      </c>
      <c r="P189" s="1" t="str">
        <f>HYPERLINK(".\sm_car_260613_0458\sm_car_260613_0458_188_Ca145TrT_MaDLC_DrSt_ode23t_1.png","figure")</f>
        <v>figure</v>
      </c>
      <c r="Q189" t="s">
        <v>15</v>
      </c>
    </row>
    <row r="190" spans="1:17" x14ac:dyDescent="0.25">
      <c r="A190">
        <v>189</v>
      </c>
      <c r="B190">
        <v>145</v>
      </c>
      <c r="C190" t="s">
        <v>46</v>
      </c>
      <c r="D190" t="s">
        <v>17</v>
      </c>
      <c r="E190" t="s">
        <v>50</v>
      </c>
      <c r="F190" t="s">
        <v>19</v>
      </c>
      <c r="G190" t="s">
        <v>26</v>
      </c>
      <c r="H190" t="s">
        <v>65</v>
      </c>
      <c r="I190" t="s">
        <v>53</v>
      </c>
      <c r="J190" t="s">
        <v>148</v>
      </c>
      <c r="K190" t="s">
        <v>23</v>
      </c>
      <c r="L190">
        <v>556</v>
      </c>
      <c r="M190" s="4">
        <v>29.973199000000001</v>
      </c>
      <c r="N190" s="4">
        <v>254.75003909541107</v>
      </c>
      <c r="O190" s="4">
        <v>7.1601229785727583E-2</v>
      </c>
      <c r="P190" s="1" t="str">
        <f>HYPERLINK(".\sm_car_260613_0458\sm_car_260613_0458_189_Ca145TrE_MaDLC_DrSt_ode23t_1.png","figure")</f>
        <v>figure</v>
      </c>
      <c r="Q190" t="s">
        <v>15</v>
      </c>
    </row>
    <row r="191" spans="1:17" x14ac:dyDescent="0.25">
      <c r="A191">
        <v>190</v>
      </c>
      <c r="B191">
        <v>199</v>
      </c>
      <c r="C191" t="s">
        <v>46</v>
      </c>
      <c r="D191" t="s">
        <v>17</v>
      </c>
      <c r="E191" t="s">
        <v>109</v>
      </c>
      <c r="F191" t="s">
        <v>19</v>
      </c>
      <c r="G191" t="s">
        <v>26</v>
      </c>
      <c r="H191" t="s">
        <v>21</v>
      </c>
      <c r="I191" t="s">
        <v>53</v>
      </c>
      <c r="J191" t="s">
        <v>148</v>
      </c>
      <c r="K191" t="s">
        <v>23</v>
      </c>
      <c r="L191">
        <v>462</v>
      </c>
      <c r="M191" s="4">
        <v>7.2668175000000002</v>
      </c>
      <c r="N191" s="4">
        <v>253.69267690242975</v>
      </c>
      <c r="O191" s="4">
        <v>7.60750320853818E-2</v>
      </c>
      <c r="P191" s="1" t="str">
        <f>HYPERLINK(".\sm_car_260613_0458\sm_car_260613_0458_190_Ca199TrN_MaDLC_DrSt_ode23t_1.png","figure")</f>
        <v>figure</v>
      </c>
      <c r="Q191" t="s">
        <v>15</v>
      </c>
    </row>
    <row r="192" spans="1:17" x14ac:dyDescent="0.25">
      <c r="A192">
        <v>191</v>
      </c>
      <c r="B192">
        <v>199</v>
      </c>
      <c r="C192" t="s">
        <v>46</v>
      </c>
      <c r="D192" t="s">
        <v>17</v>
      </c>
      <c r="E192" t="s">
        <v>109</v>
      </c>
      <c r="F192" t="s">
        <v>19</v>
      </c>
      <c r="G192" t="s">
        <v>26</v>
      </c>
      <c r="H192" t="s">
        <v>65</v>
      </c>
      <c r="I192" t="s">
        <v>53</v>
      </c>
      <c r="J192" t="s">
        <v>148</v>
      </c>
      <c r="K192" t="s">
        <v>23</v>
      </c>
      <c r="L192">
        <v>562</v>
      </c>
      <c r="M192" s="4">
        <v>18.7640192</v>
      </c>
      <c r="N192" s="4">
        <v>254.80349452363248</v>
      </c>
      <c r="O192" s="4">
        <v>7.1328970899537936E-2</v>
      </c>
      <c r="P192" s="1" t="str">
        <f>HYPERLINK(".\sm_car_260613_0458\sm_car_260613_0458_191_Ca199TrE_MaDLC_DrSt_ode23t_1.png","figure")</f>
        <v>figure</v>
      </c>
      <c r="Q192" t="s">
        <v>15</v>
      </c>
    </row>
    <row r="193" spans="1:17" x14ac:dyDescent="0.25">
      <c r="A193">
        <v>192</v>
      </c>
      <c r="B193">
        <v>199</v>
      </c>
      <c r="C193" t="s">
        <v>46</v>
      </c>
      <c r="D193" t="s">
        <v>17</v>
      </c>
      <c r="E193" t="s">
        <v>109</v>
      </c>
      <c r="F193" t="s">
        <v>19</v>
      </c>
      <c r="G193" t="s">
        <v>26</v>
      </c>
      <c r="H193" t="s">
        <v>66</v>
      </c>
      <c r="I193" t="s">
        <v>53</v>
      </c>
      <c r="J193" t="s">
        <v>148</v>
      </c>
      <c r="K193" t="s">
        <v>23</v>
      </c>
      <c r="L193">
        <v>801</v>
      </c>
      <c r="M193" s="4">
        <v>25.566212400000001</v>
      </c>
      <c r="N193" s="4">
        <v>256.6014022585743</v>
      </c>
      <c r="O193" s="4">
        <v>6.3306276587258736E-2</v>
      </c>
      <c r="P193" s="1" t="str">
        <f>HYPERLINK(".\sm_car_260613_0458\sm_car_260613_0458_192_Ca199TrT_MaDLC_DrSt_ode23t_1.png","figure")</f>
        <v>figure</v>
      </c>
      <c r="Q193" t="s">
        <v>15</v>
      </c>
    </row>
    <row r="194" spans="1:17" x14ac:dyDescent="0.25">
      <c r="A194">
        <v>193</v>
      </c>
      <c r="B194">
        <v>199</v>
      </c>
      <c r="C194" t="s">
        <v>46</v>
      </c>
      <c r="D194" t="s">
        <v>17</v>
      </c>
      <c r="E194" t="s">
        <v>109</v>
      </c>
      <c r="F194" t="s">
        <v>19</v>
      </c>
      <c r="G194" t="s">
        <v>26</v>
      </c>
      <c r="H194" t="s">
        <v>65</v>
      </c>
      <c r="I194" t="s">
        <v>53</v>
      </c>
      <c r="J194" t="s">
        <v>148</v>
      </c>
      <c r="K194" t="s">
        <v>23</v>
      </c>
      <c r="L194">
        <v>558</v>
      </c>
      <c r="M194" s="4">
        <v>13.6212593</v>
      </c>
      <c r="N194" s="4">
        <v>254.80462446855591</v>
      </c>
      <c r="O194" s="4">
        <v>7.1333219490246513E-2</v>
      </c>
      <c r="P194" s="1" t="str">
        <f>HYPERLINK(".\sm_car_260613_0458\sm_car_260613_0458_193_Ca199TrE_MaDLC_DrSt_ode23t_1.png","figure")</f>
        <v>figure</v>
      </c>
      <c r="Q194" t="s">
        <v>15</v>
      </c>
    </row>
    <row r="195" spans="1:17" x14ac:dyDescent="0.25">
      <c r="A195">
        <v>194</v>
      </c>
      <c r="B195">
        <v>189</v>
      </c>
      <c r="C195" t="s">
        <v>45</v>
      </c>
      <c r="D195" t="s">
        <v>17</v>
      </c>
      <c r="E195" t="s">
        <v>107</v>
      </c>
      <c r="F195" t="s">
        <v>19</v>
      </c>
      <c r="G195" t="s">
        <v>26</v>
      </c>
      <c r="H195" t="s">
        <v>65</v>
      </c>
      <c r="I195" t="s">
        <v>67</v>
      </c>
      <c r="J195" t="s">
        <v>148</v>
      </c>
      <c r="K195" t="s">
        <v>23</v>
      </c>
      <c r="L195">
        <v>541</v>
      </c>
      <c r="M195" s="4">
        <v>17.532030599999999</v>
      </c>
      <c r="N195" s="4">
        <v>261.95096399579472</v>
      </c>
      <c r="O195" s="4">
        <v>5.0011140693671905</v>
      </c>
      <c r="P195" s="1" t="str">
        <f>HYPERLINK(".\sm_car_260613_0458\sm_car_260613_0458_194_Ca189TrE_MaTRD_DrSt_ode23t_1.png","figure")</f>
        <v>figure</v>
      </c>
      <c r="Q195" t="s">
        <v>15</v>
      </c>
    </row>
    <row r="196" spans="1:17" x14ac:dyDescent="0.25">
      <c r="A196">
        <v>195</v>
      </c>
      <c r="B196">
        <v>189</v>
      </c>
      <c r="C196" t="s">
        <v>45</v>
      </c>
      <c r="D196" t="s">
        <v>17</v>
      </c>
      <c r="E196" t="s">
        <v>107</v>
      </c>
      <c r="F196" t="s">
        <v>19</v>
      </c>
      <c r="G196" t="s">
        <v>26</v>
      </c>
      <c r="H196" t="s">
        <v>65</v>
      </c>
      <c r="I196" t="s">
        <v>67</v>
      </c>
      <c r="J196" t="s">
        <v>148</v>
      </c>
      <c r="K196" t="s">
        <v>23</v>
      </c>
      <c r="L196">
        <v>636</v>
      </c>
      <c r="M196" s="4">
        <v>16.227611599999999</v>
      </c>
      <c r="N196" s="4">
        <v>261.93534942210744</v>
      </c>
      <c r="O196" s="4">
        <v>4.9447045040404118</v>
      </c>
      <c r="P196" s="1" t="str">
        <f>HYPERLINK(".\sm_car_260613_0458\sm_car_260613_0458_195_Ca189TrU_MaTRD_DrSt_ode23t_1.png","figure")</f>
        <v>figure</v>
      </c>
      <c r="Q196" t="s">
        <v>15</v>
      </c>
    </row>
    <row r="197" spans="1:17" x14ac:dyDescent="0.25">
      <c r="A197">
        <v>196</v>
      </c>
      <c r="B197">
        <v>149</v>
      </c>
      <c r="C197" t="s">
        <v>46</v>
      </c>
      <c r="D197" t="s">
        <v>17</v>
      </c>
      <c r="E197" t="s">
        <v>68</v>
      </c>
      <c r="F197" t="s">
        <v>19</v>
      </c>
      <c r="G197" t="s">
        <v>26</v>
      </c>
      <c r="H197" t="s">
        <v>21</v>
      </c>
      <c r="I197" t="s">
        <v>177</v>
      </c>
      <c r="J197" t="s">
        <v>148</v>
      </c>
      <c r="K197" t="s">
        <v>23</v>
      </c>
      <c r="L197">
        <v>996</v>
      </c>
      <c r="M197" s="4">
        <v>12.314403199999999</v>
      </c>
      <c r="N197" s="4">
        <v>-6.0042046680490735E-3</v>
      </c>
      <c r="O197" s="4">
        <v>-8.4194353618561278E-4</v>
      </c>
      <c r="P197" s="1" t="str">
        <f>HYPERLINK(".\sm_car_260613_0458\sm_car_260613_0458_196_Ca149TrN_MaPS1_DrSt_ode23t_1.png","figure")</f>
        <v>figure</v>
      </c>
      <c r="Q197" t="s">
        <v>15</v>
      </c>
    </row>
    <row r="198" spans="1:17" x14ac:dyDescent="0.25">
      <c r="A198">
        <v>197</v>
      </c>
      <c r="B198">
        <v>149</v>
      </c>
      <c r="C198" t="s">
        <v>46</v>
      </c>
      <c r="D198" t="s">
        <v>17</v>
      </c>
      <c r="E198" t="s">
        <v>68</v>
      </c>
      <c r="F198" t="s">
        <v>19</v>
      </c>
      <c r="G198" t="s">
        <v>26</v>
      </c>
      <c r="H198" t="s">
        <v>21</v>
      </c>
      <c r="I198" t="s">
        <v>178</v>
      </c>
      <c r="J198" t="s">
        <v>148</v>
      </c>
      <c r="K198" t="s">
        <v>23</v>
      </c>
      <c r="L198">
        <v>2921</v>
      </c>
      <c r="M198" s="4">
        <v>17.165896799999999</v>
      </c>
      <c r="N198" s="4">
        <v>-8.9252425239849664E-3</v>
      </c>
      <c r="O198" s="4">
        <v>5.6238743417115315E-4</v>
      </c>
      <c r="P198" s="1" t="str">
        <f>HYPERLINK(".\sm_car_260613_0458\sm_car_260613_0458_197_Ca149TrN_MaPSD_DrSt_ode23t_1.png","figure")</f>
        <v>figure</v>
      </c>
      <c r="Q198" t="s">
        <v>15</v>
      </c>
    </row>
    <row r="199" spans="1:17" x14ac:dyDescent="0.25">
      <c r="A199">
        <v>198</v>
      </c>
      <c r="B199">
        <v>139</v>
      </c>
      <c r="C199" t="s">
        <v>45</v>
      </c>
      <c r="D199" t="s">
        <v>17</v>
      </c>
      <c r="E199" t="s">
        <v>18</v>
      </c>
      <c r="F199" t="s">
        <v>19</v>
      </c>
      <c r="G199" t="s">
        <v>26</v>
      </c>
      <c r="H199" t="s">
        <v>21</v>
      </c>
      <c r="I199" t="s">
        <v>70</v>
      </c>
      <c r="J199" t="s">
        <v>148</v>
      </c>
      <c r="K199" t="s">
        <v>23</v>
      </c>
      <c r="L199">
        <v>1545</v>
      </c>
      <c r="M199" s="4">
        <v>38.160050699999999</v>
      </c>
      <c r="N199" s="4">
        <v>36.388413818090555</v>
      </c>
      <c r="O199" s="4">
        <v>0.23259680537866703</v>
      </c>
      <c r="P199" s="1" t="str">
        <f>HYPERLINK(".\sm_car_260613_0458\sm_car_260613_0458_198_Ca139TrN_MaSKD_DrSt_ode23t_1.png","figure")</f>
        <v>figure</v>
      </c>
      <c r="Q199" t="s">
        <v>15</v>
      </c>
    </row>
    <row r="200" spans="1:17" x14ac:dyDescent="0.25">
      <c r="A200">
        <v>199</v>
      </c>
      <c r="B200">
        <v>139</v>
      </c>
      <c r="C200" t="s">
        <v>45</v>
      </c>
      <c r="D200" t="s">
        <v>17</v>
      </c>
      <c r="E200" t="s">
        <v>18</v>
      </c>
      <c r="F200" t="s">
        <v>19</v>
      </c>
      <c r="G200" t="s">
        <v>26</v>
      </c>
      <c r="H200" t="s">
        <v>21</v>
      </c>
      <c r="I200" t="s">
        <v>71</v>
      </c>
      <c r="J200" t="s">
        <v>148</v>
      </c>
      <c r="K200" t="s">
        <v>23</v>
      </c>
      <c r="L200">
        <v>797</v>
      </c>
      <c r="M200" s="4">
        <v>19.730523699999999</v>
      </c>
      <c r="N200" s="4">
        <v>-8.0316166869103256E-3</v>
      </c>
      <c r="O200" s="4">
        <v>20.553842502020103</v>
      </c>
      <c r="P200" s="1" t="str">
        <f>HYPERLINK(".\sm_car_260613_0458\sm_car_260613_0458_199_Ca139TrN_MaRAD_DrSt_ode23t_1.png","figure")</f>
        <v>figure</v>
      </c>
      <c r="Q200" t="s">
        <v>15</v>
      </c>
    </row>
    <row r="201" spans="1:17" x14ac:dyDescent="0.25">
      <c r="A201">
        <v>200</v>
      </c>
      <c r="B201">
        <v>184</v>
      </c>
      <c r="C201" t="s">
        <v>105</v>
      </c>
      <c r="D201" t="s">
        <v>120</v>
      </c>
      <c r="E201" t="s">
        <v>49</v>
      </c>
      <c r="F201" t="s">
        <v>19</v>
      </c>
      <c r="G201" t="s">
        <v>20</v>
      </c>
      <c r="H201" t="s">
        <v>21</v>
      </c>
      <c r="I201" t="s">
        <v>70</v>
      </c>
      <c r="J201" t="s">
        <v>148</v>
      </c>
      <c r="K201" t="s">
        <v>23</v>
      </c>
      <c r="L201">
        <v>1308</v>
      </c>
      <c r="M201" s="4">
        <v>53.964095800000003</v>
      </c>
      <c r="N201" s="4">
        <v>36.521070162101296</v>
      </c>
      <c r="O201" s="4">
        <v>0.15760142475645633</v>
      </c>
      <c r="P201" s="1" t="str">
        <f>HYPERLINK(".\sm_car_260613_0458\sm_car_260613_0458_200_Ca184TrN_MaSKD_DrSt_ode23t_1.png","figure")</f>
        <v>figure</v>
      </c>
      <c r="Q201" t="s">
        <v>15</v>
      </c>
    </row>
    <row r="202" spans="1:17" x14ac:dyDescent="0.25">
      <c r="A202">
        <v>201</v>
      </c>
      <c r="B202">
        <v>184</v>
      </c>
      <c r="C202" t="s">
        <v>105</v>
      </c>
      <c r="D202" t="s">
        <v>120</v>
      </c>
      <c r="E202" t="s">
        <v>49</v>
      </c>
      <c r="F202" t="s">
        <v>19</v>
      </c>
      <c r="G202" t="s">
        <v>20</v>
      </c>
      <c r="H202" t="s">
        <v>21</v>
      </c>
      <c r="I202" t="s">
        <v>71</v>
      </c>
      <c r="J202" t="s">
        <v>148</v>
      </c>
      <c r="K202" t="s">
        <v>23</v>
      </c>
      <c r="L202">
        <v>648</v>
      </c>
      <c r="M202" s="4">
        <v>26.341199199999998</v>
      </c>
      <c r="N202" s="4">
        <v>7.4800353596482836</v>
      </c>
      <c r="O202" s="4">
        <v>10.384540986894825</v>
      </c>
      <c r="P202" s="1" t="str">
        <f>HYPERLINK(".\sm_car_260613_0458\sm_car_260613_0458_201_Ca184TrN_MaRAD_DrSt_ode23t_1.png","figure")</f>
        <v>figure</v>
      </c>
      <c r="Q202" t="s">
        <v>15</v>
      </c>
    </row>
    <row r="203" spans="1:17" x14ac:dyDescent="0.25">
      <c r="A203">
        <v>202</v>
      </c>
      <c r="B203">
        <v>228</v>
      </c>
      <c r="C203" t="s">
        <v>160</v>
      </c>
      <c r="D203" t="s">
        <v>35</v>
      </c>
      <c r="E203" t="s">
        <v>107</v>
      </c>
      <c r="F203" t="s">
        <v>19</v>
      </c>
      <c r="G203" t="s">
        <v>26</v>
      </c>
      <c r="H203" t="s">
        <v>21</v>
      </c>
      <c r="I203" t="s">
        <v>70</v>
      </c>
      <c r="J203" t="s">
        <v>148</v>
      </c>
      <c r="K203" t="s">
        <v>23</v>
      </c>
      <c r="L203">
        <v>1614</v>
      </c>
      <c r="M203" s="4">
        <v>7.2775107999999999</v>
      </c>
      <c r="N203" s="4">
        <v>36.543833415002396</v>
      </c>
      <c r="O203" s="4">
        <v>0.57298371866357212</v>
      </c>
      <c r="P203" s="1" t="str">
        <f>HYPERLINK(".\sm_car_260613_0458\sm_car_260613_0458_202_Ca228TrN_MaSKD_DrSt_ode23t_1.png","figure")</f>
        <v>figure</v>
      </c>
      <c r="Q203" t="s">
        <v>15</v>
      </c>
    </row>
    <row r="204" spans="1:17" x14ac:dyDescent="0.25">
      <c r="A204">
        <v>203</v>
      </c>
      <c r="B204">
        <v>228</v>
      </c>
      <c r="C204" t="s">
        <v>160</v>
      </c>
      <c r="D204" t="s">
        <v>35</v>
      </c>
      <c r="E204" t="s">
        <v>107</v>
      </c>
      <c r="F204" t="s">
        <v>19</v>
      </c>
      <c r="G204" t="s">
        <v>26</v>
      </c>
      <c r="H204" t="s">
        <v>21</v>
      </c>
      <c r="I204" t="s">
        <v>71</v>
      </c>
      <c r="J204" t="s">
        <v>148</v>
      </c>
      <c r="K204" t="s">
        <v>23</v>
      </c>
      <c r="L204">
        <v>1780</v>
      </c>
      <c r="M204" s="4">
        <v>8.6304797000000004</v>
      </c>
      <c r="N204" s="4">
        <v>-1.627225479568267</v>
      </c>
      <c r="O204" s="4">
        <v>-45.168666486707984</v>
      </c>
      <c r="P204" s="1" t="str">
        <f>HYPERLINK(".\sm_car_260613_0458\sm_car_260613_0458_203_Ca228TrN_MaRAD_DrSt_ode23t_1.png","figure")</f>
        <v>figure</v>
      </c>
      <c r="Q204" t="s">
        <v>15</v>
      </c>
    </row>
    <row r="205" spans="1:17" x14ac:dyDescent="0.25">
      <c r="A205">
        <v>204</v>
      </c>
      <c r="B205">
        <v>230</v>
      </c>
      <c r="C205" t="s">
        <v>160</v>
      </c>
      <c r="D205" t="s">
        <v>161</v>
      </c>
      <c r="E205" t="s">
        <v>162</v>
      </c>
      <c r="F205" t="s">
        <v>19</v>
      </c>
      <c r="G205" t="s">
        <v>26</v>
      </c>
      <c r="H205" t="s">
        <v>21</v>
      </c>
      <c r="I205" t="s">
        <v>70</v>
      </c>
      <c r="J205" t="s">
        <v>148</v>
      </c>
      <c r="K205" t="s">
        <v>23</v>
      </c>
      <c r="L205">
        <v>1432</v>
      </c>
      <c r="M205" s="4">
        <v>32.221339399999998</v>
      </c>
      <c r="N205" s="4">
        <v>36.333230663642048</v>
      </c>
      <c r="O205" s="4">
        <v>-0.84182498305784581</v>
      </c>
      <c r="P205" s="1" t="str">
        <f>HYPERLINK(".\sm_car_260613_0458\sm_car_260613_0458_204_Ca230TrN_MaSKD_DrSt_ode23t_1.png","figure")</f>
        <v>figure</v>
      </c>
      <c r="Q205" t="s">
        <v>15</v>
      </c>
    </row>
    <row r="206" spans="1:17" x14ac:dyDescent="0.25">
      <c r="A206">
        <v>205</v>
      </c>
      <c r="B206">
        <v>230</v>
      </c>
      <c r="C206" t="s">
        <v>160</v>
      </c>
      <c r="D206" t="s">
        <v>161</v>
      </c>
      <c r="E206" t="s">
        <v>162</v>
      </c>
      <c r="F206" t="s">
        <v>19</v>
      </c>
      <c r="G206" t="s">
        <v>26</v>
      </c>
      <c r="H206" t="s">
        <v>21</v>
      </c>
      <c r="I206" t="s">
        <v>71</v>
      </c>
      <c r="J206" t="s">
        <v>148</v>
      </c>
      <c r="K206" t="s">
        <v>23</v>
      </c>
      <c r="L206">
        <v>2379</v>
      </c>
      <c r="M206" s="4">
        <v>43.958222399999997</v>
      </c>
      <c r="N206" s="4">
        <v>31.296185817326464</v>
      </c>
      <c r="O206" s="4">
        <v>-10.077782638501294</v>
      </c>
      <c r="P206" s="1" t="str">
        <f>HYPERLINK(".\sm_car_260613_0458\sm_car_260613_0458_205_Ca230TrN_MaRAD_DrSt_ode23t_1.png","figure")</f>
        <v>figure</v>
      </c>
      <c r="Q206" t="s">
        <v>15</v>
      </c>
    </row>
    <row r="207" spans="1:17" x14ac:dyDescent="0.25">
      <c r="A207">
        <v>206</v>
      </c>
      <c r="B207">
        <v>231</v>
      </c>
      <c r="C207" t="s">
        <v>160</v>
      </c>
      <c r="D207" t="s">
        <v>172</v>
      </c>
      <c r="E207" t="s">
        <v>162</v>
      </c>
      <c r="F207" t="s">
        <v>19</v>
      </c>
      <c r="G207" t="s">
        <v>26</v>
      </c>
      <c r="H207" t="s">
        <v>21</v>
      </c>
      <c r="I207" t="s">
        <v>70</v>
      </c>
      <c r="J207" t="s">
        <v>148</v>
      </c>
      <c r="K207" t="s">
        <v>23</v>
      </c>
      <c r="L207">
        <v>1505</v>
      </c>
      <c r="M207" s="4">
        <v>31.638545700000002</v>
      </c>
      <c r="N207" s="4">
        <v>36.329743000320434</v>
      </c>
      <c r="O207" s="4">
        <v>-0.19833072630777535</v>
      </c>
      <c r="P207" s="1" t="str">
        <f>HYPERLINK(".\sm_car_260613_0458\sm_car_260613_0458_206_Ca231TrN_MaSKD_DrSt_ode23t_1.png","figure")</f>
        <v>figure</v>
      </c>
      <c r="Q207" t="s">
        <v>15</v>
      </c>
    </row>
    <row r="208" spans="1:17" x14ac:dyDescent="0.25">
      <c r="A208">
        <v>207</v>
      </c>
      <c r="B208">
        <v>231</v>
      </c>
      <c r="C208" t="s">
        <v>160</v>
      </c>
      <c r="D208" t="s">
        <v>172</v>
      </c>
      <c r="E208" t="s">
        <v>162</v>
      </c>
      <c r="F208" t="s">
        <v>19</v>
      </c>
      <c r="G208" t="s">
        <v>26</v>
      </c>
      <c r="H208" t="s">
        <v>21</v>
      </c>
      <c r="I208" t="s">
        <v>71</v>
      </c>
      <c r="J208" t="s">
        <v>148</v>
      </c>
      <c r="K208" t="s">
        <v>23</v>
      </c>
      <c r="L208">
        <v>2663</v>
      </c>
      <c r="M208" s="4">
        <v>45.449870300000001</v>
      </c>
      <c r="N208" s="4">
        <v>40.744924984240015</v>
      </c>
      <c r="O208" s="4">
        <v>20.033257549214007</v>
      </c>
      <c r="P208" s="1" t="str">
        <f>HYPERLINK(".\sm_car_260613_0458\sm_car_260613_0458_207_Ca231TrN_MaRAD_DrSt_ode23t_1.png","figure")</f>
        <v>figure</v>
      </c>
      <c r="Q208" t="s">
        <v>15</v>
      </c>
    </row>
    <row r="209" spans="1:17" x14ac:dyDescent="0.25">
      <c r="A209">
        <v>208</v>
      </c>
      <c r="B209">
        <v>233</v>
      </c>
      <c r="C209" t="s">
        <v>45</v>
      </c>
      <c r="D209" t="s">
        <v>17</v>
      </c>
      <c r="E209" t="s">
        <v>107</v>
      </c>
      <c r="F209" t="s">
        <v>19</v>
      </c>
      <c r="G209" t="s">
        <v>182</v>
      </c>
      <c r="H209" t="s">
        <v>21</v>
      </c>
      <c r="I209" t="s">
        <v>70</v>
      </c>
      <c r="J209" t="s">
        <v>148</v>
      </c>
      <c r="K209" t="s">
        <v>23</v>
      </c>
      <c r="L209">
        <v>1609</v>
      </c>
      <c r="M209" s="4">
        <v>33.225527100000001</v>
      </c>
      <c r="N209" s="4">
        <v>36.444217672336208</v>
      </c>
      <c r="O209" s="4">
        <v>-0.33401618792721943</v>
      </c>
      <c r="P209" s="1" t="str">
        <f>HYPERLINK(".\sm_car_260613_0458\sm_car_260613_0458_208_Ca233TrN_MaSKD_DrSt_ode23t_1.png","figure")</f>
        <v>figure</v>
      </c>
      <c r="Q209" t="s">
        <v>15</v>
      </c>
    </row>
    <row r="210" spans="1:17" x14ac:dyDescent="0.25">
      <c r="A210">
        <v>209</v>
      </c>
      <c r="B210">
        <v>233</v>
      </c>
      <c r="C210" t="s">
        <v>45</v>
      </c>
      <c r="D210" t="s">
        <v>17</v>
      </c>
      <c r="E210" t="s">
        <v>107</v>
      </c>
      <c r="F210" t="s">
        <v>19</v>
      </c>
      <c r="G210" t="s">
        <v>182</v>
      </c>
      <c r="H210" t="s">
        <v>21</v>
      </c>
      <c r="I210" t="s">
        <v>71</v>
      </c>
      <c r="J210" t="s">
        <v>148</v>
      </c>
      <c r="K210" t="s">
        <v>23</v>
      </c>
      <c r="L210">
        <v>897</v>
      </c>
      <c r="M210" s="4">
        <v>17.087129600000001</v>
      </c>
      <c r="N210" s="4">
        <v>-6.6789269016643757</v>
      </c>
      <c r="O210" s="4">
        <v>25.201961772782283</v>
      </c>
      <c r="P210" s="1" t="str">
        <f>HYPERLINK(".\sm_car_260613_0458\sm_car_260613_0458_209_Ca233TrN_MaRAD_DrSt_ode23t_1.png","figure")</f>
        <v>figure</v>
      </c>
      <c r="Q210" t="s">
        <v>15</v>
      </c>
    </row>
    <row r="211" spans="1:17" x14ac:dyDescent="0.25">
      <c r="A211">
        <v>210</v>
      </c>
      <c r="B211">
        <v>234</v>
      </c>
      <c r="C211" t="s">
        <v>45</v>
      </c>
      <c r="D211" t="s">
        <v>17</v>
      </c>
      <c r="E211" t="s">
        <v>107</v>
      </c>
      <c r="F211" t="s">
        <v>19</v>
      </c>
      <c r="G211" t="s">
        <v>183</v>
      </c>
      <c r="H211" t="s">
        <v>21</v>
      </c>
      <c r="I211" t="s">
        <v>70</v>
      </c>
      <c r="J211" t="s">
        <v>148</v>
      </c>
      <c r="K211" t="s">
        <v>23</v>
      </c>
      <c r="L211">
        <v>3177</v>
      </c>
      <c r="M211" s="4">
        <v>58.461697700000002</v>
      </c>
      <c r="N211" s="4">
        <v>36.448952341234275</v>
      </c>
      <c r="O211" s="4">
        <v>-0.3025507850119496</v>
      </c>
      <c r="P211" s="1" t="str">
        <f>HYPERLINK(".\sm_car_260613_0458\sm_car_260613_0458_210_Ca234TrN_MaSKD_DrSt_ode23t_1.png","figure")</f>
        <v>figure</v>
      </c>
      <c r="Q211" t="s">
        <v>15</v>
      </c>
    </row>
    <row r="212" spans="1:17" x14ac:dyDescent="0.25">
      <c r="A212">
        <v>211</v>
      </c>
      <c r="B212">
        <v>234</v>
      </c>
      <c r="C212" t="s">
        <v>45</v>
      </c>
      <c r="D212" t="s">
        <v>17</v>
      </c>
      <c r="E212" t="s">
        <v>107</v>
      </c>
      <c r="F212" t="s">
        <v>19</v>
      </c>
      <c r="G212" t="s">
        <v>183</v>
      </c>
      <c r="H212" t="s">
        <v>21</v>
      </c>
      <c r="I212" t="s">
        <v>71</v>
      </c>
      <c r="J212" t="s">
        <v>148</v>
      </c>
      <c r="K212" t="s">
        <v>23</v>
      </c>
      <c r="L212">
        <v>1736</v>
      </c>
      <c r="M212" s="4">
        <v>34.455094500000001</v>
      </c>
      <c r="N212" s="4">
        <v>-6.4006600646957992</v>
      </c>
      <c r="O212" s="4">
        <v>25.358277057130415</v>
      </c>
      <c r="P212" s="1" t="str">
        <f>HYPERLINK(".\sm_car_260613_0458\sm_car_260613_0458_211_Ca234TrN_MaRAD_DrSt_ode23t_1.png","figure")</f>
        <v>figure</v>
      </c>
      <c r="Q212" t="s">
        <v>15</v>
      </c>
    </row>
    <row r="213" spans="1:17" x14ac:dyDescent="0.25">
      <c r="A213">
        <v>212</v>
      </c>
      <c r="B213">
        <v>198</v>
      </c>
      <c r="C213" t="s">
        <v>105</v>
      </c>
      <c r="D213" t="s">
        <v>120</v>
      </c>
      <c r="E213" t="s">
        <v>107</v>
      </c>
      <c r="F213" t="s">
        <v>19</v>
      </c>
      <c r="G213" t="s">
        <v>20</v>
      </c>
      <c r="H213" t="s">
        <v>21</v>
      </c>
      <c r="I213" t="s">
        <v>70</v>
      </c>
      <c r="J213" t="s">
        <v>148</v>
      </c>
      <c r="K213" t="s">
        <v>23</v>
      </c>
      <c r="L213">
        <v>1401</v>
      </c>
      <c r="M213" s="4">
        <v>33.395045400000001</v>
      </c>
      <c r="N213" s="4">
        <v>36.868375997181957</v>
      </c>
      <c r="O213" s="4">
        <v>0.14642405558838148</v>
      </c>
      <c r="P213" s="1" t="str">
        <f>HYPERLINK(".\sm_car_260613_0458\sm_car_260613_0458_212_Ca198TrN_MaSKD_DrSt_ode23t_1.png","figure")</f>
        <v>figure</v>
      </c>
      <c r="Q213" t="s">
        <v>15</v>
      </c>
    </row>
    <row r="214" spans="1:17" x14ac:dyDescent="0.25">
      <c r="A214">
        <v>213</v>
      </c>
      <c r="B214">
        <v>198</v>
      </c>
      <c r="C214" t="s">
        <v>105</v>
      </c>
      <c r="D214" t="s">
        <v>120</v>
      </c>
      <c r="E214" t="s">
        <v>107</v>
      </c>
      <c r="F214" t="s">
        <v>19</v>
      </c>
      <c r="G214" t="s">
        <v>20</v>
      </c>
      <c r="H214" t="s">
        <v>21</v>
      </c>
      <c r="I214" t="s">
        <v>71</v>
      </c>
      <c r="J214" t="s">
        <v>148</v>
      </c>
      <c r="K214" t="s">
        <v>23</v>
      </c>
      <c r="L214">
        <v>687</v>
      </c>
      <c r="M214" s="4">
        <v>16.171767299999999</v>
      </c>
      <c r="N214" s="4">
        <v>7.52403881609807</v>
      </c>
      <c r="O214" s="4">
        <v>10.291620312773727</v>
      </c>
      <c r="P214" s="1" t="str">
        <f>HYPERLINK(".\sm_car_260613_0458\sm_car_260613_0458_213_Ca198TrN_MaRAD_DrSt_ode23t_1.png","figure")</f>
        <v>figure</v>
      </c>
      <c r="Q214" t="s">
        <v>15</v>
      </c>
    </row>
    <row r="215" spans="1:17" x14ac:dyDescent="0.25">
      <c r="A215">
        <v>214</v>
      </c>
      <c r="B215">
        <v>189</v>
      </c>
      <c r="C215" t="s">
        <v>45</v>
      </c>
      <c r="D215" t="s">
        <v>17</v>
      </c>
      <c r="E215" t="s">
        <v>107</v>
      </c>
      <c r="F215" t="s">
        <v>19</v>
      </c>
      <c r="G215" t="s">
        <v>26</v>
      </c>
      <c r="H215" t="s">
        <v>21</v>
      </c>
      <c r="I215" t="s">
        <v>132</v>
      </c>
      <c r="J215" t="s">
        <v>148</v>
      </c>
      <c r="K215" t="s">
        <v>23</v>
      </c>
      <c r="L215">
        <v>541</v>
      </c>
      <c r="M215" s="4">
        <v>13.227470200000001</v>
      </c>
      <c r="N215" s="4">
        <v>134.67592742814426</v>
      </c>
      <c r="O215" s="4">
        <v>-14.116338331551592</v>
      </c>
      <c r="P215" s="1" t="str">
        <f>HYPERLINK(".\sm_car_260613_0458\sm_car_260613_0458_214_Ca189TrN_MaFSH_DrSt_ode23t_1.png","figure")</f>
        <v>figure</v>
      </c>
      <c r="Q215" t="s">
        <v>15</v>
      </c>
    </row>
    <row r="216" spans="1:17" x14ac:dyDescent="0.25">
      <c r="A216">
        <v>215</v>
      </c>
      <c r="B216">
        <v>189</v>
      </c>
      <c r="C216" t="s">
        <v>45</v>
      </c>
      <c r="D216" t="s">
        <v>17</v>
      </c>
      <c r="E216" t="s">
        <v>107</v>
      </c>
      <c r="F216" t="s">
        <v>19</v>
      </c>
      <c r="G216" t="s">
        <v>26</v>
      </c>
      <c r="H216" t="s">
        <v>21</v>
      </c>
      <c r="I216" t="s">
        <v>133</v>
      </c>
      <c r="J216" t="s">
        <v>148</v>
      </c>
      <c r="K216" t="s">
        <v>23</v>
      </c>
      <c r="L216">
        <v>417</v>
      </c>
      <c r="M216" s="4">
        <v>9.4273635999999996</v>
      </c>
      <c r="N216" s="4">
        <v>128.73810781884399</v>
      </c>
      <c r="O216" s="4">
        <v>-9.3015212683561419</v>
      </c>
      <c r="P216" s="1" t="str">
        <f>HYPERLINK(".\sm_car_260613_0458\sm_car_260613_0458_215_Ca189TrN_MaSWD_DrSt_ode23t_1.png","figure")</f>
        <v>figure</v>
      </c>
      <c r="Q216" t="s">
        <v>15</v>
      </c>
    </row>
    <row r="217" spans="1:17" x14ac:dyDescent="0.25">
      <c r="A217">
        <v>216</v>
      </c>
      <c r="B217">
        <v>189</v>
      </c>
      <c r="C217" t="s">
        <v>45</v>
      </c>
      <c r="D217" t="s">
        <v>17</v>
      </c>
      <c r="E217" t="s">
        <v>107</v>
      </c>
      <c r="F217" t="s">
        <v>19</v>
      </c>
      <c r="G217" t="s">
        <v>26</v>
      </c>
      <c r="H217" t="s">
        <v>21</v>
      </c>
      <c r="I217" t="s">
        <v>134</v>
      </c>
      <c r="J217" t="s">
        <v>148</v>
      </c>
      <c r="K217" t="s">
        <v>23</v>
      </c>
      <c r="L217">
        <v>428</v>
      </c>
      <c r="M217" s="4">
        <v>10.640731499999999</v>
      </c>
      <c r="N217" s="4">
        <v>112.50119539719402</v>
      </c>
      <c r="O217" s="4">
        <v>18.075279872934725</v>
      </c>
      <c r="P217" s="1" t="str">
        <f>HYPERLINK(".\sm_car_260613_0458\sm_car_260613_0458_216_Ca189TrN_MaRST_DrSt_ode23t_1.png","figure")</f>
        <v>figure</v>
      </c>
      <c r="Q217" t="s">
        <v>15</v>
      </c>
    </row>
    <row r="218" spans="1:17" x14ac:dyDescent="0.25">
      <c r="A218">
        <v>217</v>
      </c>
      <c r="B218">
        <v>189</v>
      </c>
      <c r="C218" t="s">
        <v>45</v>
      </c>
      <c r="D218" t="s">
        <v>17</v>
      </c>
      <c r="E218" t="s">
        <v>107</v>
      </c>
      <c r="F218" t="s">
        <v>19</v>
      </c>
      <c r="G218" t="s">
        <v>26</v>
      </c>
      <c r="H218" t="s">
        <v>21</v>
      </c>
      <c r="I218" t="s">
        <v>135</v>
      </c>
      <c r="J218" t="s">
        <v>148</v>
      </c>
      <c r="K218" t="s">
        <v>23</v>
      </c>
      <c r="L218">
        <v>585</v>
      </c>
      <c r="M218" s="4">
        <v>20.430221299999999</v>
      </c>
      <c r="N218" s="4">
        <v>224.05964145738201</v>
      </c>
      <c r="O218" s="4">
        <v>0.10733077744514599</v>
      </c>
      <c r="P218" s="1" t="str">
        <f>HYPERLINK(".\sm_car_260613_0458\sm_car_260613_0458_217_Ca189TrN_MaSLA_DrSt_ode23t_1.png","figure")</f>
        <v>figure</v>
      </c>
      <c r="Q218" t="s">
        <v>15</v>
      </c>
    </row>
    <row r="219" spans="1:17" x14ac:dyDescent="0.25">
      <c r="A219">
        <v>218</v>
      </c>
      <c r="B219">
        <v>189</v>
      </c>
      <c r="C219" t="s">
        <v>45</v>
      </c>
      <c r="D219" t="s">
        <v>17</v>
      </c>
      <c r="E219" t="s">
        <v>107</v>
      </c>
      <c r="F219" t="s">
        <v>19</v>
      </c>
      <c r="G219" t="s">
        <v>26</v>
      </c>
      <c r="H219" t="s">
        <v>21</v>
      </c>
      <c r="I219" t="s">
        <v>195</v>
      </c>
      <c r="J219" t="s">
        <v>148</v>
      </c>
      <c r="K219" t="s">
        <v>23</v>
      </c>
      <c r="L219">
        <v>811</v>
      </c>
      <c r="M219" s="4">
        <v>13.166624300000001</v>
      </c>
      <c r="N219" s="4">
        <v>2436.2511686794032</v>
      </c>
      <c r="O219" s="4">
        <v>2.4597225002411568E-4</v>
      </c>
      <c r="P219" s="1" t="str">
        <f>HYPERLINK(".\sm_car_260613_0458\sm_car_260613_0458_218_Ca189TrN_MaCOA_DrSt_ode23t_1.png","figure")</f>
        <v>figure</v>
      </c>
      <c r="Q219" t="s">
        <v>15</v>
      </c>
    </row>
    <row r="220" spans="1:17" x14ac:dyDescent="0.25">
      <c r="A220">
        <v>219</v>
      </c>
      <c r="B220">
        <v>218</v>
      </c>
      <c r="C220" t="s">
        <v>16</v>
      </c>
      <c r="D220" t="s">
        <v>128</v>
      </c>
      <c r="E220" t="s">
        <v>107</v>
      </c>
      <c r="F220" t="s">
        <v>19</v>
      </c>
      <c r="G220" t="s">
        <v>188</v>
      </c>
      <c r="H220" t="s">
        <v>21</v>
      </c>
      <c r="I220" t="s">
        <v>132</v>
      </c>
      <c r="J220" t="s">
        <v>148</v>
      </c>
      <c r="K220" t="s">
        <v>23</v>
      </c>
      <c r="L220">
        <v>559</v>
      </c>
      <c r="M220" s="4">
        <v>11.4945599</v>
      </c>
      <c r="N220" s="4">
        <v>101.32731161255083</v>
      </c>
      <c r="O220" s="4">
        <v>-21.93816888821819</v>
      </c>
      <c r="P220" s="1" t="str">
        <f>HYPERLINK(".\sm_car_260613_0458\sm_car_260613_0458_219_Ca218TrN_MaFSH_DrSt_ode23t_1.png","figure")</f>
        <v>figure</v>
      </c>
      <c r="Q220" t="s">
        <v>15</v>
      </c>
    </row>
    <row r="221" spans="1:17" x14ac:dyDescent="0.25">
      <c r="A221">
        <v>220</v>
      </c>
      <c r="B221">
        <v>218</v>
      </c>
      <c r="C221" t="s">
        <v>16</v>
      </c>
      <c r="D221" t="s">
        <v>128</v>
      </c>
      <c r="E221" t="s">
        <v>107</v>
      </c>
      <c r="F221" t="s">
        <v>19</v>
      </c>
      <c r="G221" t="s">
        <v>188</v>
      </c>
      <c r="H221" t="s">
        <v>21</v>
      </c>
      <c r="I221" t="s">
        <v>133</v>
      </c>
      <c r="J221" t="s">
        <v>148</v>
      </c>
      <c r="K221" t="s">
        <v>23</v>
      </c>
      <c r="L221">
        <v>443</v>
      </c>
      <c r="M221" s="4">
        <v>8.0462346999999994</v>
      </c>
      <c r="N221" s="4">
        <v>136.14886591937227</v>
      </c>
      <c r="O221" s="4">
        <v>-8.8925098925585004</v>
      </c>
      <c r="P221" s="1" t="str">
        <f>HYPERLINK(".\sm_car_260613_0458\sm_car_260613_0458_220_Ca218TrN_MaSWD_DrSt_ode23t_1.png","figure")</f>
        <v>figure</v>
      </c>
      <c r="Q221" t="s">
        <v>15</v>
      </c>
    </row>
    <row r="222" spans="1:17" x14ac:dyDescent="0.25">
      <c r="A222">
        <v>221</v>
      </c>
      <c r="B222">
        <v>218</v>
      </c>
      <c r="C222" t="s">
        <v>16</v>
      </c>
      <c r="D222" t="s">
        <v>128</v>
      </c>
      <c r="E222" t="s">
        <v>107</v>
      </c>
      <c r="F222" t="s">
        <v>19</v>
      </c>
      <c r="G222" t="s">
        <v>188</v>
      </c>
      <c r="H222" t="s">
        <v>21</v>
      </c>
      <c r="I222" t="s">
        <v>134</v>
      </c>
      <c r="J222" t="s">
        <v>148</v>
      </c>
      <c r="K222" t="s">
        <v>23</v>
      </c>
      <c r="L222">
        <v>369</v>
      </c>
      <c r="M222" s="4">
        <v>7.1992805999999998</v>
      </c>
      <c r="N222" s="4">
        <v>101.82448163141929</v>
      </c>
      <c r="O222" s="4">
        <v>29.386212060322194</v>
      </c>
      <c r="P222" s="1" t="str">
        <f>HYPERLINK(".\sm_car_260613_0458\sm_car_260613_0458_221_Ca218TrN_MaRST_DrSt_ode23t_1.png","figure")</f>
        <v>figure</v>
      </c>
      <c r="Q222" t="s">
        <v>15</v>
      </c>
    </row>
    <row r="223" spans="1:17" x14ac:dyDescent="0.25">
      <c r="A223">
        <v>222</v>
      </c>
      <c r="B223">
        <v>218</v>
      </c>
      <c r="C223" t="s">
        <v>16</v>
      </c>
      <c r="D223" t="s">
        <v>128</v>
      </c>
      <c r="E223" t="s">
        <v>107</v>
      </c>
      <c r="F223" t="s">
        <v>19</v>
      </c>
      <c r="G223" t="s">
        <v>188</v>
      </c>
      <c r="H223" t="s">
        <v>21</v>
      </c>
      <c r="I223" t="s">
        <v>135</v>
      </c>
      <c r="J223" t="s">
        <v>148</v>
      </c>
      <c r="K223" t="s">
        <v>23</v>
      </c>
      <c r="L223">
        <v>684</v>
      </c>
      <c r="M223" s="4">
        <v>18.873864600000001</v>
      </c>
      <c r="N223" s="4">
        <v>222.43924831381185</v>
      </c>
      <c r="O223" s="4">
        <v>0.10610604466456598</v>
      </c>
      <c r="P223" s="1" t="str">
        <f>HYPERLINK(".\sm_car_260613_0458\sm_car_260613_0458_222_Ca218TrN_MaSLA_DrSt_ode23t_1.png","figure")</f>
        <v>figure</v>
      </c>
      <c r="Q223" t="s">
        <v>15</v>
      </c>
    </row>
    <row r="224" spans="1:17" x14ac:dyDescent="0.25">
      <c r="A224">
        <v>223</v>
      </c>
      <c r="B224">
        <v>218</v>
      </c>
      <c r="C224" t="s">
        <v>16</v>
      </c>
      <c r="D224" t="s">
        <v>128</v>
      </c>
      <c r="E224" t="s">
        <v>107</v>
      </c>
      <c r="F224" t="s">
        <v>19</v>
      </c>
      <c r="G224" t="s">
        <v>188</v>
      </c>
      <c r="H224" t="s">
        <v>21</v>
      </c>
      <c r="I224" t="s">
        <v>195</v>
      </c>
      <c r="J224" t="s">
        <v>148</v>
      </c>
      <c r="K224" t="s">
        <v>23</v>
      </c>
      <c r="L224">
        <v>842</v>
      </c>
      <c r="M224" s="4">
        <v>7.5103396</v>
      </c>
      <c r="N224" s="4">
        <v>2944.9151230100242</v>
      </c>
      <c r="O224" s="4">
        <v>1.3240742643157077E-4</v>
      </c>
      <c r="P224" s="1" t="str">
        <f>HYPERLINK(".\sm_car_260613_0458\sm_car_260613_0458_223_Ca218TrN_MaCOA_DrSt_ode23t_1.png","figure")</f>
        <v>figure</v>
      </c>
      <c r="Q224" t="s">
        <v>15</v>
      </c>
    </row>
    <row r="225" spans="1:17" x14ac:dyDescent="0.25">
      <c r="A225">
        <v>224</v>
      </c>
      <c r="B225">
        <v>239</v>
      </c>
      <c r="C225" t="s">
        <v>45</v>
      </c>
      <c r="D225" t="s">
        <v>196</v>
      </c>
      <c r="E225" t="s">
        <v>107</v>
      </c>
      <c r="F225" t="s">
        <v>19</v>
      </c>
      <c r="G225" t="s">
        <v>26</v>
      </c>
      <c r="H225" t="s">
        <v>21</v>
      </c>
      <c r="I225" t="s">
        <v>132</v>
      </c>
      <c r="J225" t="s">
        <v>148</v>
      </c>
      <c r="K225" t="s">
        <v>23</v>
      </c>
      <c r="L225">
        <v>488</v>
      </c>
      <c r="M225" s="4">
        <v>3.1762790000000001</v>
      </c>
      <c r="N225" s="4">
        <v>112.71388313292174</v>
      </c>
      <c r="O225" s="4">
        <v>-25.19533964186283</v>
      </c>
      <c r="P225" s="1" t="str">
        <f>HYPERLINK(".\sm_car_260613_0458\sm_car_260613_0458_224_Ca239TrN_MaFSH_DrSt_ode23t_1.png","figure")</f>
        <v>figure</v>
      </c>
      <c r="Q225" t="s">
        <v>15</v>
      </c>
    </row>
    <row r="226" spans="1:17" x14ac:dyDescent="0.25">
      <c r="A226">
        <v>225</v>
      </c>
      <c r="B226">
        <v>239</v>
      </c>
      <c r="C226" t="s">
        <v>45</v>
      </c>
      <c r="D226" t="s">
        <v>196</v>
      </c>
      <c r="E226" t="s">
        <v>107</v>
      </c>
      <c r="F226" t="s">
        <v>19</v>
      </c>
      <c r="G226" t="s">
        <v>26</v>
      </c>
      <c r="H226" t="s">
        <v>21</v>
      </c>
      <c r="I226" t="s">
        <v>133</v>
      </c>
      <c r="J226" t="s">
        <v>148</v>
      </c>
      <c r="K226" t="s">
        <v>23</v>
      </c>
      <c r="L226">
        <v>411</v>
      </c>
      <c r="M226" s="4">
        <v>2.9199071999999999</v>
      </c>
      <c r="N226" s="4">
        <v>142.72778790788729</v>
      </c>
      <c r="O226" s="4">
        <v>-8.3550057402875293</v>
      </c>
      <c r="P226" s="1" t="str">
        <f>HYPERLINK(".\sm_car_260613_0458\sm_car_260613_0458_225_Ca239TrN_MaSWD_DrSt_ode23t_1.png","figure")</f>
        <v>figure</v>
      </c>
      <c r="Q226" t="s">
        <v>15</v>
      </c>
    </row>
    <row r="227" spans="1:17" x14ac:dyDescent="0.25">
      <c r="A227">
        <v>226</v>
      </c>
      <c r="B227">
        <v>239</v>
      </c>
      <c r="C227" t="s">
        <v>45</v>
      </c>
      <c r="D227" t="s">
        <v>196</v>
      </c>
      <c r="E227" t="s">
        <v>107</v>
      </c>
      <c r="F227" t="s">
        <v>19</v>
      </c>
      <c r="G227" t="s">
        <v>26</v>
      </c>
      <c r="H227" t="s">
        <v>21</v>
      </c>
      <c r="I227" t="s">
        <v>134</v>
      </c>
      <c r="J227" t="s">
        <v>148</v>
      </c>
      <c r="K227" t="s">
        <v>23</v>
      </c>
      <c r="L227">
        <v>357</v>
      </c>
      <c r="M227" s="4">
        <v>2.3134801999999999</v>
      </c>
      <c r="N227" s="4">
        <v>111.12695792785584</v>
      </c>
      <c r="O227" s="4">
        <v>31.882703928988889</v>
      </c>
      <c r="P227" s="1" t="str">
        <f>HYPERLINK(".\sm_car_260613_0458\sm_car_260613_0458_226_Ca239TrN_MaRST_DrSt_ode23t_1.png","figure")</f>
        <v>figure</v>
      </c>
      <c r="Q227" t="s">
        <v>15</v>
      </c>
    </row>
    <row r="228" spans="1:17" x14ac:dyDescent="0.25">
      <c r="A228">
        <v>227</v>
      </c>
      <c r="B228">
        <v>239</v>
      </c>
      <c r="C228" t="s">
        <v>45</v>
      </c>
      <c r="D228" t="s">
        <v>196</v>
      </c>
      <c r="E228" t="s">
        <v>107</v>
      </c>
      <c r="F228" t="s">
        <v>19</v>
      </c>
      <c r="G228" t="s">
        <v>26</v>
      </c>
      <c r="H228" t="s">
        <v>21</v>
      </c>
      <c r="I228" t="s">
        <v>135</v>
      </c>
      <c r="J228" t="s">
        <v>148</v>
      </c>
      <c r="K228" t="s">
        <v>23</v>
      </c>
      <c r="L228">
        <v>524</v>
      </c>
      <c r="M228" s="4">
        <v>3.0952188999999999</v>
      </c>
      <c r="N228" s="4">
        <v>225.24950954811177</v>
      </c>
      <c r="O228" s="4">
        <v>0.10153919136998872</v>
      </c>
      <c r="P228" s="1" t="str">
        <f>HYPERLINK(".\sm_car_260613_0458\sm_car_260613_0458_227_Ca239TrN_MaSLA_DrSt_ode23t_1.png","figure")</f>
        <v>figure</v>
      </c>
      <c r="Q228" t="s">
        <v>15</v>
      </c>
    </row>
    <row r="229" spans="1:17" x14ac:dyDescent="0.25">
      <c r="A229">
        <v>228</v>
      </c>
      <c r="B229">
        <v>239</v>
      </c>
      <c r="C229" t="s">
        <v>45</v>
      </c>
      <c r="D229" t="s">
        <v>196</v>
      </c>
      <c r="E229" t="s">
        <v>107</v>
      </c>
      <c r="F229" t="s">
        <v>19</v>
      </c>
      <c r="G229" t="s">
        <v>26</v>
      </c>
      <c r="H229" t="s">
        <v>21</v>
      </c>
      <c r="I229" t="s">
        <v>195</v>
      </c>
      <c r="J229" t="s">
        <v>148</v>
      </c>
      <c r="K229" t="s">
        <v>23</v>
      </c>
      <c r="L229">
        <v>747</v>
      </c>
      <c r="M229" s="4">
        <v>2.9756502</v>
      </c>
      <c r="N229" s="4">
        <v>2463.4762767500297</v>
      </c>
      <c r="O229" s="4">
        <v>5.187421470765959E-4</v>
      </c>
      <c r="P229" s="1" t="str">
        <f>HYPERLINK(".\sm_car_260613_0458\sm_car_260613_0458_228_Ca239TrN_MaCOA_DrSt_ode23t_1.png","figure")</f>
        <v>figure</v>
      </c>
      <c r="Q229" t="s">
        <v>15</v>
      </c>
    </row>
    <row r="230" spans="1:17" x14ac:dyDescent="0.25">
      <c r="A230">
        <v>229</v>
      </c>
      <c r="B230">
        <v>232</v>
      </c>
      <c r="C230" t="s">
        <v>160</v>
      </c>
      <c r="D230" t="s">
        <v>172</v>
      </c>
      <c r="E230" t="s">
        <v>162</v>
      </c>
      <c r="F230" t="s">
        <v>179</v>
      </c>
      <c r="G230" t="s">
        <v>26</v>
      </c>
      <c r="H230" t="s">
        <v>21</v>
      </c>
      <c r="I230" t="s">
        <v>132</v>
      </c>
      <c r="J230" t="s">
        <v>148</v>
      </c>
      <c r="K230" t="s">
        <v>23</v>
      </c>
      <c r="L230">
        <v>657</v>
      </c>
      <c r="M230" s="4">
        <v>13.9811987</v>
      </c>
      <c r="N230" s="4">
        <v>70.580011697113591</v>
      </c>
      <c r="O230" s="4">
        <v>-14.137406044260556</v>
      </c>
      <c r="P230" s="1" t="str">
        <f>HYPERLINK(".\sm_car_260613_0458\sm_car_260613_0458_229_Ca232TrN_MaFSH_DrSt_ode23t_1.png","figure")</f>
        <v>figure</v>
      </c>
      <c r="Q230" t="s">
        <v>15</v>
      </c>
    </row>
    <row r="231" spans="1:17" x14ac:dyDescent="0.25">
      <c r="A231">
        <v>230</v>
      </c>
      <c r="B231">
        <v>241</v>
      </c>
      <c r="C231" t="s">
        <v>160</v>
      </c>
      <c r="D231" t="s">
        <v>197</v>
      </c>
      <c r="E231" t="s">
        <v>162</v>
      </c>
      <c r="F231" t="s">
        <v>19</v>
      </c>
      <c r="G231" t="s">
        <v>26</v>
      </c>
      <c r="H231" t="s">
        <v>21</v>
      </c>
      <c r="I231" t="s">
        <v>198</v>
      </c>
      <c r="J231" t="s">
        <v>148</v>
      </c>
      <c r="K231" t="s">
        <v>23</v>
      </c>
      <c r="L231">
        <v>836</v>
      </c>
      <c r="M231" s="4">
        <v>61.0497193</v>
      </c>
      <c r="N231" s="4">
        <v>103.00680472699952</v>
      </c>
      <c r="O231" s="4">
        <v>-5.6815604836544895E-2</v>
      </c>
      <c r="P231" s="1" t="str">
        <f>HYPERLINK(".\sm_car_260613_0458\sm_car_260613_0458_230_Ca241TrN_Ma_DrSt_ode23t_1.png","figure")</f>
        <v>figure</v>
      </c>
      <c r="Q231" t="s">
        <v>15</v>
      </c>
    </row>
    <row r="232" spans="1:17" x14ac:dyDescent="0.25">
      <c r="A232">
        <v>231</v>
      </c>
      <c r="B232">
        <v>156</v>
      </c>
      <c r="C232" t="s">
        <v>45</v>
      </c>
      <c r="D232" t="s">
        <v>17</v>
      </c>
      <c r="E232" t="s">
        <v>18</v>
      </c>
      <c r="F232" t="s">
        <v>19</v>
      </c>
      <c r="G232" t="s">
        <v>38</v>
      </c>
      <c r="H232" t="s">
        <v>21</v>
      </c>
      <c r="I232" t="s">
        <v>54</v>
      </c>
      <c r="J232" t="s">
        <v>148</v>
      </c>
      <c r="K232" t="s">
        <v>23</v>
      </c>
      <c r="L232">
        <v>25252</v>
      </c>
      <c r="M232" s="4">
        <v>308.50886359999998</v>
      </c>
      <c r="N232" s="4">
        <v>19.006353498135681</v>
      </c>
      <c r="O232" s="4">
        <v>2.4213230749408736</v>
      </c>
      <c r="P232" s="1" t="str">
        <f>HYPERLINK(".\sm_car_260613_0458\sm_car_260613_0458_231_Ca156TrN_MaIPA_DrSt_ode23t.png","figure")</f>
        <v>figure</v>
      </c>
      <c r="Q232" t="s">
        <v>15</v>
      </c>
    </row>
    <row r="233" spans="1:17" x14ac:dyDescent="0.25">
      <c r="A233">
        <v>232</v>
      </c>
      <c r="B233">
        <v>130</v>
      </c>
      <c r="C233" t="s">
        <v>16</v>
      </c>
      <c r="D233" t="s">
        <v>17</v>
      </c>
      <c r="E233" t="s">
        <v>18</v>
      </c>
      <c r="F233" t="s">
        <v>19</v>
      </c>
      <c r="G233" t="s">
        <v>38</v>
      </c>
      <c r="H233" t="s">
        <v>21</v>
      </c>
      <c r="I233" t="s">
        <v>54</v>
      </c>
      <c r="J233" t="s">
        <v>148</v>
      </c>
      <c r="K233" t="s">
        <v>23</v>
      </c>
      <c r="L233">
        <v>17781</v>
      </c>
      <c r="M233" s="4">
        <v>282.31173439999998</v>
      </c>
      <c r="N233" s="4">
        <v>16.25171705291617</v>
      </c>
      <c r="O233" s="4">
        <v>0.56631067244390887</v>
      </c>
      <c r="P233" s="1" t="str">
        <f>HYPERLINK(".\sm_car_260613_0458\sm_car_260613_0458_232_Ca130TrN_MaIPA_DrSt_ode23t.png","figure")</f>
        <v>figure</v>
      </c>
      <c r="Q233" t="s">
        <v>15</v>
      </c>
    </row>
    <row r="234" spans="1:17" x14ac:dyDescent="0.25">
      <c r="A234">
        <v>233</v>
      </c>
      <c r="B234">
        <v>171</v>
      </c>
      <c r="C234" t="s">
        <v>45</v>
      </c>
      <c r="D234" t="s">
        <v>17</v>
      </c>
      <c r="E234" t="s">
        <v>72</v>
      </c>
      <c r="F234" t="s">
        <v>19</v>
      </c>
      <c r="G234" t="s">
        <v>26</v>
      </c>
      <c r="H234" t="s">
        <v>21</v>
      </c>
      <c r="I234" t="s">
        <v>73</v>
      </c>
      <c r="J234" t="s">
        <v>148</v>
      </c>
      <c r="K234" t="s">
        <v>23</v>
      </c>
      <c r="L234">
        <v>1453</v>
      </c>
      <c r="M234" s="4">
        <v>26.026563899999999</v>
      </c>
      <c r="N234" s="4">
        <v>334.6864202946897</v>
      </c>
      <c r="O234" s="4">
        <v>0.66732559955130666</v>
      </c>
      <c r="P234" s="1" t="str">
        <f>HYPERLINK(".\sm_car_260613_0458\sm_car_260613_0458_233_Ca171TrN_MaRDP_DrSt_ode23t_1.png","figure")</f>
        <v>figure</v>
      </c>
      <c r="Q234" t="s">
        <v>15</v>
      </c>
    </row>
    <row r="235" spans="1:17" x14ac:dyDescent="0.25">
      <c r="A235">
        <v>234</v>
      </c>
      <c r="B235">
        <v>172</v>
      </c>
      <c r="C235" t="s">
        <v>46</v>
      </c>
      <c r="D235" t="s">
        <v>17</v>
      </c>
      <c r="E235" t="s">
        <v>72</v>
      </c>
      <c r="F235" t="s">
        <v>19</v>
      </c>
      <c r="G235" t="s">
        <v>26</v>
      </c>
      <c r="H235" t="s">
        <v>21</v>
      </c>
      <c r="I235" t="s">
        <v>73</v>
      </c>
      <c r="J235" t="s">
        <v>148</v>
      </c>
      <c r="K235" t="s">
        <v>23</v>
      </c>
      <c r="L235">
        <v>1219</v>
      </c>
      <c r="M235" s="4">
        <v>13.085497</v>
      </c>
      <c r="N235" s="4">
        <v>136.08565270770777</v>
      </c>
      <c r="O235" s="4">
        <v>3.6756324890723578E-2</v>
      </c>
      <c r="P235" s="1" t="str">
        <f>HYPERLINK(".\sm_car_260613_0458\sm_car_260613_0458_234_Ca172TrN_MaRDP_DrSt_ode23t_1.png","figure")</f>
        <v>figure</v>
      </c>
      <c r="Q235" t="s">
        <v>15</v>
      </c>
    </row>
    <row r="236" spans="1:17" x14ac:dyDescent="0.25">
      <c r="A236">
        <v>235</v>
      </c>
      <c r="B236">
        <v>139</v>
      </c>
      <c r="C236" t="s">
        <v>45</v>
      </c>
      <c r="D236" t="s">
        <v>17</v>
      </c>
      <c r="E236" t="s">
        <v>18</v>
      </c>
      <c r="F236" t="s">
        <v>19</v>
      </c>
      <c r="G236" t="s">
        <v>26</v>
      </c>
      <c r="H236" t="s">
        <v>21</v>
      </c>
      <c r="I236" t="s">
        <v>74</v>
      </c>
      <c r="J236" t="s">
        <v>148</v>
      </c>
      <c r="K236" t="s">
        <v>23</v>
      </c>
      <c r="L236">
        <v>1600</v>
      </c>
      <c r="M236" s="4">
        <v>22.310109300000001</v>
      </c>
      <c r="N236" s="4">
        <v>361.31017493412941</v>
      </c>
      <c r="O236" s="4">
        <v>0.72977477492291742</v>
      </c>
      <c r="P236" s="1" t="str">
        <f>HYPERLINK(".\sm_car_260613_0458\sm_car_260613_0458_235_Ca139TrN_MaZPL_DrSt_ode23t_1.png","figure")</f>
        <v>figure</v>
      </c>
      <c r="Q236" t="s">
        <v>15</v>
      </c>
    </row>
    <row r="237" spans="1:17" x14ac:dyDescent="0.25">
      <c r="A237">
        <v>236</v>
      </c>
      <c r="B237">
        <v>165</v>
      </c>
      <c r="C237" t="s">
        <v>45</v>
      </c>
      <c r="D237" t="s">
        <v>35</v>
      </c>
      <c r="E237" t="s">
        <v>49</v>
      </c>
      <c r="F237" t="s">
        <v>19</v>
      </c>
      <c r="G237" t="s">
        <v>26</v>
      </c>
      <c r="H237" t="s">
        <v>21</v>
      </c>
      <c r="I237" t="s">
        <v>74</v>
      </c>
      <c r="J237" t="s">
        <v>148</v>
      </c>
      <c r="K237" t="s">
        <v>23</v>
      </c>
      <c r="L237">
        <v>1929</v>
      </c>
      <c r="M237" s="4">
        <v>10.5175386</v>
      </c>
      <c r="N237" s="4">
        <v>397.35869506730666</v>
      </c>
      <c r="O237" s="4">
        <v>0.34126149917665555</v>
      </c>
      <c r="P237" s="1" t="str">
        <f>HYPERLINK(".\sm_car_260613_0458\sm_car_260613_0458_236_Ca165TrN_MaZPL_DrSt_ode23t_1.png","figure")</f>
        <v>figure</v>
      </c>
      <c r="Q237" t="s">
        <v>15</v>
      </c>
    </row>
    <row r="238" spans="1:17" x14ac:dyDescent="0.25">
      <c r="A238">
        <v>237</v>
      </c>
      <c r="B238">
        <v>171</v>
      </c>
      <c r="C238" t="s">
        <v>45</v>
      </c>
      <c r="D238" t="s">
        <v>17</v>
      </c>
      <c r="E238" t="s">
        <v>72</v>
      </c>
      <c r="F238" t="s">
        <v>19</v>
      </c>
      <c r="G238" t="s">
        <v>26</v>
      </c>
      <c r="H238" t="s">
        <v>21</v>
      </c>
      <c r="I238" t="s">
        <v>74</v>
      </c>
      <c r="J238" t="s">
        <v>148</v>
      </c>
      <c r="K238" t="s">
        <v>23</v>
      </c>
      <c r="L238">
        <v>1557</v>
      </c>
      <c r="M238" s="4">
        <v>28.688475</v>
      </c>
      <c r="N238" s="4">
        <v>361.07597411867062</v>
      </c>
      <c r="O238" s="4">
        <v>0.74430309340308276</v>
      </c>
      <c r="P238" s="1" t="str">
        <f>HYPERLINK(".\sm_car_260613_0458\sm_car_260613_0458_237_Ca171TrN_MaZPL_DrSt_ode23t_1.png","figure")</f>
        <v>figure</v>
      </c>
      <c r="Q238" t="s">
        <v>15</v>
      </c>
    </row>
    <row r="239" spans="1:17" x14ac:dyDescent="0.25">
      <c r="A239">
        <v>238</v>
      </c>
      <c r="B239">
        <v>165</v>
      </c>
      <c r="C239" t="s">
        <v>45</v>
      </c>
      <c r="D239" t="s">
        <v>35</v>
      </c>
      <c r="E239" t="s">
        <v>49</v>
      </c>
      <c r="F239" t="s">
        <v>19</v>
      </c>
      <c r="G239" t="s">
        <v>26</v>
      </c>
      <c r="H239" t="s">
        <v>21</v>
      </c>
      <c r="I239" t="s">
        <v>75</v>
      </c>
      <c r="J239" t="s">
        <v>148</v>
      </c>
      <c r="K239" t="s">
        <v>23</v>
      </c>
      <c r="L239">
        <v>431</v>
      </c>
      <c r="M239" s="4">
        <v>4.6138690999999996</v>
      </c>
      <c r="N239" s="4">
        <v>377.98359083747175</v>
      </c>
      <c r="O239" s="4">
        <v>0.32831600755486856</v>
      </c>
      <c r="P239" s="1" t="str">
        <f>HYPERLINK(".\sm_car_260613_0458\sm_car_260613_0458_238_Ca165TrN_MaCPL_DrSt_ode23t_1.png","figure")</f>
        <v>figure</v>
      </c>
      <c r="Q239" t="s">
        <v>15</v>
      </c>
    </row>
    <row r="240" spans="1:17" x14ac:dyDescent="0.25">
      <c r="A240">
        <v>239</v>
      </c>
      <c r="B240">
        <v>170</v>
      </c>
      <c r="C240" t="s">
        <v>45</v>
      </c>
      <c r="D240" t="s">
        <v>35</v>
      </c>
      <c r="E240" t="s">
        <v>49</v>
      </c>
      <c r="F240" t="s">
        <v>19</v>
      </c>
      <c r="G240" t="s">
        <v>188</v>
      </c>
      <c r="H240" t="s">
        <v>21</v>
      </c>
      <c r="I240" t="s">
        <v>75</v>
      </c>
      <c r="J240" t="s">
        <v>148</v>
      </c>
      <c r="K240" t="s">
        <v>23</v>
      </c>
      <c r="L240">
        <v>425</v>
      </c>
      <c r="M240" s="4">
        <v>3.1262685000000001</v>
      </c>
      <c r="N240" s="4">
        <v>380.72844063042811</v>
      </c>
      <c r="O240" s="4">
        <v>0.33453431774929132</v>
      </c>
      <c r="P240" s="1" t="str">
        <f>HYPERLINK(".\sm_car_260613_0458\sm_car_260613_0458_239_Ca170TrN_MaCPL_DrSt_ode23t_1.png","figure")</f>
        <v>figure</v>
      </c>
      <c r="Q240" t="s">
        <v>15</v>
      </c>
    </row>
    <row r="241" spans="1:17" x14ac:dyDescent="0.25">
      <c r="A241">
        <v>240</v>
      </c>
      <c r="B241">
        <v>171</v>
      </c>
      <c r="C241" t="s">
        <v>45</v>
      </c>
      <c r="D241" t="s">
        <v>17</v>
      </c>
      <c r="E241" t="s">
        <v>72</v>
      </c>
      <c r="F241" t="s">
        <v>19</v>
      </c>
      <c r="G241" t="s">
        <v>26</v>
      </c>
      <c r="H241" t="s">
        <v>21</v>
      </c>
      <c r="I241" t="s">
        <v>76</v>
      </c>
      <c r="J241" t="s">
        <v>148</v>
      </c>
      <c r="K241" t="s">
        <v>23</v>
      </c>
      <c r="L241">
        <v>2809</v>
      </c>
      <c r="M241" s="4">
        <v>52.082785000000001</v>
      </c>
      <c r="N241" s="4">
        <v>165.07634913523941</v>
      </c>
      <c r="O241" s="4">
        <v>1.1147032088621967E-3</v>
      </c>
      <c r="P241" s="1" t="str">
        <f>HYPERLINK(".\sm_car_260613_0458\sm_car_260613_0458_240_Ca171TrN_MaRDR_DrSt_ode23t_1.png","figure")</f>
        <v>figure</v>
      </c>
      <c r="Q241" t="s">
        <v>15</v>
      </c>
    </row>
    <row r="242" spans="1:17" x14ac:dyDescent="0.25">
      <c r="A242">
        <v>241</v>
      </c>
      <c r="B242">
        <v>172</v>
      </c>
      <c r="C242" t="s">
        <v>46</v>
      </c>
      <c r="D242" t="s">
        <v>17</v>
      </c>
      <c r="E242" t="s">
        <v>72</v>
      </c>
      <c r="F242" t="s">
        <v>19</v>
      </c>
      <c r="G242" t="s">
        <v>26</v>
      </c>
      <c r="H242" t="s">
        <v>21</v>
      </c>
      <c r="I242" t="s">
        <v>76</v>
      </c>
      <c r="J242" t="s">
        <v>148</v>
      </c>
      <c r="K242" t="s">
        <v>23</v>
      </c>
      <c r="L242">
        <v>3238</v>
      </c>
      <c r="M242" s="4">
        <v>31.105276</v>
      </c>
      <c r="N242" s="4">
        <v>162.25441989984716</v>
      </c>
      <c r="O242" s="4">
        <v>3.6944948310895594E-4</v>
      </c>
      <c r="P242" s="1" t="str">
        <f>HYPERLINK(".\sm_car_260613_0458\sm_car_260613_0458_241_Ca172TrN_MaRDR_DrSt_ode23t_1.png","figure")</f>
        <v>figure</v>
      </c>
      <c r="Q242" t="s">
        <v>15</v>
      </c>
    </row>
    <row r="243" spans="1:17" x14ac:dyDescent="0.25">
      <c r="A243">
        <v>242</v>
      </c>
      <c r="B243">
        <v>139</v>
      </c>
      <c r="C243" t="s">
        <v>45</v>
      </c>
      <c r="D243" t="s">
        <v>17</v>
      </c>
      <c r="E243" t="s">
        <v>18</v>
      </c>
      <c r="F243" t="s">
        <v>19</v>
      </c>
      <c r="G243" t="s">
        <v>26</v>
      </c>
      <c r="H243" t="s">
        <v>21</v>
      </c>
      <c r="I243" t="s">
        <v>77</v>
      </c>
      <c r="J243" t="s">
        <v>148</v>
      </c>
      <c r="K243" t="s">
        <v>23</v>
      </c>
      <c r="L243">
        <v>2967</v>
      </c>
      <c r="M243" s="4">
        <v>35.9510468</v>
      </c>
      <c r="N243" s="4">
        <v>189.27067358726217</v>
      </c>
      <c r="O243" s="4">
        <v>7.4911249832966987E-4</v>
      </c>
      <c r="P243" s="1" t="str">
        <f>HYPERLINK(".\sm_car_260613_0458\sm_car_260613_0458_242_Ca139TrN_MaZRR_DrSt_ode23t_1.png","figure")</f>
        <v>figure</v>
      </c>
      <c r="Q243" t="s">
        <v>15</v>
      </c>
    </row>
    <row r="244" spans="1:17" x14ac:dyDescent="0.25">
      <c r="A244">
        <v>243</v>
      </c>
      <c r="B244">
        <v>165</v>
      </c>
      <c r="C244" t="s">
        <v>45</v>
      </c>
      <c r="D244" t="s">
        <v>35</v>
      </c>
      <c r="E244" t="s">
        <v>49</v>
      </c>
      <c r="F244" t="s">
        <v>19</v>
      </c>
      <c r="G244" t="s">
        <v>26</v>
      </c>
      <c r="H244" t="s">
        <v>21</v>
      </c>
      <c r="I244" t="s">
        <v>77</v>
      </c>
      <c r="J244" t="s">
        <v>148</v>
      </c>
      <c r="K244" t="s">
        <v>23</v>
      </c>
      <c r="L244">
        <v>3235</v>
      </c>
      <c r="M244" s="4">
        <v>21.258160100000001</v>
      </c>
      <c r="N244" s="4">
        <v>189.42270028695617</v>
      </c>
      <c r="O244" s="4">
        <v>5.9916524672873331E-5</v>
      </c>
      <c r="P244" s="1" t="str">
        <f>HYPERLINK(".\sm_car_260613_0458\sm_car_260613_0458_243_Ca165TrN_MaZRR_DrSt_ode23t_1.png","figure")</f>
        <v>figure</v>
      </c>
      <c r="Q244" t="s">
        <v>15</v>
      </c>
    </row>
    <row r="245" spans="1:17" x14ac:dyDescent="0.25">
      <c r="A245">
        <v>244</v>
      </c>
      <c r="B245">
        <v>171</v>
      </c>
      <c r="C245" t="s">
        <v>45</v>
      </c>
      <c r="D245" t="s">
        <v>17</v>
      </c>
      <c r="E245" t="s">
        <v>72</v>
      </c>
      <c r="F245" t="s">
        <v>19</v>
      </c>
      <c r="G245" t="s">
        <v>26</v>
      </c>
      <c r="H245" t="s">
        <v>21</v>
      </c>
      <c r="I245" t="s">
        <v>77</v>
      </c>
      <c r="J245" t="s">
        <v>148</v>
      </c>
      <c r="K245" t="s">
        <v>23</v>
      </c>
      <c r="L245">
        <v>2965</v>
      </c>
      <c r="M245" s="4">
        <v>53.448374100000002</v>
      </c>
      <c r="N245" s="4">
        <v>189.26718781907476</v>
      </c>
      <c r="O245" s="4">
        <v>7.0780413752899191E-4</v>
      </c>
      <c r="P245" s="1" t="str">
        <f>HYPERLINK(".\sm_car_260613_0458\sm_car_260613_0458_244_Ca171TrN_MaZRR_DrSt_ode23t_1.png","figure")</f>
        <v>figure</v>
      </c>
      <c r="Q245" t="s">
        <v>15</v>
      </c>
    </row>
    <row r="246" spans="1:17" x14ac:dyDescent="0.25">
      <c r="A246">
        <v>245</v>
      </c>
      <c r="B246">
        <v>170</v>
      </c>
      <c r="C246" t="s">
        <v>45</v>
      </c>
      <c r="D246" t="s">
        <v>35</v>
      </c>
      <c r="E246" t="s">
        <v>49</v>
      </c>
      <c r="F246" t="s">
        <v>19</v>
      </c>
      <c r="G246" t="s">
        <v>188</v>
      </c>
      <c r="H246" t="s">
        <v>21</v>
      </c>
      <c r="I246" t="s">
        <v>78</v>
      </c>
      <c r="J246" t="s">
        <v>148</v>
      </c>
      <c r="K246" t="s">
        <v>23</v>
      </c>
      <c r="L246">
        <v>5631</v>
      </c>
      <c r="M246" s="4">
        <v>20.248450200000001</v>
      </c>
      <c r="N246" s="4">
        <v>-5.9979544712873629</v>
      </c>
      <c r="O246" s="4">
        <v>-7.748787899003756E-3</v>
      </c>
      <c r="P246" s="1" t="str">
        <f>HYPERLINK(".\sm_car_260613_0458\sm_car_260613_0458_245_Ca170TrN_MaCMP_DrSt_ode23t_1.png","figure")</f>
        <v>figure</v>
      </c>
      <c r="Q246" t="s">
        <v>15</v>
      </c>
    </row>
    <row r="247" spans="1:17" x14ac:dyDescent="0.25">
      <c r="A247">
        <v>246</v>
      </c>
      <c r="B247">
        <v>170</v>
      </c>
      <c r="C247" t="s">
        <v>45</v>
      </c>
      <c r="D247" t="s">
        <v>35</v>
      </c>
      <c r="E247" t="s">
        <v>49</v>
      </c>
      <c r="F247" t="s">
        <v>19</v>
      </c>
      <c r="G247" t="s">
        <v>188</v>
      </c>
      <c r="H247" t="s">
        <v>21</v>
      </c>
      <c r="I247" t="s">
        <v>79</v>
      </c>
      <c r="J247" t="s">
        <v>148</v>
      </c>
      <c r="K247" t="s">
        <v>23</v>
      </c>
      <c r="L247">
        <v>1580</v>
      </c>
      <c r="M247" s="4">
        <v>12.805391500000001</v>
      </c>
      <c r="N247" s="4">
        <v>-5.9979562952002521</v>
      </c>
      <c r="O247" s="4">
        <v>-7.7744401064364149E-3</v>
      </c>
      <c r="P247" s="1" t="str">
        <f>HYPERLINK(".\sm_car_260613_0458\sm_car_260613_0458_246_Ca170TrN_MaCMF_DrSt_ode23t_1.png","figure")</f>
        <v>figure</v>
      </c>
      <c r="Q247" t="s">
        <v>15</v>
      </c>
    </row>
    <row r="248" spans="1:17" x14ac:dyDescent="0.25">
      <c r="A248">
        <v>247</v>
      </c>
      <c r="B248">
        <v>170</v>
      </c>
      <c r="C248" t="s">
        <v>45</v>
      </c>
      <c r="D248" t="s">
        <v>35</v>
      </c>
      <c r="E248" t="s">
        <v>49</v>
      </c>
      <c r="F248" t="s">
        <v>19</v>
      </c>
      <c r="G248" t="s">
        <v>188</v>
      </c>
      <c r="H248" t="s">
        <v>21</v>
      </c>
      <c r="I248" t="s">
        <v>80</v>
      </c>
      <c r="J248" t="s">
        <v>148</v>
      </c>
      <c r="K248" t="s">
        <v>23</v>
      </c>
      <c r="L248">
        <v>5352</v>
      </c>
      <c r="M248" s="4">
        <v>36.728850399999999</v>
      </c>
      <c r="N248" s="4">
        <v>-217.57982253801711</v>
      </c>
      <c r="O248" s="4">
        <v>5.8626187677265129</v>
      </c>
      <c r="P248" s="1" t="str">
        <f>HYPERLINK(".\sm_car_260613_0458\sm_car_260613_0458_247_Ca170TrN_MaMPO_DrSt_ode23t_1.png","figure")</f>
        <v>figure</v>
      </c>
      <c r="Q248" t="s">
        <v>15</v>
      </c>
    </row>
    <row r="249" spans="1:17" x14ac:dyDescent="0.25">
      <c r="A249">
        <v>248</v>
      </c>
      <c r="B249">
        <v>170</v>
      </c>
      <c r="C249" t="s">
        <v>45</v>
      </c>
      <c r="D249" t="s">
        <v>35</v>
      </c>
      <c r="E249" t="s">
        <v>49</v>
      </c>
      <c r="F249" t="s">
        <v>19</v>
      </c>
      <c r="G249" t="s">
        <v>188</v>
      </c>
      <c r="H249" t="s">
        <v>21</v>
      </c>
      <c r="I249" t="s">
        <v>81</v>
      </c>
      <c r="J249" t="s">
        <v>148</v>
      </c>
      <c r="K249" t="s">
        <v>23</v>
      </c>
      <c r="L249">
        <v>1159</v>
      </c>
      <c r="M249" s="4">
        <v>18.9333217</v>
      </c>
      <c r="N249" s="4">
        <v>-14.249805149059753</v>
      </c>
      <c r="O249" s="4">
        <v>-2.4005762248606288E-2</v>
      </c>
      <c r="P249" s="1" t="str">
        <f>HYPERLINK(".\sm_car_260613_0458\sm_car_260613_0458_248_Ca170TrN_MaMCI_DrSt_ode23t_1.png","figure")</f>
        <v>figure</v>
      </c>
      <c r="Q249" t="s">
        <v>15</v>
      </c>
    </row>
    <row r="250" spans="1:17" x14ac:dyDescent="0.25">
      <c r="A250">
        <v>249</v>
      </c>
      <c r="B250">
        <v>170</v>
      </c>
      <c r="C250" t="s">
        <v>45</v>
      </c>
      <c r="D250" t="s">
        <v>35</v>
      </c>
      <c r="E250" t="s">
        <v>49</v>
      </c>
      <c r="F250" t="s">
        <v>19</v>
      </c>
      <c r="G250" t="s">
        <v>188</v>
      </c>
      <c r="H250" t="s">
        <v>21</v>
      </c>
      <c r="I250" t="s">
        <v>110</v>
      </c>
      <c r="J250" t="s">
        <v>148</v>
      </c>
      <c r="K250" t="s">
        <v>23</v>
      </c>
      <c r="L250">
        <v>3658</v>
      </c>
      <c r="M250" s="4">
        <v>31.4617343</v>
      </c>
      <c r="N250" s="4">
        <v>-5.99850593522478</v>
      </c>
      <c r="O250" s="4">
        <v>-5.0284239756188433E-3</v>
      </c>
      <c r="P250" s="1" t="str">
        <f>HYPERLINK(".\sm_car_260613_0458\sm_car_260613_0458_249_Ca170TrN_MaCHO_DrSt_ode23t_1.png","figure")</f>
        <v>figure</v>
      </c>
      <c r="Q250" t="s">
        <v>15</v>
      </c>
    </row>
    <row r="251" spans="1:17" x14ac:dyDescent="0.25">
      <c r="A251">
        <v>250</v>
      </c>
      <c r="B251">
        <v>170</v>
      </c>
      <c r="C251" t="s">
        <v>45</v>
      </c>
      <c r="D251" t="s">
        <v>35</v>
      </c>
      <c r="E251" t="s">
        <v>49</v>
      </c>
      <c r="F251" t="s">
        <v>19</v>
      </c>
      <c r="G251" t="s">
        <v>188</v>
      </c>
      <c r="H251" t="s">
        <v>21</v>
      </c>
      <c r="I251" t="s">
        <v>111</v>
      </c>
      <c r="J251" t="s">
        <v>148</v>
      </c>
      <c r="K251" t="s">
        <v>23</v>
      </c>
      <c r="L251">
        <v>2593</v>
      </c>
      <c r="M251" s="4">
        <v>25.143828899999999</v>
      </c>
      <c r="N251" s="4">
        <v>-5.9933615670907496</v>
      </c>
      <c r="O251" s="4">
        <v>-5.0691476177880581E-3</v>
      </c>
      <c r="P251" s="1" t="str">
        <f>HYPERLINK(".\sm_car_260613_0458\sm_car_260613_0458_250_Ca170TrN_MaCHF_DrSt_ode23t_1.png","figure")</f>
        <v>figure</v>
      </c>
      <c r="Q251" t="s">
        <v>15</v>
      </c>
    </row>
    <row r="252" spans="1:17" x14ac:dyDescent="0.25">
      <c r="A252">
        <v>251</v>
      </c>
      <c r="B252">
        <v>170</v>
      </c>
      <c r="C252" t="s">
        <v>45</v>
      </c>
      <c r="D252" t="s">
        <v>35</v>
      </c>
      <c r="E252" t="s">
        <v>49</v>
      </c>
      <c r="F252" t="s">
        <v>19</v>
      </c>
      <c r="G252" t="s">
        <v>188</v>
      </c>
      <c r="H252" t="s">
        <v>21</v>
      </c>
      <c r="I252" t="s">
        <v>82</v>
      </c>
      <c r="J252" t="s">
        <v>148</v>
      </c>
      <c r="K252" t="s">
        <v>23</v>
      </c>
      <c r="L252">
        <v>9308</v>
      </c>
      <c r="M252" s="4">
        <v>44.637984699999997</v>
      </c>
      <c r="N252" s="4">
        <v>-768.43271412211141</v>
      </c>
      <c r="O252" s="4">
        <v>638.49076571092655</v>
      </c>
      <c r="P252" s="1" t="str">
        <f>HYPERLINK(".\sm_car_260613_0458\sm_car_260613_0458_251_Ca170TrN_MaCKY_DrSt_ode23t_1.png","figure")</f>
        <v>figure</v>
      </c>
      <c r="Q252" t="s">
        <v>15</v>
      </c>
    </row>
    <row r="253" spans="1:17" x14ac:dyDescent="0.25">
      <c r="A253">
        <v>252</v>
      </c>
      <c r="B253">
        <v>170</v>
      </c>
      <c r="C253" t="s">
        <v>45</v>
      </c>
      <c r="D253" t="s">
        <v>35</v>
      </c>
      <c r="E253" t="s">
        <v>49</v>
      </c>
      <c r="F253" t="s">
        <v>19</v>
      </c>
      <c r="G253" t="s">
        <v>188</v>
      </c>
      <c r="H253" t="s">
        <v>21</v>
      </c>
      <c r="I253" t="s">
        <v>83</v>
      </c>
      <c r="J253" t="s">
        <v>148</v>
      </c>
      <c r="K253" t="s">
        <v>23</v>
      </c>
      <c r="L253">
        <v>1664</v>
      </c>
      <c r="M253" s="4">
        <v>23.499811399999999</v>
      </c>
      <c r="N253" s="4">
        <v>-772.44725979243981</v>
      </c>
      <c r="O253" s="4">
        <v>640.62947841703226</v>
      </c>
      <c r="P253" s="1" t="str">
        <f>HYPERLINK(".\sm_car_260613_0458\sm_car_260613_0458_252_Ca170TrN_MaCKF_DrSt_ode23t_1.png","figure")</f>
        <v>figure</v>
      </c>
      <c r="Q253" t="s">
        <v>15</v>
      </c>
    </row>
    <row r="254" spans="1:17" x14ac:dyDescent="0.25">
      <c r="A254">
        <v>253</v>
      </c>
      <c r="B254">
        <v>170</v>
      </c>
      <c r="C254" t="s">
        <v>45</v>
      </c>
      <c r="D254" t="s">
        <v>35</v>
      </c>
      <c r="E254" t="s">
        <v>49</v>
      </c>
      <c r="F254" t="s">
        <v>19</v>
      </c>
      <c r="G254" t="s">
        <v>188</v>
      </c>
      <c r="H254" t="s">
        <v>21</v>
      </c>
      <c r="I254" t="s">
        <v>84</v>
      </c>
      <c r="J254" t="s">
        <v>148</v>
      </c>
      <c r="K254" t="s">
        <v>23</v>
      </c>
      <c r="L254">
        <v>2156</v>
      </c>
      <c r="M254" s="4">
        <v>25.937234100000001</v>
      </c>
      <c r="N254" s="4">
        <v>189.26909582271711</v>
      </c>
      <c r="O254" s="4">
        <v>308.83318050725029</v>
      </c>
      <c r="P254" s="1" t="str">
        <f>HYPERLINK(".\sm_car_260613_0458\sm_car_260613_0458_253_Ca170TrN_MaCNN_DrSt_ode23t_1.png","figure")</f>
        <v>figure</v>
      </c>
      <c r="Q254" t="s">
        <v>15</v>
      </c>
    </row>
    <row r="255" spans="1:17" x14ac:dyDescent="0.25">
      <c r="A255">
        <v>254</v>
      </c>
      <c r="B255">
        <v>170</v>
      </c>
      <c r="C255" t="s">
        <v>45</v>
      </c>
      <c r="D255" t="s">
        <v>35</v>
      </c>
      <c r="E255" t="s">
        <v>49</v>
      </c>
      <c r="F255" t="s">
        <v>19</v>
      </c>
      <c r="G255" t="s">
        <v>188</v>
      </c>
      <c r="H255" t="s">
        <v>21</v>
      </c>
      <c r="I255" t="s">
        <v>85</v>
      </c>
      <c r="J255" t="s">
        <v>148</v>
      </c>
      <c r="K255" t="s">
        <v>23</v>
      </c>
      <c r="L255">
        <v>3524</v>
      </c>
      <c r="M255" s="4">
        <v>168.70271170000001</v>
      </c>
      <c r="N255" s="4">
        <v>2982.1141146931627</v>
      </c>
      <c r="O255" s="4">
        <v>-3077.3778891952375</v>
      </c>
      <c r="P255" s="1" t="str">
        <f>HYPERLINK(".\sm_car_260613_0458\sm_car_260613_0458_254_Ca170TrN_MaCNF_DrSt_ode23t_1.png","figure")</f>
        <v>figure</v>
      </c>
      <c r="Q255" t="s">
        <v>15</v>
      </c>
    </row>
    <row r="256" spans="1:17" x14ac:dyDescent="0.25">
      <c r="A256">
        <v>255</v>
      </c>
      <c r="B256">
        <v>170</v>
      </c>
      <c r="C256" t="s">
        <v>45</v>
      </c>
      <c r="D256" t="s">
        <v>35</v>
      </c>
      <c r="E256" t="s">
        <v>49</v>
      </c>
      <c r="F256" t="s">
        <v>19</v>
      </c>
      <c r="G256" t="s">
        <v>188</v>
      </c>
      <c r="H256" t="s">
        <v>21</v>
      </c>
      <c r="I256" t="s">
        <v>86</v>
      </c>
      <c r="J256" t="s">
        <v>148</v>
      </c>
      <c r="K256" t="s">
        <v>23</v>
      </c>
      <c r="L256">
        <v>2750</v>
      </c>
      <c r="M256" s="4">
        <v>26.461005</v>
      </c>
      <c r="N256" s="4">
        <v>498.15245303762708</v>
      </c>
      <c r="O256" s="4">
        <v>-175.9600399106761</v>
      </c>
      <c r="P256" s="1" t="str">
        <f>HYPERLINK(".\sm_car_260613_0458\sm_car_260613_0458_255_Ca170TrN_MaCSZ_DrSt_ode23t_1.png","figure")</f>
        <v>figure</v>
      </c>
      <c r="Q256" t="s">
        <v>15</v>
      </c>
    </row>
    <row r="257" spans="1:17" x14ac:dyDescent="0.25">
      <c r="A257">
        <v>256</v>
      </c>
      <c r="B257">
        <v>170</v>
      </c>
      <c r="C257" t="s">
        <v>45</v>
      </c>
      <c r="D257" t="s">
        <v>35</v>
      </c>
      <c r="E257" t="s">
        <v>49</v>
      </c>
      <c r="F257" t="s">
        <v>19</v>
      </c>
      <c r="G257" t="s">
        <v>188</v>
      </c>
      <c r="H257" t="s">
        <v>21</v>
      </c>
      <c r="I257" t="s">
        <v>87</v>
      </c>
      <c r="J257" t="s">
        <v>148</v>
      </c>
      <c r="K257" t="s">
        <v>23</v>
      </c>
      <c r="L257">
        <v>5089</v>
      </c>
      <c r="M257" s="4">
        <v>168.75750239999999</v>
      </c>
      <c r="N257" s="4">
        <v>-8.9459360174484885</v>
      </c>
      <c r="O257" s="4">
        <v>6.9558450255878031E-3</v>
      </c>
      <c r="P257" s="1" t="str">
        <f>HYPERLINK(".\sm_car_260613_0458\sm_car_260613_0458_256_Ca170TrN_MaCSF_DrSt_ode23t_1.png","figure")</f>
        <v>figure</v>
      </c>
      <c r="Q257" t="s">
        <v>15</v>
      </c>
    </row>
    <row r="258" spans="1:17" x14ac:dyDescent="0.25">
      <c r="A258">
        <v>257</v>
      </c>
      <c r="B258">
        <v>170</v>
      </c>
      <c r="C258" t="s">
        <v>45</v>
      </c>
      <c r="D258" t="s">
        <v>35</v>
      </c>
      <c r="E258" t="s">
        <v>49</v>
      </c>
      <c r="F258" t="s">
        <v>19</v>
      </c>
      <c r="G258" t="s">
        <v>188</v>
      </c>
      <c r="H258" t="s">
        <v>21</v>
      </c>
      <c r="I258" t="s">
        <v>88</v>
      </c>
      <c r="J258" t="s">
        <v>148</v>
      </c>
      <c r="K258" t="s">
        <v>23</v>
      </c>
      <c r="L258">
        <v>1409</v>
      </c>
      <c r="M258" s="4">
        <v>32.664435300000001</v>
      </c>
      <c r="N258" s="4">
        <v>247.75492942953616</v>
      </c>
      <c r="O258" s="4">
        <v>391.38252535414676</v>
      </c>
      <c r="P258" s="1" t="str">
        <f>HYPERLINK(".\sm_car_260613_0458\sm_car_260613_0458_257_Ca170TrN_MaCPU_DrSt_ode23t_1.png","figure")</f>
        <v>figure</v>
      </c>
      <c r="Q258" t="s">
        <v>15</v>
      </c>
    </row>
    <row r="259" spans="1:17" x14ac:dyDescent="0.25">
      <c r="A259">
        <v>258</v>
      </c>
      <c r="B259">
        <v>170</v>
      </c>
      <c r="C259" t="s">
        <v>45</v>
      </c>
      <c r="D259" t="s">
        <v>35</v>
      </c>
      <c r="E259" t="s">
        <v>49</v>
      </c>
      <c r="F259" t="s">
        <v>19</v>
      </c>
      <c r="G259" t="s">
        <v>188</v>
      </c>
      <c r="H259" t="s">
        <v>21</v>
      </c>
      <c r="I259" t="s">
        <v>89</v>
      </c>
      <c r="J259" t="s">
        <v>148</v>
      </c>
      <c r="K259" t="s">
        <v>23</v>
      </c>
      <c r="L259">
        <v>2231</v>
      </c>
      <c r="M259" s="4">
        <v>44.867894300000003</v>
      </c>
      <c r="N259" s="4">
        <v>179.58618435095036</v>
      </c>
      <c r="O259" s="4">
        <v>-180.28780787958567</v>
      </c>
      <c r="P259" s="1" t="str">
        <f>HYPERLINK(".\sm_car_260613_0458\sm_car_260613_0458_258_Ca170TrN_MaCPD_DrSt_ode23t_1.png","figure")</f>
        <v>figure</v>
      </c>
      <c r="Q259" t="s">
        <v>15</v>
      </c>
    </row>
    <row r="260" spans="1:17" x14ac:dyDescent="0.25">
      <c r="A260">
        <v>259</v>
      </c>
      <c r="B260">
        <v>202</v>
      </c>
      <c r="C260" t="s">
        <v>45</v>
      </c>
      <c r="D260" t="s">
        <v>35</v>
      </c>
      <c r="E260" t="s">
        <v>107</v>
      </c>
      <c r="F260" t="s">
        <v>19</v>
      </c>
      <c r="G260" t="s">
        <v>188</v>
      </c>
      <c r="H260" t="s">
        <v>21</v>
      </c>
      <c r="I260" t="s">
        <v>79</v>
      </c>
      <c r="J260" t="s">
        <v>148</v>
      </c>
      <c r="K260" t="s">
        <v>23</v>
      </c>
      <c r="L260">
        <v>1579</v>
      </c>
      <c r="M260" s="4">
        <v>4.7582054999999999</v>
      </c>
      <c r="N260" s="4">
        <v>-5.9998316658648214</v>
      </c>
      <c r="O260" s="4">
        <v>-7.7678266395743512E-3</v>
      </c>
      <c r="P260" s="1" t="str">
        <f>HYPERLINK(".\sm_car_260613_0458\sm_car_260613_0458_259_Ca202TrN_MaCMF_DrSt_ode23t_1.png","figure")</f>
        <v>figure</v>
      </c>
      <c r="Q260" t="s">
        <v>15</v>
      </c>
    </row>
    <row r="261" spans="1:17" x14ac:dyDescent="0.25">
      <c r="A261">
        <v>260</v>
      </c>
      <c r="B261">
        <v>202</v>
      </c>
      <c r="C261" t="s">
        <v>45</v>
      </c>
      <c r="D261" t="s">
        <v>35</v>
      </c>
      <c r="E261" t="s">
        <v>107</v>
      </c>
      <c r="F261" t="s">
        <v>19</v>
      </c>
      <c r="G261" t="s">
        <v>188</v>
      </c>
      <c r="H261" t="s">
        <v>21</v>
      </c>
      <c r="I261" t="s">
        <v>80</v>
      </c>
      <c r="J261" t="s">
        <v>148</v>
      </c>
      <c r="K261" t="s">
        <v>23</v>
      </c>
      <c r="L261">
        <v>5307</v>
      </c>
      <c r="M261" s="4">
        <v>35.599549600000003</v>
      </c>
      <c r="N261" s="4">
        <v>-217.47160619863675</v>
      </c>
      <c r="O261" s="4">
        <v>5.8455713999180903</v>
      </c>
      <c r="P261" s="1" t="str">
        <f>HYPERLINK(".\sm_car_260613_0458\sm_car_260613_0458_260_Ca202TrN_MaMPO_DrSt_ode23t_1.png","figure")</f>
        <v>figure</v>
      </c>
      <c r="Q261" t="s">
        <v>15</v>
      </c>
    </row>
    <row r="262" spans="1:17" x14ac:dyDescent="0.25">
      <c r="A262">
        <v>261</v>
      </c>
      <c r="B262">
        <v>202</v>
      </c>
      <c r="C262" t="s">
        <v>45</v>
      </c>
      <c r="D262" t="s">
        <v>35</v>
      </c>
      <c r="E262" t="s">
        <v>107</v>
      </c>
      <c r="F262" t="s">
        <v>19</v>
      </c>
      <c r="G262" t="s">
        <v>188</v>
      </c>
      <c r="H262" t="s">
        <v>21</v>
      </c>
      <c r="I262" t="s">
        <v>81</v>
      </c>
      <c r="J262" t="s">
        <v>148</v>
      </c>
      <c r="K262" t="s">
        <v>23</v>
      </c>
      <c r="L262">
        <v>1194</v>
      </c>
      <c r="M262" s="4">
        <v>10.4060598</v>
      </c>
      <c r="N262" s="4">
        <v>-14.251746095493395</v>
      </c>
      <c r="O262" s="4">
        <v>-2.5640794336368344E-2</v>
      </c>
      <c r="P262" s="1" t="str">
        <f>HYPERLINK(".\sm_car_260613_0458\sm_car_260613_0458_261_Ca202TrN_MaMCI_DrSt_ode23t_1.png","figure")</f>
        <v>figure</v>
      </c>
      <c r="Q262" t="s">
        <v>15</v>
      </c>
    </row>
    <row r="263" spans="1:17" x14ac:dyDescent="0.25">
      <c r="A263">
        <v>262</v>
      </c>
      <c r="B263">
        <v>202</v>
      </c>
      <c r="C263" t="s">
        <v>45</v>
      </c>
      <c r="D263" t="s">
        <v>35</v>
      </c>
      <c r="E263" t="s">
        <v>107</v>
      </c>
      <c r="F263" t="s">
        <v>19</v>
      </c>
      <c r="G263" t="s">
        <v>188</v>
      </c>
      <c r="H263" t="s">
        <v>21</v>
      </c>
      <c r="I263" t="s">
        <v>83</v>
      </c>
      <c r="J263" t="s">
        <v>148</v>
      </c>
      <c r="K263" t="s">
        <v>23</v>
      </c>
      <c r="L263">
        <v>2866</v>
      </c>
      <c r="M263" s="4">
        <v>24.607821699999999</v>
      </c>
      <c r="N263" s="4">
        <v>-5.903938295935812</v>
      </c>
      <c r="O263" s="4">
        <v>-2.878994364612552E-2</v>
      </c>
      <c r="P263" s="1" t="str">
        <f>HYPERLINK(".\sm_car_260613_0458\sm_car_260613_0458_262_Ca202TrN_MaCKF_DrSt_ode23t_1.png","figure")</f>
        <v>figure</v>
      </c>
      <c r="Q263" t="s">
        <v>15</v>
      </c>
    </row>
    <row r="264" spans="1:17" x14ac:dyDescent="0.25">
      <c r="A264">
        <v>263</v>
      </c>
      <c r="B264">
        <v>202</v>
      </c>
      <c r="C264" t="s">
        <v>45</v>
      </c>
      <c r="D264" t="s">
        <v>35</v>
      </c>
      <c r="E264" t="s">
        <v>107</v>
      </c>
      <c r="F264" t="s">
        <v>19</v>
      </c>
      <c r="G264" t="s">
        <v>188</v>
      </c>
      <c r="H264" t="s">
        <v>21</v>
      </c>
      <c r="I264" t="s">
        <v>85</v>
      </c>
      <c r="J264" t="s">
        <v>148</v>
      </c>
      <c r="K264" t="s">
        <v>23</v>
      </c>
      <c r="L264">
        <v>8383</v>
      </c>
      <c r="M264" s="4">
        <v>214.7442155</v>
      </c>
      <c r="N264" s="4">
        <v>-8.999901019335022</v>
      </c>
      <c r="O264" s="4">
        <v>1.3131077925574193E-2</v>
      </c>
      <c r="P264" s="1" t="str">
        <f>HYPERLINK(".\sm_car_260613_0458\sm_car_260613_0458_263_Ca202TrN_MaCNF_DrSt_ode23t_1.png","figure")</f>
        <v>figure</v>
      </c>
      <c r="Q264" t="s">
        <v>15</v>
      </c>
    </row>
    <row r="265" spans="1:17" x14ac:dyDescent="0.25">
      <c r="A265">
        <v>264</v>
      </c>
      <c r="B265">
        <v>202</v>
      </c>
      <c r="C265" t="s">
        <v>45</v>
      </c>
      <c r="D265" t="s">
        <v>35</v>
      </c>
      <c r="E265" t="s">
        <v>107</v>
      </c>
      <c r="F265" t="s">
        <v>19</v>
      </c>
      <c r="G265" t="s">
        <v>188</v>
      </c>
      <c r="H265" t="s">
        <v>21</v>
      </c>
      <c r="I265" t="s">
        <v>87</v>
      </c>
      <c r="J265" t="s">
        <v>148</v>
      </c>
      <c r="K265" t="s">
        <v>23</v>
      </c>
      <c r="L265">
        <v>5101</v>
      </c>
      <c r="M265" s="4">
        <v>93.072927899999996</v>
      </c>
      <c r="N265" s="4">
        <v>-8.9494871101436022</v>
      </c>
      <c r="O265" s="4">
        <v>6.9435216979726192E-3</v>
      </c>
      <c r="P265" s="1" t="str">
        <f>HYPERLINK(".\sm_car_260613_0458\sm_car_260613_0458_264_Ca202TrN_MaCSF_DrSt_ode23t_1.png","figure")</f>
        <v>figure</v>
      </c>
      <c r="Q265" t="s">
        <v>15</v>
      </c>
    </row>
    <row r="266" spans="1:17" x14ac:dyDescent="0.25">
      <c r="A266">
        <v>265</v>
      </c>
      <c r="B266">
        <v>202</v>
      </c>
      <c r="C266" t="s">
        <v>45</v>
      </c>
      <c r="D266" t="s">
        <v>35</v>
      </c>
      <c r="E266" t="s">
        <v>107</v>
      </c>
      <c r="F266" t="s">
        <v>19</v>
      </c>
      <c r="G266" t="s">
        <v>188</v>
      </c>
      <c r="H266" t="s">
        <v>21</v>
      </c>
      <c r="I266" t="s">
        <v>78</v>
      </c>
      <c r="J266" t="s">
        <v>148</v>
      </c>
      <c r="K266" t="s">
        <v>23</v>
      </c>
      <c r="L266">
        <v>6167</v>
      </c>
      <c r="M266" s="4">
        <v>31.663840199999999</v>
      </c>
      <c r="N266" s="4">
        <v>-5.9993347677913178</v>
      </c>
      <c r="O266" s="4">
        <v>-7.690803748755577E-3</v>
      </c>
      <c r="P266" s="1" t="str">
        <f>HYPERLINK(".\sm_car_260613_0458\sm_car_260613_0458_265_Ca202TrN_MaCMP_DrSt_ode23t_1.png","figure")</f>
        <v>figure</v>
      </c>
      <c r="Q266" t="s">
        <v>15</v>
      </c>
    </row>
    <row r="267" spans="1:17" x14ac:dyDescent="0.25">
      <c r="A267">
        <v>266</v>
      </c>
      <c r="B267">
        <v>202</v>
      </c>
      <c r="C267" t="s">
        <v>45</v>
      </c>
      <c r="D267" t="s">
        <v>35</v>
      </c>
      <c r="E267" t="s">
        <v>107</v>
      </c>
      <c r="F267" t="s">
        <v>19</v>
      </c>
      <c r="G267" t="s">
        <v>188</v>
      </c>
      <c r="H267" t="s">
        <v>21</v>
      </c>
      <c r="I267" t="s">
        <v>82</v>
      </c>
      <c r="J267" t="s">
        <v>148</v>
      </c>
      <c r="K267" t="s">
        <v>23</v>
      </c>
      <c r="L267">
        <v>20058</v>
      </c>
      <c r="M267" s="4">
        <v>85.358477100000002</v>
      </c>
      <c r="N267" s="4">
        <v>-5.9980309842757169</v>
      </c>
      <c r="O267" s="4">
        <v>-3.0431519449306919E-2</v>
      </c>
      <c r="P267" s="1" t="str">
        <f>HYPERLINK(".\sm_car_260613_0458\sm_car_260613_0458_266_Ca202TrN_MaCKY_DrSt_ode23t_1.png","figure")</f>
        <v>figure</v>
      </c>
      <c r="Q267" t="s">
        <v>15</v>
      </c>
    </row>
    <row r="268" spans="1:17" x14ac:dyDescent="0.25">
      <c r="A268">
        <v>267</v>
      </c>
      <c r="B268">
        <v>202</v>
      </c>
      <c r="C268" t="s">
        <v>45</v>
      </c>
      <c r="D268" t="s">
        <v>35</v>
      </c>
      <c r="E268" t="s">
        <v>107</v>
      </c>
      <c r="F268" t="s">
        <v>19</v>
      </c>
      <c r="G268" t="s">
        <v>188</v>
      </c>
      <c r="H268" t="s">
        <v>21</v>
      </c>
      <c r="I268" t="s">
        <v>75</v>
      </c>
      <c r="J268" t="s">
        <v>148</v>
      </c>
      <c r="K268" t="s">
        <v>23</v>
      </c>
      <c r="L268">
        <v>405</v>
      </c>
      <c r="M268" s="4">
        <v>2.4558865999999999</v>
      </c>
      <c r="N268" s="4">
        <v>381.50656860592665</v>
      </c>
      <c r="O268" s="4">
        <v>0.33615741550794415</v>
      </c>
      <c r="P268" s="1" t="str">
        <f>HYPERLINK(".\sm_car_260613_0458\sm_car_260613_0458_267_Ca202TrN_MaCPL_DrSt_ode23t_1.png","figure")</f>
        <v>figure</v>
      </c>
      <c r="Q268" t="s">
        <v>15</v>
      </c>
    </row>
    <row r="269" spans="1:17" x14ac:dyDescent="0.25">
      <c r="A269">
        <v>268</v>
      </c>
      <c r="B269">
        <v>140</v>
      </c>
      <c r="C269" t="s">
        <v>45</v>
      </c>
      <c r="D269" t="s">
        <v>17</v>
      </c>
      <c r="E269" t="s">
        <v>49</v>
      </c>
      <c r="F269" t="s">
        <v>19</v>
      </c>
      <c r="G269" t="s">
        <v>26</v>
      </c>
      <c r="H269" t="s">
        <v>21</v>
      </c>
      <c r="I269" t="s">
        <v>112</v>
      </c>
      <c r="J269" t="s">
        <v>148</v>
      </c>
      <c r="K269" t="s">
        <v>23</v>
      </c>
      <c r="L269">
        <v>2597</v>
      </c>
      <c r="M269" s="4">
        <v>56.796635199999997</v>
      </c>
      <c r="N269" s="4">
        <v>189.15495290202026</v>
      </c>
      <c r="O269" s="4">
        <v>7.0242184733505645E-4</v>
      </c>
      <c r="P269" s="1" t="str">
        <f>HYPERLINK(".\sm_car_260613_0458\sm_car_260613_0458_268_Ca140TrN_MaCRR_DrSt_ode23t_1.png","figure")</f>
        <v>figure</v>
      </c>
      <c r="Q269" t="s">
        <v>15</v>
      </c>
    </row>
    <row r="270" spans="1:17" x14ac:dyDescent="0.25">
      <c r="A270">
        <v>269</v>
      </c>
      <c r="B270">
        <v>189</v>
      </c>
      <c r="C270" t="s">
        <v>45</v>
      </c>
      <c r="D270" t="s">
        <v>17</v>
      </c>
      <c r="E270" t="s">
        <v>107</v>
      </c>
      <c r="F270" t="s">
        <v>19</v>
      </c>
      <c r="G270" t="s">
        <v>26</v>
      </c>
      <c r="H270" t="s">
        <v>21</v>
      </c>
      <c r="I270" t="s">
        <v>112</v>
      </c>
      <c r="J270" t="s">
        <v>148</v>
      </c>
      <c r="K270" t="s">
        <v>23</v>
      </c>
      <c r="L270">
        <v>3150</v>
      </c>
      <c r="M270" s="4">
        <v>50.003816399999998</v>
      </c>
      <c r="N270" s="4">
        <v>189.19178023876037</v>
      </c>
      <c r="O270" s="4">
        <v>7.3806000583280247E-4</v>
      </c>
      <c r="P270" s="1" t="str">
        <f>HYPERLINK(".\sm_car_260613_0458\sm_car_260613_0458_269_Ca189TrN_MaCRR_DrSt_ode23t_1.png","figure")</f>
        <v>figure</v>
      </c>
      <c r="Q270" t="s">
        <v>15</v>
      </c>
    </row>
    <row r="271" spans="1:17" x14ac:dyDescent="0.25">
      <c r="A271">
        <v>270</v>
      </c>
      <c r="B271">
        <v>189</v>
      </c>
      <c r="C271" t="s">
        <v>45</v>
      </c>
      <c r="D271" t="s">
        <v>17</v>
      </c>
      <c r="E271" t="s">
        <v>107</v>
      </c>
      <c r="F271" t="s">
        <v>19</v>
      </c>
      <c r="G271" t="s">
        <v>26</v>
      </c>
      <c r="H271" t="s">
        <v>21</v>
      </c>
      <c r="I271" t="s">
        <v>199</v>
      </c>
      <c r="J271" t="s">
        <v>148</v>
      </c>
      <c r="K271" t="s">
        <v>23</v>
      </c>
      <c r="L271">
        <v>10210</v>
      </c>
      <c r="M271" s="4">
        <v>146.01484500000001</v>
      </c>
      <c r="N271" s="4">
        <v>208.8114064356717</v>
      </c>
      <c r="O271" s="4">
        <v>-0.76787624814573441</v>
      </c>
      <c r="P271" s="1" t="str">
        <f>HYPERLINK(".\sm_car_260613_0458\sm_car_260613_0458_270_Ca189TrN_MaGSU_DrSt_ode23t_1.png","figure")</f>
        <v>figure</v>
      </c>
      <c r="Q271" t="s">
        <v>15</v>
      </c>
    </row>
    <row r="272" spans="1:17" x14ac:dyDescent="0.25">
      <c r="A272">
        <v>271</v>
      </c>
      <c r="B272">
        <v>173</v>
      </c>
      <c r="C272" t="s">
        <v>45</v>
      </c>
      <c r="D272" t="s">
        <v>35</v>
      </c>
      <c r="E272" t="s">
        <v>49</v>
      </c>
      <c r="F272" t="s">
        <v>19</v>
      </c>
      <c r="G272" t="s">
        <v>90</v>
      </c>
      <c r="H272" t="s">
        <v>21</v>
      </c>
      <c r="I272" t="s">
        <v>91</v>
      </c>
      <c r="J272" t="s">
        <v>148</v>
      </c>
      <c r="K272" t="s">
        <v>92</v>
      </c>
      <c r="L272">
        <v>1487</v>
      </c>
      <c r="M272" s="4">
        <v>77.773689899999994</v>
      </c>
      <c r="N272" s="4">
        <v>51.283748483001482</v>
      </c>
      <c r="O272" s="4">
        <v>8.837049604194935E-3</v>
      </c>
      <c r="P272" s="1" t="str">
        <f>HYPERLINK(".\sm_car_260613_0458\sm_car_260613_0458_271_Ca173TrN_MaDCA_DrSt_daessc_1.png","figure")</f>
        <v>figure</v>
      </c>
      <c r="Q272" t="s">
        <v>15</v>
      </c>
    </row>
    <row r="273" spans="1:17" x14ac:dyDescent="0.25">
      <c r="A273">
        <v>272</v>
      </c>
      <c r="B273">
        <v>173</v>
      </c>
      <c r="C273" t="s">
        <v>45</v>
      </c>
      <c r="D273" t="s">
        <v>35</v>
      </c>
      <c r="E273" t="s">
        <v>49</v>
      </c>
      <c r="F273" t="s">
        <v>19</v>
      </c>
      <c r="G273" t="s">
        <v>90</v>
      </c>
      <c r="H273" t="s">
        <v>21</v>
      </c>
      <c r="I273" t="s">
        <v>93</v>
      </c>
      <c r="J273" t="s">
        <v>148</v>
      </c>
      <c r="K273" t="s">
        <v>92</v>
      </c>
      <c r="L273">
        <v>3990</v>
      </c>
      <c r="M273" s="4">
        <v>130.53132919999999</v>
      </c>
      <c r="N273" s="4">
        <v>980.48585210211229</v>
      </c>
      <c r="O273" s="4">
        <v>0.73194399082132988</v>
      </c>
      <c r="P273" s="1" t="str">
        <f>HYPERLINK(".\sm_car_260613_0458\sm_car_260613_0458_272_Ca173TrN_MaDC1_DrSt_daessc_1.png","figure")</f>
        <v>figure</v>
      </c>
      <c r="Q273" t="s">
        <v>15</v>
      </c>
    </row>
    <row r="274" spans="1:17" x14ac:dyDescent="0.25">
      <c r="A274">
        <v>273</v>
      </c>
      <c r="B274">
        <v>165</v>
      </c>
      <c r="C274" t="s">
        <v>45</v>
      </c>
      <c r="D274" t="s">
        <v>35</v>
      </c>
      <c r="E274" t="s">
        <v>49</v>
      </c>
      <c r="F274" t="s">
        <v>19</v>
      </c>
      <c r="G274" t="s">
        <v>26</v>
      </c>
      <c r="H274" t="s">
        <v>21</v>
      </c>
      <c r="I274" t="s">
        <v>91</v>
      </c>
      <c r="J274" t="s">
        <v>148</v>
      </c>
      <c r="K274" t="s">
        <v>23</v>
      </c>
      <c r="L274">
        <v>287</v>
      </c>
      <c r="M274" s="4">
        <v>3.7721008</v>
      </c>
      <c r="N274" s="4">
        <v>53.501075408429408</v>
      </c>
      <c r="O274" s="4">
        <v>9.9074524637766132E-3</v>
      </c>
      <c r="P274" s="1" t="str">
        <f>HYPERLINK(".\sm_car_260613_0458\sm_car_260613_0458_273_Ca165TrN_MaDCA_DrSt_ode23t_1.png","figure")</f>
        <v>figure</v>
      </c>
      <c r="Q274" t="s">
        <v>15</v>
      </c>
    </row>
    <row r="275" spans="1:17" x14ac:dyDescent="0.25">
      <c r="A275">
        <v>274</v>
      </c>
      <c r="B275">
        <v>165</v>
      </c>
      <c r="C275" t="s">
        <v>45</v>
      </c>
      <c r="D275" t="s">
        <v>35</v>
      </c>
      <c r="E275" t="s">
        <v>49</v>
      </c>
      <c r="F275" t="s">
        <v>19</v>
      </c>
      <c r="G275" t="s">
        <v>26</v>
      </c>
      <c r="H275" t="s">
        <v>21</v>
      </c>
      <c r="I275" t="s">
        <v>93</v>
      </c>
      <c r="J275" t="s">
        <v>148</v>
      </c>
      <c r="K275" t="s">
        <v>23</v>
      </c>
      <c r="L275">
        <v>1155</v>
      </c>
      <c r="M275" s="4">
        <v>11.8449355</v>
      </c>
      <c r="N275" s="4">
        <v>992.67891038613811</v>
      </c>
      <c r="O275" s="4">
        <v>0.78323709219535942</v>
      </c>
      <c r="P275" s="1" t="str">
        <f>HYPERLINK(".\sm_car_260613_0458\sm_car_260613_0458_274_Ca165TrN_MaDC1_DrSt_ode23t_1.png","figure")</f>
        <v>figure</v>
      </c>
      <c r="Q275" t="s">
        <v>15</v>
      </c>
    </row>
    <row r="276" spans="1:17" x14ac:dyDescent="0.25">
      <c r="A276">
        <v>275</v>
      </c>
      <c r="B276">
        <v>196</v>
      </c>
      <c r="C276" t="s">
        <v>45</v>
      </c>
      <c r="D276" t="s">
        <v>35</v>
      </c>
      <c r="E276" t="s">
        <v>107</v>
      </c>
      <c r="F276" t="s">
        <v>19</v>
      </c>
      <c r="G276" t="s">
        <v>90</v>
      </c>
      <c r="H276" t="s">
        <v>21</v>
      </c>
      <c r="I276" t="s">
        <v>93</v>
      </c>
      <c r="J276" t="s">
        <v>148</v>
      </c>
      <c r="K276" t="s">
        <v>92</v>
      </c>
      <c r="L276">
        <v>4005</v>
      </c>
      <c r="M276" s="4">
        <v>69.543668600000004</v>
      </c>
      <c r="N276" s="4">
        <v>980.48177675017371</v>
      </c>
      <c r="O276" s="4">
        <v>0.73249173424895375</v>
      </c>
      <c r="P276" s="1" t="str">
        <f>HYPERLINK(".\sm_car_260613_0458\sm_car_260613_0458_275_Ca196TrN_MaDC1_DrSt_daessc_1.png","figure")</f>
        <v>figure</v>
      </c>
      <c r="Q276" t="s">
        <v>15</v>
      </c>
    </row>
    <row r="277" spans="1:17" x14ac:dyDescent="0.25">
      <c r="A277">
        <v>276</v>
      </c>
      <c r="B277">
        <v>179</v>
      </c>
      <c r="C277" t="s">
        <v>45</v>
      </c>
      <c r="D277" t="s">
        <v>57</v>
      </c>
      <c r="E277" t="s">
        <v>18</v>
      </c>
      <c r="F277" t="s">
        <v>19</v>
      </c>
      <c r="G277" t="s">
        <v>26</v>
      </c>
      <c r="H277" t="s">
        <v>21</v>
      </c>
      <c r="I277" t="s">
        <v>22</v>
      </c>
      <c r="J277" t="s">
        <v>148</v>
      </c>
      <c r="K277" t="s">
        <v>23</v>
      </c>
      <c r="L277">
        <v>436</v>
      </c>
      <c r="M277" s="4">
        <v>7.3369033000000003</v>
      </c>
      <c r="N277" s="4">
        <v>147.77372875873283</v>
      </c>
      <c r="O277" s="4">
        <v>9.5733738466374466E-2</v>
      </c>
      <c r="P277" s="1" t="str">
        <f>HYPERLINK(".\sm_car_260613_0458\sm_car_260613_0458_276_Ca179TrN_MaWOT_DrSt_ode23t_1.png","figure")</f>
        <v>figure</v>
      </c>
      <c r="Q277" t="s">
        <v>15</v>
      </c>
    </row>
    <row r="278" spans="1:17" x14ac:dyDescent="0.25">
      <c r="A278">
        <v>277</v>
      </c>
      <c r="B278">
        <v>180</v>
      </c>
      <c r="C278" t="s">
        <v>45</v>
      </c>
      <c r="D278" t="s">
        <v>57</v>
      </c>
      <c r="E278" t="s">
        <v>49</v>
      </c>
      <c r="F278" t="s">
        <v>19</v>
      </c>
      <c r="G278" t="s">
        <v>26</v>
      </c>
      <c r="H278" t="s">
        <v>21</v>
      </c>
      <c r="I278" t="s">
        <v>22</v>
      </c>
      <c r="J278" t="s">
        <v>148</v>
      </c>
      <c r="K278" t="s">
        <v>23</v>
      </c>
      <c r="L278">
        <v>471</v>
      </c>
      <c r="M278" s="4">
        <v>8.0010087999999993</v>
      </c>
      <c r="N278" s="4">
        <v>147.79276149562878</v>
      </c>
      <c r="O278" s="4">
        <v>9.5493524037321628E-2</v>
      </c>
      <c r="P278" s="1" t="str">
        <f>HYPERLINK(".\sm_car_260613_0458\sm_car_260613_0458_277_Ca180TrN_MaWOT_DrSt_ode23t_1.png","figure")</f>
        <v>figure</v>
      </c>
      <c r="Q278" t="s">
        <v>15</v>
      </c>
    </row>
    <row r="279" spans="1:17" x14ac:dyDescent="0.25">
      <c r="A279">
        <v>278</v>
      </c>
      <c r="B279">
        <v>197</v>
      </c>
      <c r="C279" t="s">
        <v>45</v>
      </c>
      <c r="D279" t="s">
        <v>57</v>
      </c>
      <c r="E279" t="s">
        <v>107</v>
      </c>
      <c r="F279" t="s">
        <v>19</v>
      </c>
      <c r="G279" t="s">
        <v>26</v>
      </c>
      <c r="H279" t="s">
        <v>21</v>
      </c>
      <c r="I279" t="s">
        <v>22</v>
      </c>
      <c r="J279" t="s">
        <v>148</v>
      </c>
      <c r="K279" t="s">
        <v>23</v>
      </c>
      <c r="L279">
        <v>406</v>
      </c>
      <c r="M279" s="4">
        <v>2.3365155999999998</v>
      </c>
      <c r="N279" s="4">
        <v>147.77983677776265</v>
      </c>
      <c r="O279" s="4">
        <v>9.5486030092532204E-2</v>
      </c>
      <c r="P279" s="1" t="str">
        <f>HYPERLINK(".\sm_car_260613_0458\sm_car_260613_0458_278_Ca197TrN_MaWOT_DrSt_ode23t_1.png","figure")</f>
        <v>figure</v>
      </c>
      <c r="Q279" t="s">
        <v>15</v>
      </c>
    </row>
    <row r="280" spans="1:17" x14ac:dyDescent="0.25">
      <c r="A280">
        <v>279</v>
      </c>
      <c r="B280">
        <v>182</v>
      </c>
      <c r="C280" t="s">
        <v>45</v>
      </c>
      <c r="D280" t="s">
        <v>17</v>
      </c>
      <c r="E280" t="s">
        <v>49</v>
      </c>
      <c r="F280" t="s">
        <v>19</v>
      </c>
      <c r="G280" t="s">
        <v>26</v>
      </c>
      <c r="H280" t="s">
        <v>21</v>
      </c>
      <c r="I280" t="s">
        <v>64</v>
      </c>
      <c r="J280" t="s">
        <v>148</v>
      </c>
      <c r="K280" t="s">
        <v>23</v>
      </c>
      <c r="L280">
        <v>425</v>
      </c>
      <c r="M280" s="4">
        <v>14.704979399999999</v>
      </c>
      <c r="N280" s="4">
        <v>61.847165800025394</v>
      </c>
      <c r="O280" s="4">
        <v>-24.161240776915008</v>
      </c>
      <c r="P280" s="1" t="str">
        <f>HYPERLINK(".\sm_car_260613_0458\sm_car_260613_0458_279_Ca182TrN_MaTUR_DrSt_ode23t_1.png","figure")</f>
        <v>figure</v>
      </c>
      <c r="Q280" t="s">
        <v>15</v>
      </c>
    </row>
    <row r="281" spans="1:17" x14ac:dyDescent="0.25">
      <c r="A281">
        <v>280</v>
      </c>
      <c r="B281">
        <v>203</v>
      </c>
      <c r="C281" t="s">
        <v>45</v>
      </c>
      <c r="D281" t="s">
        <v>17</v>
      </c>
      <c r="E281" t="s">
        <v>107</v>
      </c>
      <c r="F281" t="s">
        <v>19</v>
      </c>
      <c r="G281" t="s">
        <v>26</v>
      </c>
      <c r="H281" t="s">
        <v>21</v>
      </c>
      <c r="I281" t="s">
        <v>64</v>
      </c>
      <c r="J281" t="s">
        <v>148</v>
      </c>
      <c r="K281" t="s">
        <v>23</v>
      </c>
      <c r="L281">
        <v>376</v>
      </c>
      <c r="M281" s="4">
        <v>5.3655612000000001</v>
      </c>
      <c r="N281" s="4">
        <v>61.844361348623977</v>
      </c>
      <c r="O281" s="4">
        <v>-24.167176080408726</v>
      </c>
      <c r="P281" s="1" t="str">
        <f>HYPERLINK(".\sm_car_260613_0458\sm_car_260613_0458_280_Ca203TrN_MaTUR_DrSt_ode23t_1.png","figure")</f>
        <v>figure</v>
      </c>
      <c r="Q281" t="s">
        <v>15</v>
      </c>
    </row>
    <row r="282" spans="1:17" x14ac:dyDescent="0.25">
      <c r="A282">
        <v>281</v>
      </c>
      <c r="B282">
        <v>185</v>
      </c>
      <c r="C282" t="s">
        <v>45</v>
      </c>
      <c r="D282" t="s">
        <v>17</v>
      </c>
      <c r="E282" t="s">
        <v>18</v>
      </c>
      <c r="F282" t="s">
        <v>19</v>
      </c>
      <c r="G282" t="s">
        <v>26</v>
      </c>
      <c r="H282" t="s">
        <v>21</v>
      </c>
      <c r="I282" t="s">
        <v>64</v>
      </c>
      <c r="J282" t="s">
        <v>148</v>
      </c>
      <c r="K282" t="s">
        <v>23</v>
      </c>
      <c r="L282">
        <v>550</v>
      </c>
      <c r="M282" s="4">
        <v>26.0714337</v>
      </c>
      <c r="N282" s="4">
        <v>111.93841531761865</v>
      </c>
      <c r="O282" s="4">
        <v>-78.467716254070041</v>
      </c>
      <c r="P282" s="1" t="str">
        <f>HYPERLINK(".\sm_car_260613_0458\sm_car_260613_0458_281_Ca185TrN_MaTUR_DrSt_ode23t_1.png","figure")</f>
        <v>figure</v>
      </c>
      <c r="Q282" t="s">
        <v>15</v>
      </c>
    </row>
    <row r="283" spans="1:17" x14ac:dyDescent="0.25">
      <c r="A283">
        <v>282</v>
      </c>
      <c r="B283">
        <v>188</v>
      </c>
      <c r="C283" t="s">
        <v>45</v>
      </c>
      <c r="D283" t="s">
        <v>113</v>
      </c>
      <c r="E283" t="s">
        <v>49</v>
      </c>
      <c r="F283" t="s">
        <v>19</v>
      </c>
      <c r="G283" t="s">
        <v>26</v>
      </c>
      <c r="H283" t="s">
        <v>21</v>
      </c>
      <c r="I283" t="s">
        <v>64</v>
      </c>
      <c r="J283" t="s">
        <v>148</v>
      </c>
      <c r="K283" t="s">
        <v>23</v>
      </c>
      <c r="L283">
        <v>482</v>
      </c>
      <c r="M283" s="4">
        <v>11.2163737</v>
      </c>
      <c r="N283" s="4">
        <v>140.5991488509265</v>
      </c>
      <c r="O283" s="4">
        <v>-71.725481074638807</v>
      </c>
      <c r="P283" s="1" t="str">
        <f>HYPERLINK(".\sm_car_260613_0458\sm_car_260613_0458_282_Ca188TrN_MaTUR_DrSt_ode23t_1.png","figure")</f>
        <v>figure</v>
      </c>
      <c r="Q283" t="s">
        <v>15</v>
      </c>
    </row>
    <row r="284" spans="1:17" x14ac:dyDescent="0.25">
      <c r="A284">
        <v>283</v>
      </c>
      <c r="B284" t="s">
        <v>94</v>
      </c>
      <c r="C284" t="s">
        <v>95</v>
      </c>
      <c r="D284" t="s">
        <v>35</v>
      </c>
      <c r="E284" t="s">
        <v>18</v>
      </c>
      <c r="F284" t="s">
        <v>19</v>
      </c>
      <c r="G284" t="s">
        <v>96</v>
      </c>
      <c r="H284" t="s">
        <v>21</v>
      </c>
      <c r="I284" t="s">
        <v>22</v>
      </c>
      <c r="J284" t="s">
        <v>148</v>
      </c>
      <c r="K284" t="s">
        <v>23</v>
      </c>
      <c r="L284">
        <v>438</v>
      </c>
      <c r="M284" s="4">
        <v>30.963408000000001</v>
      </c>
      <c r="N284" s="4">
        <v>79.181909289562952</v>
      </c>
      <c r="O284" s="4">
        <v>-0.3333336447871707</v>
      </c>
      <c r="P284" s="1" t="str">
        <f>HYPERLINK(".\sm_car_260613_0458\sm_car_Axle3_260613_0458_283_CaAxle3_000TrN_MaWOT_DrSt_ode23t_1.png","figure")</f>
        <v>figure</v>
      </c>
      <c r="Q284" t="s">
        <v>15</v>
      </c>
    </row>
    <row r="285" spans="1:17" x14ac:dyDescent="0.25">
      <c r="A285">
        <v>284</v>
      </c>
      <c r="B285" t="s">
        <v>99</v>
      </c>
      <c r="C285" t="s">
        <v>100</v>
      </c>
      <c r="D285" t="s">
        <v>35</v>
      </c>
      <c r="E285" t="s">
        <v>18</v>
      </c>
      <c r="F285" t="s">
        <v>19</v>
      </c>
      <c r="G285" t="s">
        <v>96</v>
      </c>
      <c r="H285" t="s">
        <v>21</v>
      </c>
      <c r="I285" t="s">
        <v>22</v>
      </c>
      <c r="J285" t="s">
        <v>148</v>
      </c>
      <c r="K285" t="s">
        <v>23</v>
      </c>
      <c r="L285">
        <v>539</v>
      </c>
      <c r="M285" s="4">
        <v>26.124628399999999</v>
      </c>
      <c r="N285" s="4">
        <v>61.778791924403293</v>
      </c>
      <c r="O285" s="4">
        <v>-7.8964442549403546E-2</v>
      </c>
      <c r="P285" s="1" t="str">
        <f>HYPERLINK(".\sm_car_260613_0458\sm_car_Axle3_260613_0458_284_CaAxle3_008TrN_MaWOT_DrSt_ode23t_1.png","figure")</f>
        <v>figure</v>
      </c>
      <c r="Q285" t="s">
        <v>15</v>
      </c>
    </row>
    <row r="286" spans="1:17" x14ac:dyDescent="0.25">
      <c r="A286">
        <v>285</v>
      </c>
      <c r="B286" t="s">
        <v>97</v>
      </c>
      <c r="C286" t="s">
        <v>95</v>
      </c>
      <c r="D286" t="s">
        <v>35</v>
      </c>
      <c r="E286" t="s">
        <v>49</v>
      </c>
      <c r="F286" t="s">
        <v>19</v>
      </c>
      <c r="G286" t="s">
        <v>98</v>
      </c>
      <c r="H286" t="s">
        <v>21</v>
      </c>
      <c r="I286" t="s">
        <v>22</v>
      </c>
      <c r="J286" t="s">
        <v>148</v>
      </c>
      <c r="K286" t="s">
        <v>23</v>
      </c>
      <c r="L286">
        <v>425</v>
      </c>
      <c r="M286" s="4">
        <v>23.643264800000001</v>
      </c>
      <c r="N286" s="4">
        <v>79.269382440402595</v>
      </c>
      <c r="O286" s="4">
        <v>-0.31328649847774703</v>
      </c>
      <c r="P286" s="1" t="str">
        <f>HYPERLINK(".\sm_car_260613_0458\sm_car_Axle3_260613_0458_285_CaAxle3_003TrN_MaWOT_DrSt_ode23t_1.png","figure")</f>
        <v>figure</v>
      </c>
      <c r="Q286" t="s">
        <v>15</v>
      </c>
    </row>
    <row r="287" spans="1:17" x14ac:dyDescent="0.25">
      <c r="A287">
        <v>286</v>
      </c>
      <c r="B287" t="s">
        <v>114</v>
      </c>
      <c r="C287" t="s">
        <v>95</v>
      </c>
      <c r="D287" t="s">
        <v>35</v>
      </c>
      <c r="E287" t="s">
        <v>107</v>
      </c>
      <c r="F287" t="s">
        <v>19</v>
      </c>
      <c r="G287" t="s">
        <v>98</v>
      </c>
      <c r="H287" t="s">
        <v>21</v>
      </c>
      <c r="I287" t="s">
        <v>22</v>
      </c>
      <c r="J287" t="s">
        <v>148</v>
      </c>
      <c r="K287" t="s">
        <v>23</v>
      </c>
      <c r="L287">
        <v>424</v>
      </c>
      <c r="M287" s="4">
        <v>3.3481429999999999</v>
      </c>
      <c r="N287" s="4">
        <v>80.145692378390578</v>
      </c>
      <c r="O287" s="4">
        <v>-0.31945733972396612</v>
      </c>
      <c r="P287" s="1" t="str">
        <f>HYPERLINK(".\sm_car_260613_0458\sm_car_Axle3_260613_0458_286_CaAxle3_017TrN_MaWOT_DrSt_ode23t_1.png","figure")</f>
        <v>figure</v>
      </c>
      <c r="Q287" t="s">
        <v>15</v>
      </c>
    </row>
    <row r="288" spans="1:17" x14ac:dyDescent="0.25">
      <c r="A288">
        <v>287</v>
      </c>
      <c r="B288" t="s">
        <v>101</v>
      </c>
      <c r="C288" t="s">
        <v>100</v>
      </c>
      <c r="D288" t="s">
        <v>35</v>
      </c>
      <c r="E288" t="s">
        <v>49</v>
      </c>
      <c r="F288" t="s">
        <v>19</v>
      </c>
      <c r="G288" t="s">
        <v>96</v>
      </c>
      <c r="H288" t="s">
        <v>102</v>
      </c>
      <c r="I288" t="s">
        <v>22</v>
      </c>
      <c r="J288" t="s">
        <v>148</v>
      </c>
      <c r="K288" t="s">
        <v>23</v>
      </c>
      <c r="L288">
        <v>405</v>
      </c>
      <c r="M288" s="4">
        <v>49.072938499999999</v>
      </c>
      <c r="N288" s="4">
        <v>44.329853241507458</v>
      </c>
      <c r="O288" s="4">
        <v>2.2846688009689475E-2</v>
      </c>
      <c r="P288" s="1" t="str">
        <f>HYPERLINK(".\sm_car_260613_0458\sm_car_Axle3_260613_0458_287_CaAxle3_010TrK_MaWOT_DrSt_ode23t_1.png","figure")</f>
        <v>figure</v>
      </c>
      <c r="Q288" t="s">
        <v>15</v>
      </c>
    </row>
    <row r="289" spans="1:17" x14ac:dyDescent="0.25">
      <c r="A289">
        <v>288</v>
      </c>
      <c r="B289" t="s">
        <v>101</v>
      </c>
      <c r="C289" t="s">
        <v>100</v>
      </c>
      <c r="D289" t="s">
        <v>35</v>
      </c>
      <c r="E289" t="s">
        <v>49</v>
      </c>
      <c r="F289" t="s">
        <v>19</v>
      </c>
      <c r="G289" t="s">
        <v>96</v>
      </c>
      <c r="H289" t="s">
        <v>102</v>
      </c>
      <c r="I289" t="s">
        <v>22</v>
      </c>
      <c r="J289" t="s">
        <v>148</v>
      </c>
      <c r="K289" t="s">
        <v>23</v>
      </c>
      <c r="L289">
        <v>403</v>
      </c>
      <c r="M289" s="4">
        <v>45.784084800000002</v>
      </c>
      <c r="N289" s="4">
        <v>44.314514844384718</v>
      </c>
      <c r="O289" s="4">
        <v>2.2831801625666878E-2</v>
      </c>
      <c r="P289" s="1" t="str">
        <f>HYPERLINK(".\sm_car_260613_0458\sm_car_Axle3_260613_0458_288_CaAxle3_010TrK_MaWOT_DrSt_ode23t_1.png","figure")</f>
        <v>figure</v>
      </c>
      <c r="Q289" t="s">
        <v>15</v>
      </c>
    </row>
    <row r="290" spans="1:17" x14ac:dyDescent="0.25">
      <c r="A290">
        <v>289</v>
      </c>
      <c r="B290" t="s">
        <v>115</v>
      </c>
      <c r="C290" t="s">
        <v>100</v>
      </c>
      <c r="D290" t="s">
        <v>35</v>
      </c>
      <c r="E290" t="s">
        <v>107</v>
      </c>
      <c r="F290" t="s">
        <v>19</v>
      </c>
      <c r="G290" t="s">
        <v>96</v>
      </c>
      <c r="H290" t="s">
        <v>102</v>
      </c>
      <c r="I290" t="s">
        <v>22</v>
      </c>
      <c r="J290" t="s">
        <v>148</v>
      </c>
      <c r="K290" t="s">
        <v>23</v>
      </c>
      <c r="L290">
        <v>398</v>
      </c>
      <c r="M290" s="4">
        <v>3.7021166000000001</v>
      </c>
      <c r="N290" s="4">
        <v>48.151062994940034</v>
      </c>
      <c r="O290" s="4">
        <v>2.6427648714093706E-2</v>
      </c>
      <c r="P290" s="1" t="str">
        <f>HYPERLINK(".\sm_car_260613_0458\sm_car_Axle3_260613_0458_289_CaAxle3_019TrK_MaWOT_DrSt_ode23t_1.png","figure")</f>
        <v>figure</v>
      </c>
      <c r="Q290" t="s">
        <v>15</v>
      </c>
    </row>
    <row r="291" spans="1:17" x14ac:dyDescent="0.25">
      <c r="A291">
        <v>290</v>
      </c>
      <c r="B291" t="s">
        <v>115</v>
      </c>
      <c r="C291" t="s">
        <v>100</v>
      </c>
      <c r="D291" t="s">
        <v>35</v>
      </c>
      <c r="E291" t="s">
        <v>107</v>
      </c>
      <c r="F291" t="s">
        <v>19</v>
      </c>
      <c r="G291" t="s">
        <v>96</v>
      </c>
      <c r="H291" t="s">
        <v>102</v>
      </c>
      <c r="I291" t="s">
        <v>22</v>
      </c>
      <c r="J291" t="s">
        <v>148</v>
      </c>
      <c r="K291" t="s">
        <v>23</v>
      </c>
      <c r="L291">
        <v>401</v>
      </c>
      <c r="M291" s="4">
        <v>3.5927001000000001</v>
      </c>
      <c r="N291" s="4">
        <v>48.113122467985328</v>
      </c>
      <c r="O291" s="4">
        <v>2.637445012274487E-2</v>
      </c>
      <c r="P291" s="1" t="str">
        <f>HYPERLINK(".\sm_car_260613_0458\sm_car_Axle3_260613_0458_290_CaAxle3_019TrK_MaWOT_DrSt_ode23t_1.png","figure")</f>
        <v>figure</v>
      </c>
      <c r="Q291" t="s">
        <v>15</v>
      </c>
    </row>
    <row r="292" spans="1:17" x14ac:dyDescent="0.25">
      <c r="A292">
        <v>291</v>
      </c>
      <c r="B292" t="s">
        <v>115</v>
      </c>
      <c r="C292" t="s">
        <v>100</v>
      </c>
      <c r="D292" t="s">
        <v>35</v>
      </c>
      <c r="E292" t="s">
        <v>107</v>
      </c>
      <c r="F292" t="s">
        <v>19</v>
      </c>
      <c r="G292" t="s">
        <v>96</v>
      </c>
      <c r="H292" t="s">
        <v>102</v>
      </c>
      <c r="I292" t="s">
        <v>53</v>
      </c>
      <c r="J292" t="s">
        <v>148</v>
      </c>
      <c r="K292" t="s">
        <v>23</v>
      </c>
      <c r="L292">
        <v>642</v>
      </c>
      <c r="M292" s="4">
        <v>6.7906317999999999</v>
      </c>
      <c r="N292" s="4">
        <v>256.00637562077463</v>
      </c>
      <c r="O292" s="4">
        <v>-0.11783667184183688</v>
      </c>
      <c r="P292" s="1" t="str">
        <f>HYPERLINK(".\sm_car_260613_0458\sm_car_Axle3_260613_0458_291_CaAxle3_019TrK_MaDLC_DrSt_ode23t_1.png","figure")</f>
        <v>figure</v>
      </c>
      <c r="Q292" t="s">
        <v>15</v>
      </c>
    </row>
    <row r="293" spans="1:17" x14ac:dyDescent="0.25">
      <c r="A293">
        <v>292</v>
      </c>
      <c r="B293" t="s">
        <v>115</v>
      </c>
      <c r="C293" t="s">
        <v>100</v>
      </c>
      <c r="D293" t="s">
        <v>35</v>
      </c>
      <c r="E293" t="s">
        <v>107</v>
      </c>
      <c r="F293" t="s">
        <v>19</v>
      </c>
      <c r="G293" t="s">
        <v>96</v>
      </c>
      <c r="H293" t="s">
        <v>102</v>
      </c>
      <c r="I293" t="s">
        <v>53</v>
      </c>
      <c r="J293" t="s">
        <v>148</v>
      </c>
      <c r="K293" t="s">
        <v>23</v>
      </c>
      <c r="L293">
        <v>789</v>
      </c>
      <c r="M293" s="4">
        <v>6.0712638999999999</v>
      </c>
      <c r="N293" s="4">
        <v>253.801827523067</v>
      </c>
      <c r="O293" s="4">
        <v>-0.11412759142784701</v>
      </c>
      <c r="P293" s="1" t="str">
        <f>HYPERLINK(".\sm_car_260613_0458\sm_car_Axle3_260613_0458_292_CaAxle3_019TrK_MaDLC_DrSt_ode23t_1.png","figure")</f>
        <v>figure</v>
      </c>
      <c r="Q293" t="s">
        <v>15</v>
      </c>
    </row>
    <row r="294" spans="1:17" x14ac:dyDescent="0.25">
      <c r="A294">
        <v>293</v>
      </c>
      <c r="B294" t="s">
        <v>115</v>
      </c>
      <c r="C294" t="s">
        <v>100</v>
      </c>
      <c r="D294" t="s">
        <v>35</v>
      </c>
      <c r="E294" t="s">
        <v>107</v>
      </c>
      <c r="F294" t="s">
        <v>19</v>
      </c>
      <c r="G294" t="s">
        <v>96</v>
      </c>
      <c r="H294" t="s">
        <v>102</v>
      </c>
      <c r="I294" t="s">
        <v>53</v>
      </c>
      <c r="J294" t="s">
        <v>148</v>
      </c>
      <c r="K294" t="s">
        <v>23</v>
      </c>
      <c r="L294">
        <v>630</v>
      </c>
      <c r="M294" s="4">
        <v>6.3523496000000002</v>
      </c>
      <c r="N294" s="4">
        <v>256.20556275952839</v>
      </c>
      <c r="O294" s="4">
        <v>-0.11759985568793407</v>
      </c>
      <c r="P294" s="1" t="str">
        <f>HYPERLINK(".\sm_car_260613_0458\sm_car_Axle3_260613_0458_293_CaAxle3_019TrK_MaDLC_DrSt_ode23t_1.png","figure")</f>
        <v>figure</v>
      </c>
      <c r="Q294" t="s">
        <v>15</v>
      </c>
    </row>
    <row r="295" spans="1:17" x14ac:dyDescent="0.25">
      <c r="A295">
        <v>294</v>
      </c>
      <c r="B295" t="s">
        <v>115</v>
      </c>
      <c r="C295" t="s">
        <v>100</v>
      </c>
      <c r="D295" t="s">
        <v>35</v>
      </c>
      <c r="E295" t="s">
        <v>107</v>
      </c>
      <c r="F295" t="s">
        <v>19</v>
      </c>
      <c r="G295" t="s">
        <v>96</v>
      </c>
      <c r="H295" t="s">
        <v>102</v>
      </c>
      <c r="I295" t="s">
        <v>53</v>
      </c>
      <c r="J295" t="s">
        <v>148</v>
      </c>
      <c r="K295" t="s">
        <v>23</v>
      </c>
      <c r="L295">
        <v>835</v>
      </c>
      <c r="M295" s="4">
        <v>6.9746892999999996</v>
      </c>
      <c r="N295" s="4">
        <v>253.2501303710614</v>
      </c>
      <c r="O295" s="4">
        <v>-0.10512591367362667</v>
      </c>
      <c r="P295" s="1" t="str">
        <f>HYPERLINK(".\sm_car_260613_0458\sm_car_Axle3_260613_0458_294_CaAxle3_019TrK_MaDLC_DrSt_ode23t_1.png","figure")</f>
        <v>figure</v>
      </c>
      <c r="Q295" t="s">
        <v>15</v>
      </c>
    </row>
    <row r="296" spans="1:17" x14ac:dyDescent="0.25">
      <c r="A296">
        <v>295</v>
      </c>
      <c r="B296" t="s">
        <v>138</v>
      </c>
      <c r="C296" t="s">
        <v>139</v>
      </c>
      <c r="D296" t="s">
        <v>35</v>
      </c>
      <c r="E296" t="s">
        <v>49</v>
      </c>
      <c r="F296" t="s">
        <v>19</v>
      </c>
      <c r="G296" t="s">
        <v>96</v>
      </c>
      <c r="H296" t="s">
        <v>102</v>
      </c>
      <c r="I296" t="s">
        <v>22</v>
      </c>
      <c r="J296" t="s">
        <v>148</v>
      </c>
      <c r="K296" t="s">
        <v>23</v>
      </c>
      <c r="L296">
        <v>374</v>
      </c>
      <c r="M296" s="4">
        <v>3.4930208999999999</v>
      </c>
      <c r="N296" s="4">
        <v>136.83239906774202</v>
      </c>
      <c r="O296" s="4">
        <v>0.19637601722838066</v>
      </c>
      <c r="P296" s="1" t="str">
        <f>HYPERLINK(".\sm_car_260613_0458\sm_car_Axle3_260613_0458_295_CaAxle3_023TrK_MaWOT_DrSt_ode23t_1.png","figure")</f>
        <v>figure</v>
      </c>
      <c r="Q296" t="s">
        <v>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E76D2-48BB-4F1A-8F69-86875FF14DF0}">
  <dimension ref="A1:S296"/>
  <sheetViews>
    <sheetView tabSelected="1" workbookViewId="0">
      <selection activeCell="R8" sqref="R8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S1" s="2" t="s">
        <v>209</v>
      </c>
    </row>
    <row r="2" spans="1:19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188</v>
      </c>
      <c r="H2" t="s">
        <v>21</v>
      </c>
      <c r="I2" t="s">
        <v>22</v>
      </c>
      <c r="J2" t="s">
        <v>148</v>
      </c>
      <c r="K2" t="s">
        <v>23</v>
      </c>
      <c r="L2">
        <v>407</v>
      </c>
      <c r="M2">
        <v>6.7537908</v>
      </c>
      <c r="N2">
        <v>229.79691633507201</v>
      </c>
      <c r="O2">
        <v>-8.3815857057599977E-3</v>
      </c>
      <c r="P2" s="1" t="str">
        <f>HYPERLINK(".\sm_car_260705_0424\sm_car_260705_0424_001_Ca000TrN_MaWOT_DrSt_ode23t.png","figure")</f>
        <v>figure</v>
      </c>
      <c r="Q2" t="s">
        <v>15</v>
      </c>
      <c r="S2" s="2" t="s">
        <v>210</v>
      </c>
    </row>
    <row r="3" spans="1:19" x14ac:dyDescent="0.25">
      <c r="A3">
        <v>2</v>
      </c>
      <c r="B3">
        <v>0</v>
      </c>
      <c r="C3" t="s">
        <v>16</v>
      </c>
      <c r="D3" t="s">
        <v>17</v>
      </c>
      <c r="E3" t="s">
        <v>18</v>
      </c>
      <c r="F3" t="s">
        <v>19</v>
      </c>
      <c r="G3" t="s">
        <v>188</v>
      </c>
      <c r="H3" t="s">
        <v>21</v>
      </c>
      <c r="I3" t="s">
        <v>24</v>
      </c>
      <c r="J3" t="s">
        <v>148</v>
      </c>
      <c r="K3" t="s">
        <v>23</v>
      </c>
      <c r="L3">
        <v>526</v>
      </c>
      <c r="M3">
        <v>8.0501596000000006</v>
      </c>
      <c r="N3">
        <v>70.871391609126391</v>
      </c>
      <c r="O3">
        <v>-0.53285053939936844</v>
      </c>
      <c r="P3" s="1" t="str">
        <f>HYPERLINK(".\sm_car_260705_0424\sm_car_260705_0424_002_Ca000TrN_MaLSS_DrSt_ode23t.png","figure")</f>
        <v>figure</v>
      </c>
      <c r="Q3" t="s">
        <v>15</v>
      </c>
      <c r="S3" s="2" t="s">
        <v>211</v>
      </c>
    </row>
    <row r="4" spans="1:19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188</v>
      </c>
      <c r="H4" t="s">
        <v>21</v>
      </c>
      <c r="I4" t="s">
        <v>22</v>
      </c>
      <c r="J4" t="s">
        <v>148</v>
      </c>
      <c r="K4" t="s">
        <v>23</v>
      </c>
      <c r="L4">
        <v>414</v>
      </c>
      <c r="M4">
        <v>8.4066372000000005</v>
      </c>
      <c r="N4">
        <v>228.9780396740241</v>
      </c>
      <c r="O4">
        <v>-1.7582958650985199E-2</v>
      </c>
      <c r="P4" s="1" t="str">
        <f>HYPERLINK(".\sm_car_260705_0424\sm_car_260705_0424_003_Ca001TrN_MaWOT_DrSt_ode23t.png","figure")</f>
        <v>figure</v>
      </c>
      <c r="Q4" t="s">
        <v>15</v>
      </c>
      <c r="S4" s="2" t="s">
        <v>202</v>
      </c>
    </row>
    <row r="5" spans="1:19" x14ac:dyDescent="0.25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 t="s">
        <v>188</v>
      </c>
      <c r="H5" t="s">
        <v>21</v>
      </c>
      <c r="I5" t="s">
        <v>24</v>
      </c>
      <c r="J5" t="s">
        <v>148</v>
      </c>
      <c r="K5" t="s">
        <v>23</v>
      </c>
      <c r="L5">
        <v>535</v>
      </c>
      <c r="M5">
        <v>9.2036078000000003</v>
      </c>
      <c r="N5">
        <v>70.585586465815211</v>
      </c>
      <c r="O5">
        <v>-0.52649935690926708</v>
      </c>
      <c r="P5" s="1" t="str">
        <f>HYPERLINK(".\sm_car_260705_0424\sm_car_260705_0424_004_Ca001TrN_MaLSS_DrSt_ode23t.png","figure")</f>
        <v>figure</v>
      </c>
      <c r="Q5" t="s">
        <v>15</v>
      </c>
      <c r="S5" t="s">
        <v>212</v>
      </c>
    </row>
    <row r="6" spans="1:19" x14ac:dyDescent="0.25">
      <c r="A6">
        <v>5</v>
      </c>
      <c r="B6">
        <v>2</v>
      </c>
      <c r="C6" t="s">
        <v>16</v>
      </c>
      <c r="D6" t="s">
        <v>17</v>
      </c>
      <c r="E6" t="s">
        <v>18</v>
      </c>
      <c r="F6" t="s">
        <v>19</v>
      </c>
      <c r="G6" t="s">
        <v>188</v>
      </c>
      <c r="H6" t="s">
        <v>21</v>
      </c>
      <c r="I6" t="s">
        <v>22</v>
      </c>
      <c r="J6" t="s">
        <v>148</v>
      </c>
      <c r="K6" t="s">
        <v>23</v>
      </c>
      <c r="L6">
        <v>437</v>
      </c>
      <c r="M6">
        <v>12.382740200000001</v>
      </c>
      <c r="N6">
        <v>229.08773946583517</v>
      </c>
      <c r="O6">
        <v>5.0071604495388014E-2</v>
      </c>
      <c r="P6" s="1" t="str">
        <f>HYPERLINK(".\sm_car_260705_0424\sm_car_260705_0424_005_Ca002TrN_MaWOT_DrSt_ode23t.png","figure")</f>
        <v>figure</v>
      </c>
      <c r="Q6" t="s">
        <v>15</v>
      </c>
    </row>
    <row r="7" spans="1:19" x14ac:dyDescent="0.25">
      <c r="A7">
        <v>6</v>
      </c>
      <c r="B7">
        <v>2</v>
      </c>
      <c r="C7" t="s">
        <v>16</v>
      </c>
      <c r="D7" t="s">
        <v>17</v>
      </c>
      <c r="E7" t="s">
        <v>18</v>
      </c>
      <c r="F7" t="s">
        <v>19</v>
      </c>
      <c r="G7" t="s">
        <v>188</v>
      </c>
      <c r="H7" t="s">
        <v>21</v>
      </c>
      <c r="I7" t="s">
        <v>24</v>
      </c>
      <c r="J7" t="s">
        <v>148</v>
      </c>
      <c r="K7" t="s">
        <v>23</v>
      </c>
      <c r="L7">
        <v>523</v>
      </c>
      <c r="M7">
        <v>12.191619899999999</v>
      </c>
      <c r="N7">
        <v>70.585041528837195</v>
      </c>
      <c r="O7">
        <v>-0.52241692713006083</v>
      </c>
      <c r="P7" s="1" t="str">
        <f>HYPERLINK(".\sm_car_260705_0424\sm_car_260705_0424_006_Ca002TrN_MaLSS_DrSt_ode23t.png","figure")</f>
        <v>figure</v>
      </c>
      <c r="Q7" t="s">
        <v>15</v>
      </c>
    </row>
    <row r="8" spans="1:19" x14ac:dyDescent="0.25">
      <c r="A8">
        <v>7</v>
      </c>
      <c r="B8">
        <v>3</v>
      </c>
      <c r="C8" t="s">
        <v>16</v>
      </c>
      <c r="D8" t="s">
        <v>17</v>
      </c>
      <c r="E8" t="s">
        <v>18</v>
      </c>
      <c r="F8" t="s">
        <v>19</v>
      </c>
      <c r="G8" t="s">
        <v>188</v>
      </c>
      <c r="H8" t="s">
        <v>21</v>
      </c>
      <c r="I8" t="s">
        <v>22</v>
      </c>
      <c r="J8" t="s">
        <v>148</v>
      </c>
      <c r="K8" t="s">
        <v>23</v>
      </c>
      <c r="L8">
        <v>496</v>
      </c>
      <c r="M8">
        <v>14.206499900000001</v>
      </c>
      <c r="N8">
        <v>228.73339608383588</v>
      </c>
      <c r="O8">
        <v>4.5644975983038183E-2</v>
      </c>
      <c r="P8" s="1" t="str">
        <f>HYPERLINK(".\sm_car_260705_0424\sm_car_260705_0424_007_Ca003TrN_MaWOT_DrSt_ode23t.png","figure")</f>
        <v>figure</v>
      </c>
      <c r="Q8" t="s">
        <v>15</v>
      </c>
    </row>
    <row r="9" spans="1:19" x14ac:dyDescent="0.25">
      <c r="A9">
        <v>8</v>
      </c>
      <c r="B9">
        <v>3</v>
      </c>
      <c r="C9" t="s">
        <v>16</v>
      </c>
      <c r="D9" t="s">
        <v>17</v>
      </c>
      <c r="E9" t="s">
        <v>18</v>
      </c>
      <c r="F9" t="s">
        <v>19</v>
      </c>
      <c r="G9" t="s">
        <v>188</v>
      </c>
      <c r="H9" t="s">
        <v>21</v>
      </c>
      <c r="I9" t="s">
        <v>24</v>
      </c>
      <c r="J9" t="s">
        <v>148</v>
      </c>
      <c r="K9" t="s">
        <v>23</v>
      </c>
      <c r="L9">
        <v>551</v>
      </c>
      <c r="M9">
        <v>12.1757857</v>
      </c>
      <c r="N9">
        <v>70.460182897389103</v>
      </c>
      <c r="O9">
        <v>-0.52081075266526</v>
      </c>
      <c r="P9" s="1" t="str">
        <f>HYPERLINK(".\sm_car_260705_0424\sm_car_260705_0424_008_Ca003TrN_MaLSS_DrSt_ode23t.png","figure")</f>
        <v>figure</v>
      </c>
      <c r="Q9" t="s">
        <v>15</v>
      </c>
    </row>
    <row r="10" spans="1:19" x14ac:dyDescent="0.25">
      <c r="A10">
        <v>9</v>
      </c>
      <c r="B10">
        <v>4</v>
      </c>
      <c r="C10" t="s">
        <v>16</v>
      </c>
      <c r="D10" t="s">
        <v>17</v>
      </c>
      <c r="E10" t="s">
        <v>18</v>
      </c>
      <c r="F10" t="s">
        <v>28</v>
      </c>
      <c r="G10" t="s">
        <v>188</v>
      </c>
      <c r="H10" t="s">
        <v>21</v>
      </c>
      <c r="I10" t="s">
        <v>22</v>
      </c>
      <c r="J10" t="s">
        <v>148</v>
      </c>
      <c r="K10" t="s">
        <v>23</v>
      </c>
      <c r="L10">
        <v>1101</v>
      </c>
      <c r="M10">
        <v>12.127449199999999</v>
      </c>
      <c r="N10">
        <v>230.03726528986655</v>
      </c>
      <c r="O10">
        <v>-9.7560265766938863E-3</v>
      </c>
      <c r="P10" s="1" t="str">
        <f>HYPERLINK(".\sm_car_260705_0424\sm_car_260705_0424_009_Ca004TrN_MaWOT_DrSt_ode23t.png","figure")</f>
        <v>figure</v>
      </c>
      <c r="Q10" t="s">
        <v>15</v>
      </c>
    </row>
    <row r="11" spans="1:19" x14ac:dyDescent="0.25">
      <c r="A11">
        <v>10</v>
      </c>
      <c r="B11">
        <v>4</v>
      </c>
      <c r="C11" t="s">
        <v>16</v>
      </c>
      <c r="D11" t="s">
        <v>17</v>
      </c>
      <c r="E11" t="s">
        <v>18</v>
      </c>
      <c r="F11" t="s">
        <v>28</v>
      </c>
      <c r="G11" t="s">
        <v>188</v>
      </c>
      <c r="H11" t="s">
        <v>21</v>
      </c>
      <c r="I11" t="s">
        <v>24</v>
      </c>
      <c r="J11" t="s">
        <v>148</v>
      </c>
      <c r="K11" t="s">
        <v>23</v>
      </c>
      <c r="L11">
        <v>1228</v>
      </c>
      <c r="M11">
        <v>14.038834400000001</v>
      </c>
      <c r="N11">
        <v>70.87933579081141</v>
      </c>
      <c r="O11">
        <v>-0.53594520575646432</v>
      </c>
      <c r="P11" s="1" t="str">
        <f>HYPERLINK(".\sm_car_260705_0424\sm_car_260705_0424_010_Ca004TrN_MaLSS_DrSt_ode23t.png","figure")</f>
        <v>figure</v>
      </c>
      <c r="Q11" t="s">
        <v>15</v>
      </c>
    </row>
    <row r="12" spans="1:19" x14ac:dyDescent="0.25">
      <c r="A12">
        <v>11</v>
      </c>
      <c r="B12">
        <v>5</v>
      </c>
      <c r="C12" t="s">
        <v>16</v>
      </c>
      <c r="D12" t="s">
        <v>17</v>
      </c>
      <c r="E12" t="s">
        <v>18</v>
      </c>
      <c r="F12" t="s">
        <v>28</v>
      </c>
      <c r="G12" t="s">
        <v>188</v>
      </c>
      <c r="H12" t="s">
        <v>21</v>
      </c>
      <c r="I12" t="s">
        <v>22</v>
      </c>
      <c r="J12" t="s">
        <v>148</v>
      </c>
      <c r="K12" t="s">
        <v>23</v>
      </c>
      <c r="L12">
        <v>1086</v>
      </c>
      <c r="M12">
        <v>14.664581699999999</v>
      </c>
      <c r="N12">
        <v>229.03707626097486</v>
      </c>
      <c r="O12">
        <v>-1.7601671088690585E-2</v>
      </c>
      <c r="P12" s="1" t="str">
        <f>HYPERLINK(".\sm_car_260705_0424\sm_car_260705_0424_011_Ca005TrN_MaWOT_DrSt_ode23t.png","figure")</f>
        <v>figure</v>
      </c>
      <c r="Q12" t="s">
        <v>15</v>
      </c>
    </row>
    <row r="13" spans="1:19" x14ac:dyDescent="0.25">
      <c r="A13">
        <v>12</v>
      </c>
      <c r="B13">
        <v>5</v>
      </c>
      <c r="C13" t="s">
        <v>16</v>
      </c>
      <c r="D13" t="s">
        <v>17</v>
      </c>
      <c r="E13" t="s">
        <v>18</v>
      </c>
      <c r="F13" t="s">
        <v>28</v>
      </c>
      <c r="G13" t="s">
        <v>188</v>
      </c>
      <c r="H13" t="s">
        <v>21</v>
      </c>
      <c r="I13" t="s">
        <v>24</v>
      </c>
      <c r="J13" t="s">
        <v>148</v>
      </c>
      <c r="K13" t="s">
        <v>23</v>
      </c>
      <c r="L13">
        <v>1218</v>
      </c>
      <c r="M13">
        <v>17.069493300000001</v>
      </c>
      <c r="N13">
        <v>70.59176456017812</v>
      </c>
      <c r="O13">
        <v>-0.5301460871337158</v>
      </c>
      <c r="P13" s="1" t="str">
        <f>HYPERLINK(".\sm_car_260705_0424\sm_car_260705_0424_012_Ca005TrN_MaLSS_DrSt_ode23t.png","figure")</f>
        <v>figure</v>
      </c>
      <c r="Q13" t="s">
        <v>15</v>
      </c>
    </row>
    <row r="14" spans="1:19" x14ac:dyDescent="0.25">
      <c r="A14">
        <v>13</v>
      </c>
      <c r="B14">
        <v>6</v>
      </c>
      <c r="C14" t="s">
        <v>16</v>
      </c>
      <c r="D14" t="s">
        <v>17</v>
      </c>
      <c r="E14" t="s">
        <v>18</v>
      </c>
      <c r="F14" t="s">
        <v>28</v>
      </c>
      <c r="G14" t="s">
        <v>188</v>
      </c>
      <c r="H14" t="s">
        <v>21</v>
      </c>
      <c r="I14" t="s">
        <v>22</v>
      </c>
      <c r="J14" t="s">
        <v>148</v>
      </c>
      <c r="K14" t="s">
        <v>23</v>
      </c>
      <c r="L14">
        <v>1219</v>
      </c>
      <c r="M14">
        <v>18.664916999999999</v>
      </c>
      <c r="N14">
        <v>229.16665208769467</v>
      </c>
      <c r="O14">
        <v>5.5425245842963183E-2</v>
      </c>
      <c r="P14" s="1" t="str">
        <f>HYPERLINK(".\sm_car_260705_0424\sm_car_260705_0424_013_Ca006TrN_MaWOT_DrSt_ode23t.png","figure")</f>
        <v>figure</v>
      </c>
      <c r="Q14" t="s">
        <v>15</v>
      </c>
    </row>
    <row r="15" spans="1:19" x14ac:dyDescent="0.25">
      <c r="A15">
        <v>14</v>
      </c>
      <c r="B15">
        <v>6</v>
      </c>
      <c r="C15" t="s">
        <v>16</v>
      </c>
      <c r="D15" t="s">
        <v>17</v>
      </c>
      <c r="E15" t="s">
        <v>18</v>
      </c>
      <c r="F15" t="s">
        <v>28</v>
      </c>
      <c r="G15" t="s">
        <v>188</v>
      </c>
      <c r="H15" t="s">
        <v>21</v>
      </c>
      <c r="I15" t="s">
        <v>24</v>
      </c>
      <c r="J15" t="s">
        <v>148</v>
      </c>
      <c r="K15" t="s">
        <v>23</v>
      </c>
      <c r="L15">
        <v>1294</v>
      </c>
      <c r="M15">
        <v>19.579007099999998</v>
      </c>
      <c r="N15">
        <v>70.595090879542482</v>
      </c>
      <c r="O15">
        <v>-0.52640167319375897</v>
      </c>
      <c r="P15" s="1" t="str">
        <f>HYPERLINK(".\sm_car_260705_0424\sm_car_260705_0424_014_Ca006TrN_MaLSS_DrSt_ode23t.png","figure")</f>
        <v>figure</v>
      </c>
      <c r="Q15" t="s">
        <v>15</v>
      </c>
    </row>
    <row r="16" spans="1:19" x14ac:dyDescent="0.25">
      <c r="A16">
        <v>15</v>
      </c>
      <c r="B16">
        <v>7</v>
      </c>
      <c r="C16" t="s">
        <v>16</v>
      </c>
      <c r="D16" t="s">
        <v>17</v>
      </c>
      <c r="E16" t="s">
        <v>18</v>
      </c>
      <c r="F16" t="s">
        <v>28</v>
      </c>
      <c r="G16" t="s">
        <v>188</v>
      </c>
      <c r="H16" t="s">
        <v>21</v>
      </c>
      <c r="I16" t="s">
        <v>22</v>
      </c>
      <c r="J16" t="s">
        <v>148</v>
      </c>
      <c r="K16" t="s">
        <v>23</v>
      </c>
      <c r="L16">
        <v>1186</v>
      </c>
      <c r="M16">
        <v>18.762982399999999</v>
      </c>
      <c r="N16">
        <v>228.66560738478978</v>
      </c>
      <c r="O16">
        <v>4.6681225028094069E-2</v>
      </c>
      <c r="P16" s="1" t="str">
        <f>HYPERLINK(".\sm_car_260705_0424\sm_car_260705_0424_015_Ca007TrN_MaWOT_DrSt_ode23t.png","figure")</f>
        <v>figure</v>
      </c>
      <c r="Q16" t="s">
        <v>15</v>
      </c>
    </row>
    <row r="17" spans="1:17" x14ac:dyDescent="0.25">
      <c r="A17">
        <v>16</v>
      </c>
      <c r="B17">
        <v>7</v>
      </c>
      <c r="C17" t="s">
        <v>16</v>
      </c>
      <c r="D17" t="s">
        <v>17</v>
      </c>
      <c r="E17" t="s">
        <v>18</v>
      </c>
      <c r="F17" t="s">
        <v>28</v>
      </c>
      <c r="G17" t="s">
        <v>188</v>
      </c>
      <c r="H17" t="s">
        <v>21</v>
      </c>
      <c r="I17" t="s">
        <v>24</v>
      </c>
      <c r="J17" t="s">
        <v>148</v>
      </c>
      <c r="K17" t="s">
        <v>23</v>
      </c>
      <c r="L17">
        <v>1277</v>
      </c>
      <c r="M17">
        <v>17.520060099999998</v>
      </c>
      <c r="N17">
        <v>70.467908346729217</v>
      </c>
      <c r="O17">
        <v>-0.52324767130798622</v>
      </c>
      <c r="P17" s="1" t="str">
        <f>HYPERLINK(".\sm_car_260705_0424\sm_car_260705_0424_016_Ca007TrN_MaLSS_DrSt_ode23t.png","figure")</f>
        <v>figure</v>
      </c>
      <c r="Q17" t="s">
        <v>15</v>
      </c>
    </row>
    <row r="18" spans="1:17" x14ac:dyDescent="0.25">
      <c r="A18">
        <v>17</v>
      </c>
      <c r="B18">
        <v>16</v>
      </c>
      <c r="C18" t="s">
        <v>16</v>
      </c>
      <c r="D18" t="s">
        <v>29</v>
      </c>
      <c r="E18" t="s">
        <v>18</v>
      </c>
      <c r="F18" t="s">
        <v>19</v>
      </c>
      <c r="G18" t="s">
        <v>188</v>
      </c>
      <c r="H18" t="s">
        <v>21</v>
      </c>
      <c r="I18" t="s">
        <v>22</v>
      </c>
      <c r="J18" t="s">
        <v>148</v>
      </c>
      <c r="K18" t="s">
        <v>23</v>
      </c>
      <c r="L18">
        <v>414</v>
      </c>
      <c r="M18">
        <v>5.9774124999999998</v>
      </c>
      <c r="N18">
        <v>230.40960672488885</v>
      </c>
      <c r="O18">
        <v>-7.5480656363989873E-2</v>
      </c>
      <c r="P18" s="1" t="str">
        <f>HYPERLINK(".\sm_car_260705_0424\sm_car_260705_0424_017_Ca016TrN_MaWOT_DrSt_ode23t.png","figure")</f>
        <v>figure</v>
      </c>
      <c r="Q18" t="s">
        <v>15</v>
      </c>
    </row>
    <row r="19" spans="1:17" x14ac:dyDescent="0.25">
      <c r="A19">
        <v>18</v>
      </c>
      <c r="B19">
        <v>16</v>
      </c>
      <c r="C19" t="s">
        <v>16</v>
      </c>
      <c r="D19" t="s">
        <v>29</v>
      </c>
      <c r="E19" t="s">
        <v>18</v>
      </c>
      <c r="F19" t="s">
        <v>19</v>
      </c>
      <c r="G19" t="s">
        <v>188</v>
      </c>
      <c r="H19" t="s">
        <v>21</v>
      </c>
      <c r="I19" t="s">
        <v>24</v>
      </c>
      <c r="J19" t="s">
        <v>148</v>
      </c>
      <c r="K19" t="s">
        <v>23</v>
      </c>
      <c r="L19">
        <v>479</v>
      </c>
      <c r="M19">
        <v>6.0690235000000001</v>
      </c>
      <c r="N19">
        <v>71.136919732424161</v>
      </c>
      <c r="O19">
        <v>-2.1879904771588968E-2</v>
      </c>
      <c r="P19" s="1" t="str">
        <f>HYPERLINK(".\sm_car_260705_0424\sm_car_260705_0424_018_Ca016TrN_MaLSS_DrSt_ode23t.png","figure")</f>
        <v>figure</v>
      </c>
      <c r="Q19" t="s">
        <v>15</v>
      </c>
    </row>
    <row r="20" spans="1:17" x14ac:dyDescent="0.25">
      <c r="A20">
        <v>19</v>
      </c>
      <c r="B20">
        <v>32</v>
      </c>
      <c r="C20" t="s">
        <v>16</v>
      </c>
      <c r="D20" t="s">
        <v>30</v>
      </c>
      <c r="E20" t="s">
        <v>18</v>
      </c>
      <c r="F20" t="s">
        <v>19</v>
      </c>
      <c r="G20" t="s">
        <v>188</v>
      </c>
      <c r="H20" t="s">
        <v>21</v>
      </c>
      <c r="I20" t="s">
        <v>22</v>
      </c>
      <c r="J20" t="s">
        <v>148</v>
      </c>
      <c r="K20" t="s">
        <v>23</v>
      </c>
      <c r="L20">
        <v>405</v>
      </c>
      <c r="M20">
        <v>7.3207538000000003</v>
      </c>
      <c r="N20">
        <v>230.15045365605587</v>
      </c>
      <c r="O20">
        <v>5.5534640356316141E-3</v>
      </c>
      <c r="P20" s="1" t="str">
        <f>HYPERLINK(".\sm_car_260705_0424\sm_car_260705_0424_019_Ca032TrN_MaWOT_DrSt_ode23t.png","figure")</f>
        <v>figure</v>
      </c>
      <c r="Q20" t="s">
        <v>15</v>
      </c>
    </row>
    <row r="21" spans="1:17" x14ac:dyDescent="0.25">
      <c r="A21">
        <v>20</v>
      </c>
      <c r="B21">
        <v>32</v>
      </c>
      <c r="C21" t="s">
        <v>16</v>
      </c>
      <c r="D21" t="s">
        <v>30</v>
      </c>
      <c r="E21" t="s">
        <v>18</v>
      </c>
      <c r="F21" t="s">
        <v>19</v>
      </c>
      <c r="G21" t="s">
        <v>188</v>
      </c>
      <c r="H21" t="s">
        <v>21</v>
      </c>
      <c r="I21" t="s">
        <v>24</v>
      </c>
      <c r="J21" t="s">
        <v>148</v>
      </c>
      <c r="K21" t="s">
        <v>23</v>
      </c>
      <c r="L21">
        <v>526</v>
      </c>
      <c r="M21">
        <v>8.2334715000000003</v>
      </c>
      <c r="N21">
        <v>70.887018122001578</v>
      </c>
      <c r="O21">
        <v>-0.51641941013081838</v>
      </c>
      <c r="P21" s="1" t="str">
        <f>HYPERLINK(".\sm_car_260705_0424\sm_car_260705_0424_020_Ca032TrN_MaLSS_DrSt_ode23t.png","figure")</f>
        <v>figure</v>
      </c>
      <c r="Q21" t="s">
        <v>15</v>
      </c>
    </row>
    <row r="22" spans="1:17" x14ac:dyDescent="0.25">
      <c r="A22">
        <v>21</v>
      </c>
      <c r="B22">
        <v>48</v>
      </c>
      <c r="C22" t="s">
        <v>16</v>
      </c>
      <c r="D22" t="s">
        <v>31</v>
      </c>
      <c r="E22" t="s">
        <v>18</v>
      </c>
      <c r="F22" t="s">
        <v>19</v>
      </c>
      <c r="G22" t="s">
        <v>188</v>
      </c>
      <c r="H22" t="s">
        <v>21</v>
      </c>
      <c r="I22" t="s">
        <v>22</v>
      </c>
      <c r="J22" t="s">
        <v>148</v>
      </c>
      <c r="K22" t="s">
        <v>23</v>
      </c>
      <c r="L22">
        <v>408</v>
      </c>
      <c r="M22">
        <v>7.7906823000000003</v>
      </c>
      <c r="N22">
        <v>230.07116592822823</v>
      </c>
      <c r="O22">
        <v>-2.2803956668757609E-2</v>
      </c>
      <c r="P22" s="1" t="str">
        <f>HYPERLINK(".\sm_car_260705_0424\sm_car_260705_0424_021_Ca048TrN_MaWOT_DrSt_ode23t.png","figure")</f>
        <v>figure</v>
      </c>
      <c r="Q22" t="s">
        <v>15</v>
      </c>
    </row>
    <row r="23" spans="1:17" x14ac:dyDescent="0.25">
      <c r="A23">
        <v>22</v>
      </c>
      <c r="B23">
        <v>48</v>
      </c>
      <c r="C23" t="s">
        <v>16</v>
      </c>
      <c r="D23" t="s">
        <v>31</v>
      </c>
      <c r="E23" t="s">
        <v>18</v>
      </c>
      <c r="F23" t="s">
        <v>19</v>
      </c>
      <c r="G23" t="s">
        <v>188</v>
      </c>
      <c r="H23" t="s">
        <v>21</v>
      </c>
      <c r="I23" t="s">
        <v>24</v>
      </c>
      <c r="J23" t="s">
        <v>148</v>
      </c>
      <c r="K23" t="s">
        <v>23</v>
      </c>
      <c r="L23">
        <v>532</v>
      </c>
      <c r="M23">
        <v>8.3207523999999999</v>
      </c>
      <c r="N23">
        <v>70.879734943070645</v>
      </c>
      <c r="O23">
        <v>-0.52128276122161854</v>
      </c>
      <c r="P23" s="1" t="str">
        <f>HYPERLINK(".\sm_car_260705_0424\sm_car_260705_0424_022_Ca048TrN_MaLSS_DrSt_ode23t.png","figure")</f>
        <v>figure</v>
      </c>
      <c r="Q23" t="s">
        <v>15</v>
      </c>
    </row>
    <row r="24" spans="1:17" x14ac:dyDescent="0.25">
      <c r="A24">
        <v>23</v>
      </c>
      <c r="B24">
        <v>64</v>
      </c>
      <c r="C24" t="s">
        <v>16</v>
      </c>
      <c r="D24" t="s">
        <v>32</v>
      </c>
      <c r="E24" t="s">
        <v>18</v>
      </c>
      <c r="F24" t="s">
        <v>19</v>
      </c>
      <c r="G24" t="s">
        <v>188</v>
      </c>
      <c r="H24" t="s">
        <v>21</v>
      </c>
      <c r="I24" t="s">
        <v>22</v>
      </c>
      <c r="J24" t="s">
        <v>148</v>
      </c>
      <c r="K24" t="s">
        <v>23</v>
      </c>
      <c r="L24">
        <v>400</v>
      </c>
      <c r="M24">
        <v>8.1616719</v>
      </c>
      <c r="N24">
        <v>230.15012909419332</v>
      </c>
      <c r="O24">
        <v>4.0306009787751344E-3</v>
      </c>
      <c r="P24" s="1" t="str">
        <f>HYPERLINK(".\sm_car_260705_0424\sm_car_260705_0424_023_Ca064TrN_MaWOT_DrSt_ode23t.png","figure")</f>
        <v>figure</v>
      </c>
      <c r="Q24" t="s">
        <v>15</v>
      </c>
    </row>
    <row r="25" spans="1:17" x14ac:dyDescent="0.25">
      <c r="A25">
        <v>24</v>
      </c>
      <c r="B25">
        <v>64</v>
      </c>
      <c r="C25" t="s">
        <v>16</v>
      </c>
      <c r="D25" t="s">
        <v>32</v>
      </c>
      <c r="E25" t="s">
        <v>18</v>
      </c>
      <c r="F25" t="s">
        <v>19</v>
      </c>
      <c r="G25" t="s">
        <v>188</v>
      </c>
      <c r="H25" t="s">
        <v>21</v>
      </c>
      <c r="I25" t="s">
        <v>24</v>
      </c>
      <c r="J25" t="s">
        <v>148</v>
      </c>
      <c r="K25" t="s">
        <v>23</v>
      </c>
      <c r="L25">
        <v>512</v>
      </c>
      <c r="M25">
        <v>8.3569396999999999</v>
      </c>
      <c r="N25">
        <v>70.903978167550335</v>
      </c>
      <c r="O25">
        <v>-0.50998323756179686</v>
      </c>
      <c r="P25" s="1" t="str">
        <f>HYPERLINK(".\sm_car_260705_0424\sm_car_260705_0424_024_Ca064TrN_MaLSS_DrSt_ode23t.png","figure")</f>
        <v>figure</v>
      </c>
      <c r="Q25" t="s">
        <v>15</v>
      </c>
    </row>
    <row r="26" spans="1:17" x14ac:dyDescent="0.25">
      <c r="A26">
        <v>25</v>
      </c>
      <c r="B26">
        <v>80</v>
      </c>
      <c r="C26" t="s">
        <v>16</v>
      </c>
      <c r="D26" t="s">
        <v>33</v>
      </c>
      <c r="E26" t="s">
        <v>18</v>
      </c>
      <c r="F26" t="s">
        <v>19</v>
      </c>
      <c r="G26" t="s">
        <v>188</v>
      </c>
      <c r="H26" t="s">
        <v>21</v>
      </c>
      <c r="I26" t="s">
        <v>22</v>
      </c>
      <c r="J26" t="s">
        <v>148</v>
      </c>
      <c r="K26" t="s">
        <v>23</v>
      </c>
      <c r="L26">
        <v>407</v>
      </c>
      <c r="M26">
        <v>8.2514053000000001</v>
      </c>
      <c r="N26">
        <v>229.977002942746</v>
      </c>
      <c r="O26">
        <v>-2.5215828614378225E-2</v>
      </c>
      <c r="P26" s="1" t="str">
        <f>HYPERLINK(".\sm_car_260705_0424\sm_car_260705_0424_025_Ca080TrN_MaWOT_DrSt_ode23t.png","figure")</f>
        <v>figure</v>
      </c>
      <c r="Q26" t="s">
        <v>15</v>
      </c>
    </row>
    <row r="27" spans="1:17" x14ac:dyDescent="0.25">
      <c r="A27">
        <v>26</v>
      </c>
      <c r="B27">
        <v>80</v>
      </c>
      <c r="C27" t="s">
        <v>16</v>
      </c>
      <c r="D27" t="s">
        <v>33</v>
      </c>
      <c r="E27" t="s">
        <v>18</v>
      </c>
      <c r="F27" t="s">
        <v>19</v>
      </c>
      <c r="G27" t="s">
        <v>188</v>
      </c>
      <c r="H27" t="s">
        <v>21</v>
      </c>
      <c r="I27" t="s">
        <v>24</v>
      </c>
      <c r="J27" t="s">
        <v>148</v>
      </c>
      <c r="K27" t="s">
        <v>23</v>
      </c>
      <c r="L27">
        <v>521</v>
      </c>
      <c r="M27">
        <v>8.8816088999999998</v>
      </c>
      <c r="N27">
        <v>70.871571113951205</v>
      </c>
      <c r="O27">
        <v>-0.51798401216276602</v>
      </c>
      <c r="P27" s="1" t="str">
        <f>HYPERLINK(".\sm_car_260705_0424\sm_car_260705_0424_026_Ca080TrN_MaLSS_DrSt_ode23t.png","figure")</f>
        <v>figure</v>
      </c>
      <c r="Q27" t="s">
        <v>15</v>
      </c>
    </row>
    <row r="28" spans="1:17" x14ac:dyDescent="0.25">
      <c r="A28">
        <v>27</v>
      </c>
      <c r="B28">
        <v>96</v>
      </c>
      <c r="C28" t="s">
        <v>16</v>
      </c>
      <c r="D28" t="s">
        <v>34</v>
      </c>
      <c r="E28" t="s">
        <v>18</v>
      </c>
      <c r="F28" t="s">
        <v>19</v>
      </c>
      <c r="G28" t="s">
        <v>188</v>
      </c>
      <c r="H28" t="s">
        <v>21</v>
      </c>
      <c r="I28" t="s">
        <v>22</v>
      </c>
      <c r="J28" t="s">
        <v>148</v>
      </c>
      <c r="K28" t="s">
        <v>23</v>
      </c>
      <c r="L28">
        <v>400</v>
      </c>
      <c r="M28">
        <v>5.7222035</v>
      </c>
      <c r="N28">
        <v>231.7060108500074</v>
      </c>
      <c r="O28">
        <v>1.6013963503973151E-2</v>
      </c>
      <c r="P28" s="1" t="str">
        <f>HYPERLINK(".\sm_car_260705_0424\sm_car_260705_0424_027_Ca096TrN_MaWOT_DrSt_ode23t.png","figure")</f>
        <v>figure</v>
      </c>
      <c r="Q28" t="s">
        <v>15</v>
      </c>
    </row>
    <row r="29" spans="1:17" x14ac:dyDescent="0.25">
      <c r="A29">
        <v>28</v>
      </c>
      <c r="B29">
        <v>96</v>
      </c>
      <c r="C29" t="s">
        <v>16</v>
      </c>
      <c r="D29" t="s">
        <v>34</v>
      </c>
      <c r="E29" t="s">
        <v>18</v>
      </c>
      <c r="F29" t="s">
        <v>19</v>
      </c>
      <c r="G29" t="s">
        <v>188</v>
      </c>
      <c r="H29" t="s">
        <v>21</v>
      </c>
      <c r="I29" t="s">
        <v>24</v>
      </c>
      <c r="J29" t="s">
        <v>148</v>
      </c>
      <c r="K29" t="s">
        <v>23</v>
      </c>
      <c r="L29">
        <v>516</v>
      </c>
      <c r="M29">
        <v>7.1375617</v>
      </c>
      <c r="N29">
        <v>71.376201274642568</v>
      </c>
      <c r="O29">
        <v>-0.52101015842835785</v>
      </c>
      <c r="P29" s="1" t="str">
        <f>HYPERLINK(".\sm_car_260705_0424\sm_car_260705_0424_028_Ca096TrN_MaLSS_DrSt_ode23t.png","figure")</f>
        <v>figure</v>
      </c>
      <c r="Q29" t="s">
        <v>15</v>
      </c>
    </row>
    <row r="30" spans="1:17" x14ac:dyDescent="0.25">
      <c r="A30">
        <v>29</v>
      </c>
      <c r="B30">
        <v>112</v>
      </c>
      <c r="C30" t="s">
        <v>16</v>
      </c>
      <c r="D30" t="s">
        <v>35</v>
      </c>
      <c r="E30" t="s">
        <v>18</v>
      </c>
      <c r="F30" t="s">
        <v>19</v>
      </c>
      <c r="G30" t="s">
        <v>188</v>
      </c>
      <c r="H30" t="s">
        <v>21</v>
      </c>
      <c r="I30" t="s">
        <v>22</v>
      </c>
      <c r="J30" t="s">
        <v>148</v>
      </c>
      <c r="K30" t="s">
        <v>23</v>
      </c>
      <c r="L30">
        <v>343</v>
      </c>
      <c r="M30">
        <v>2.7244264</v>
      </c>
      <c r="N30">
        <v>242.43362774734626</v>
      </c>
      <c r="O30">
        <v>0.23525250866934741</v>
      </c>
      <c r="P30" s="1" t="str">
        <f>HYPERLINK(".\sm_car_260705_0424\sm_car_260705_0424_029_Ca112TrN_MaWOT_DrSt_ode23t.png","figure")</f>
        <v>figure</v>
      </c>
      <c r="Q30" t="s">
        <v>15</v>
      </c>
    </row>
    <row r="31" spans="1:17" x14ac:dyDescent="0.25">
      <c r="A31">
        <v>30</v>
      </c>
      <c r="B31">
        <v>112</v>
      </c>
      <c r="C31" t="s">
        <v>16</v>
      </c>
      <c r="D31" t="s">
        <v>35</v>
      </c>
      <c r="E31" t="s">
        <v>18</v>
      </c>
      <c r="F31" t="s">
        <v>19</v>
      </c>
      <c r="G31" t="s">
        <v>188</v>
      </c>
      <c r="H31" t="s">
        <v>21</v>
      </c>
      <c r="I31" t="s">
        <v>24</v>
      </c>
      <c r="J31" t="s">
        <v>148</v>
      </c>
      <c r="K31" t="s">
        <v>23</v>
      </c>
      <c r="L31">
        <v>458</v>
      </c>
      <c r="M31">
        <v>2.7312637</v>
      </c>
      <c r="N31">
        <v>74.660640114503309</v>
      </c>
      <c r="O31">
        <v>-0.33895610552822808</v>
      </c>
      <c r="P31" s="1" t="str">
        <f>HYPERLINK(".\sm_car_260705_0424\sm_car_260705_0424_030_Ca112TrN_MaLSS_DrSt_ode23t.png","figure")</f>
        <v>figure</v>
      </c>
      <c r="Q31" t="s">
        <v>15</v>
      </c>
    </row>
    <row r="32" spans="1:17" x14ac:dyDescent="0.25">
      <c r="A32">
        <v>31</v>
      </c>
      <c r="B32">
        <v>113</v>
      </c>
      <c r="C32" t="s">
        <v>16</v>
      </c>
      <c r="D32" t="s">
        <v>35</v>
      </c>
      <c r="E32" t="s">
        <v>18</v>
      </c>
      <c r="F32" t="s">
        <v>19</v>
      </c>
      <c r="G32" t="s">
        <v>188</v>
      </c>
      <c r="H32" t="s">
        <v>21</v>
      </c>
      <c r="I32" t="s">
        <v>22</v>
      </c>
      <c r="J32" t="s">
        <v>148</v>
      </c>
      <c r="K32" t="s">
        <v>23</v>
      </c>
      <c r="L32">
        <v>342</v>
      </c>
      <c r="M32">
        <v>3.3037614999999998</v>
      </c>
      <c r="N32">
        <v>241.4112502826427</v>
      </c>
      <c r="O32">
        <v>0.23518492432433594</v>
      </c>
      <c r="P32" s="1" t="str">
        <f>HYPERLINK(".\sm_car_260705_0424\sm_car_260705_0424_031_Ca113TrN_MaWOT_DrSt_ode23t.png","figure")</f>
        <v>figure</v>
      </c>
      <c r="Q32" t="s">
        <v>15</v>
      </c>
    </row>
    <row r="33" spans="1:17" x14ac:dyDescent="0.25">
      <c r="A33">
        <v>32</v>
      </c>
      <c r="B33">
        <v>113</v>
      </c>
      <c r="C33" t="s">
        <v>16</v>
      </c>
      <c r="D33" t="s">
        <v>35</v>
      </c>
      <c r="E33" t="s">
        <v>18</v>
      </c>
      <c r="F33" t="s">
        <v>19</v>
      </c>
      <c r="G33" t="s">
        <v>188</v>
      </c>
      <c r="H33" t="s">
        <v>21</v>
      </c>
      <c r="I33" t="s">
        <v>24</v>
      </c>
      <c r="J33" t="s">
        <v>148</v>
      </c>
      <c r="K33" t="s">
        <v>23</v>
      </c>
      <c r="L33">
        <v>446</v>
      </c>
      <c r="M33">
        <v>3.0891421999999999</v>
      </c>
      <c r="N33">
        <v>74.344505254326279</v>
      </c>
      <c r="O33">
        <v>-0.32910447832968864</v>
      </c>
      <c r="P33" s="1" t="str">
        <f>HYPERLINK(".\sm_car_260705_0424\sm_car_260705_0424_032_Ca113TrN_MaLSS_DrSt_ode23t.png","figure")</f>
        <v>figure</v>
      </c>
      <c r="Q33" t="s">
        <v>15</v>
      </c>
    </row>
    <row r="34" spans="1:17" x14ac:dyDescent="0.25">
      <c r="A34">
        <v>33</v>
      </c>
      <c r="B34">
        <v>114</v>
      </c>
      <c r="C34" t="s">
        <v>16</v>
      </c>
      <c r="D34" t="s">
        <v>35</v>
      </c>
      <c r="E34" t="s">
        <v>18</v>
      </c>
      <c r="F34" t="s">
        <v>19</v>
      </c>
      <c r="G34" t="s">
        <v>188</v>
      </c>
      <c r="H34" t="s">
        <v>21</v>
      </c>
      <c r="I34" t="s">
        <v>22</v>
      </c>
      <c r="J34" t="s">
        <v>148</v>
      </c>
      <c r="K34" t="s">
        <v>23</v>
      </c>
      <c r="L34">
        <v>352</v>
      </c>
      <c r="M34">
        <v>3.88422</v>
      </c>
      <c r="N34">
        <v>241.62615619164637</v>
      </c>
      <c r="O34">
        <v>0.23173337864842869</v>
      </c>
      <c r="P34" s="1" t="str">
        <f>HYPERLINK(".\sm_car_260705_0424\sm_car_260705_0424_033_Ca114TrN_MaWOT_DrSt_ode23t.png","figure")</f>
        <v>figure</v>
      </c>
      <c r="Q34" t="s">
        <v>15</v>
      </c>
    </row>
    <row r="35" spans="1:17" x14ac:dyDescent="0.25">
      <c r="A35">
        <v>34</v>
      </c>
      <c r="B35">
        <v>114</v>
      </c>
      <c r="C35" t="s">
        <v>16</v>
      </c>
      <c r="D35" t="s">
        <v>35</v>
      </c>
      <c r="E35" t="s">
        <v>18</v>
      </c>
      <c r="F35" t="s">
        <v>19</v>
      </c>
      <c r="G35" t="s">
        <v>188</v>
      </c>
      <c r="H35" t="s">
        <v>21</v>
      </c>
      <c r="I35" t="s">
        <v>24</v>
      </c>
      <c r="J35" t="s">
        <v>148</v>
      </c>
      <c r="K35" t="s">
        <v>23</v>
      </c>
      <c r="L35">
        <v>458</v>
      </c>
      <c r="M35">
        <v>3.6529883000000001</v>
      </c>
      <c r="N35">
        <v>74.374466958566515</v>
      </c>
      <c r="O35">
        <v>-0.33443599799225238</v>
      </c>
      <c r="P35" s="1" t="str">
        <f>HYPERLINK(".\sm_car_260705_0424\sm_car_260705_0424_034_Ca114TrN_MaLSS_DrSt_ode23t.png","figure")</f>
        <v>figure</v>
      </c>
      <c r="Q35" t="s">
        <v>15</v>
      </c>
    </row>
    <row r="36" spans="1:17" x14ac:dyDescent="0.25">
      <c r="A36">
        <v>35</v>
      </c>
      <c r="B36">
        <v>115</v>
      </c>
      <c r="C36" t="s">
        <v>16</v>
      </c>
      <c r="D36" t="s">
        <v>35</v>
      </c>
      <c r="E36" t="s">
        <v>18</v>
      </c>
      <c r="F36" t="s">
        <v>19</v>
      </c>
      <c r="G36" t="s">
        <v>188</v>
      </c>
      <c r="H36" t="s">
        <v>21</v>
      </c>
      <c r="I36" t="s">
        <v>22</v>
      </c>
      <c r="J36" t="s">
        <v>148</v>
      </c>
      <c r="K36" t="s">
        <v>23</v>
      </c>
      <c r="L36">
        <v>402</v>
      </c>
      <c r="M36">
        <v>3.3015940000000001</v>
      </c>
      <c r="N36">
        <v>241.04193786350561</v>
      </c>
      <c r="O36">
        <v>0.23064205030757484</v>
      </c>
      <c r="P36" s="1" t="str">
        <f>HYPERLINK(".\sm_car_260705_0424\sm_car_260705_0424_035_Ca115TrN_MaWOT_DrSt_ode23t.png","figure")</f>
        <v>figure</v>
      </c>
      <c r="Q36" t="s">
        <v>15</v>
      </c>
    </row>
    <row r="37" spans="1:17" x14ac:dyDescent="0.25">
      <c r="A37">
        <v>36</v>
      </c>
      <c r="B37">
        <v>115</v>
      </c>
      <c r="C37" t="s">
        <v>16</v>
      </c>
      <c r="D37" t="s">
        <v>35</v>
      </c>
      <c r="E37" t="s">
        <v>18</v>
      </c>
      <c r="F37" t="s">
        <v>19</v>
      </c>
      <c r="G37" t="s">
        <v>188</v>
      </c>
      <c r="H37" t="s">
        <v>21</v>
      </c>
      <c r="I37" t="s">
        <v>24</v>
      </c>
      <c r="J37" t="s">
        <v>148</v>
      </c>
      <c r="K37" t="s">
        <v>23</v>
      </c>
      <c r="L37">
        <v>498</v>
      </c>
      <c r="M37">
        <v>3.7739796000000001</v>
      </c>
      <c r="N37">
        <v>74.200445865262608</v>
      </c>
      <c r="O37">
        <v>-0.32947868105132755</v>
      </c>
      <c r="P37" s="1" t="str">
        <f>HYPERLINK(".\sm_car_260705_0424\sm_car_260705_0424_036_Ca115TrN_MaLSS_DrSt_ode23t.png","figure")</f>
        <v>figure</v>
      </c>
      <c r="Q37" t="s">
        <v>15</v>
      </c>
    </row>
    <row r="38" spans="1:17" x14ac:dyDescent="0.25">
      <c r="A38">
        <v>37</v>
      </c>
      <c r="B38">
        <v>116</v>
      </c>
      <c r="C38" t="s">
        <v>16</v>
      </c>
      <c r="D38" t="s">
        <v>35</v>
      </c>
      <c r="E38" t="s">
        <v>18</v>
      </c>
      <c r="F38" t="s">
        <v>28</v>
      </c>
      <c r="G38" t="s">
        <v>188</v>
      </c>
      <c r="H38" t="s">
        <v>21</v>
      </c>
      <c r="I38" t="s">
        <v>22</v>
      </c>
      <c r="J38" t="s">
        <v>148</v>
      </c>
      <c r="K38" t="s">
        <v>23</v>
      </c>
      <c r="L38">
        <v>871</v>
      </c>
      <c r="M38">
        <v>4.3134762999999996</v>
      </c>
      <c r="N38">
        <v>242.63359811761086</v>
      </c>
      <c r="O38">
        <v>0.23812089056063013</v>
      </c>
      <c r="P38" s="1" t="str">
        <f>HYPERLINK(".\sm_car_260705_0424\sm_car_260705_0424_037_Ca116TrN_MaWOT_DrSt_ode23t.png","figure")</f>
        <v>figure</v>
      </c>
      <c r="Q38" t="s">
        <v>15</v>
      </c>
    </row>
    <row r="39" spans="1:17" x14ac:dyDescent="0.25">
      <c r="A39">
        <v>38</v>
      </c>
      <c r="B39">
        <v>116</v>
      </c>
      <c r="C39" t="s">
        <v>16</v>
      </c>
      <c r="D39" t="s">
        <v>35</v>
      </c>
      <c r="E39" t="s">
        <v>18</v>
      </c>
      <c r="F39" t="s">
        <v>28</v>
      </c>
      <c r="G39" t="s">
        <v>188</v>
      </c>
      <c r="H39" t="s">
        <v>21</v>
      </c>
      <c r="I39" t="s">
        <v>24</v>
      </c>
      <c r="J39" t="s">
        <v>148</v>
      </c>
      <c r="K39" t="s">
        <v>23</v>
      </c>
      <c r="L39">
        <v>998</v>
      </c>
      <c r="M39">
        <v>4.8564281999999999</v>
      </c>
      <c r="N39">
        <v>74.662888271720306</v>
      </c>
      <c r="O39">
        <v>-0.34121923194264048</v>
      </c>
      <c r="P39" s="1" t="str">
        <f>HYPERLINK(".\sm_car_260705_0424\sm_car_260705_0424_038_Ca116TrN_MaLSS_DrSt_ode23t.png","figure")</f>
        <v>figure</v>
      </c>
      <c r="Q39" t="s">
        <v>15</v>
      </c>
    </row>
    <row r="40" spans="1:17" x14ac:dyDescent="0.25">
      <c r="A40">
        <v>39</v>
      </c>
      <c r="B40">
        <v>117</v>
      </c>
      <c r="C40" t="s">
        <v>16</v>
      </c>
      <c r="D40" t="s">
        <v>35</v>
      </c>
      <c r="E40" t="s">
        <v>18</v>
      </c>
      <c r="F40" t="s">
        <v>28</v>
      </c>
      <c r="G40" t="s">
        <v>188</v>
      </c>
      <c r="H40" t="s">
        <v>21</v>
      </c>
      <c r="I40" t="s">
        <v>22</v>
      </c>
      <c r="J40" t="s">
        <v>148</v>
      </c>
      <c r="K40" t="s">
        <v>23</v>
      </c>
      <c r="L40">
        <v>926</v>
      </c>
      <c r="M40">
        <v>4.9145517999999999</v>
      </c>
      <c r="N40">
        <v>241.59072267001071</v>
      </c>
      <c r="O40">
        <v>0.23361823233539616</v>
      </c>
      <c r="P40" s="1" t="str">
        <f>HYPERLINK(".\sm_car_260705_0424\sm_car_260705_0424_039_Ca117TrN_MaWOT_DrSt_ode23t.png","figure")</f>
        <v>figure</v>
      </c>
      <c r="Q40" t="s">
        <v>15</v>
      </c>
    </row>
    <row r="41" spans="1:17" x14ac:dyDescent="0.25">
      <c r="A41">
        <v>40</v>
      </c>
      <c r="B41">
        <v>117</v>
      </c>
      <c r="C41" t="s">
        <v>16</v>
      </c>
      <c r="D41" t="s">
        <v>35</v>
      </c>
      <c r="E41" t="s">
        <v>18</v>
      </c>
      <c r="F41" t="s">
        <v>28</v>
      </c>
      <c r="G41" t="s">
        <v>188</v>
      </c>
      <c r="H41" t="s">
        <v>21</v>
      </c>
      <c r="I41" t="s">
        <v>24</v>
      </c>
      <c r="J41" t="s">
        <v>148</v>
      </c>
      <c r="K41" t="s">
        <v>23</v>
      </c>
      <c r="L41">
        <v>1050</v>
      </c>
      <c r="M41">
        <v>5.8956188000000003</v>
      </c>
      <c r="N41">
        <v>74.345637824625499</v>
      </c>
      <c r="O41">
        <v>-0.33542824384829883</v>
      </c>
      <c r="P41" s="1" t="str">
        <f>HYPERLINK(".\sm_car_260705_0424\sm_car_260705_0424_040_Ca117TrN_MaLSS_DrSt_ode23t.png","figure")</f>
        <v>figure</v>
      </c>
      <c r="Q41" t="s">
        <v>15</v>
      </c>
    </row>
    <row r="42" spans="1:17" x14ac:dyDescent="0.25">
      <c r="A42">
        <v>41</v>
      </c>
      <c r="B42">
        <v>118</v>
      </c>
      <c r="C42" t="s">
        <v>16</v>
      </c>
      <c r="D42" t="s">
        <v>35</v>
      </c>
      <c r="E42" t="s">
        <v>18</v>
      </c>
      <c r="F42" t="s">
        <v>28</v>
      </c>
      <c r="G42" t="s">
        <v>188</v>
      </c>
      <c r="H42" t="s">
        <v>21</v>
      </c>
      <c r="I42" t="s">
        <v>22</v>
      </c>
      <c r="J42" t="s">
        <v>148</v>
      </c>
      <c r="K42" t="s">
        <v>23</v>
      </c>
      <c r="L42">
        <v>932</v>
      </c>
      <c r="M42">
        <v>6.3916582000000002</v>
      </c>
      <c r="N42">
        <v>241.45105398064587</v>
      </c>
      <c r="O42">
        <v>0.23248581386015205</v>
      </c>
      <c r="P42" s="1" t="str">
        <f>HYPERLINK(".\sm_car_260705_0424\sm_car_260705_0424_041_Ca118TrN_MaWOT_DrSt_ode23t.png","figure")</f>
        <v>figure</v>
      </c>
      <c r="Q42" t="s">
        <v>15</v>
      </c>
    </row>
    <row r="43" spans="1:17" x14ac:dyDescent="0.25">
      <c r="A43">
        <v>42</v>
      </c>
      <c r="B43">
        <v>118</v>
      </c>
      <c r="C43" t="s">
        <v>16</v>
      </c>
      <c r="D43" t="s">
        <v>35</v>
      </c>
      <c r="E43" t="s">
        <v>18</v>
      </c>
      <c r="F43" t="s">
        <v>28</v>
      </c>
      <c r="G43" t="s">
        <v>188</v>
      </c>
      <c r="H43" t="s">
        <v>21</v>
      </c>
      <c r="I43" t="s">
        <v>24</v>
      </c>
      <c r="J43" t="s">
        <v>148</v>
      </c>
      <c r="K43" t="s">
        <v>23</v>
      </c>
      <c r="L43">
        <v>1053</v>
      </c>
      <c r="M43">
        <v>6.8398827000000004</v>
      </c>
      <c r="N43">
        <v>74.335771050969328</v>
      </c>
      <c r="O43">
        <v>-0.33714744572647681</v>
      </c>
      <c r="P43" s="1" t="str">
        <f>HYPERLINK(".\sm_car_260705_0424\sm_car_260705_0424_042_Ca118TrN_MaLSS_DrSt_ode23t.png","figure")</f>
        <v>figure</v>
      </c>
      <c r="Q43" t="s">
        <v>15</v>
      </c>
    </row>
    <row r="44" spans="1:17" x14ac:dyDescent="0.25">
      <c r="A44">
        <v>43</v>
      </c>
      <c r="B44">
        <v>119</v>
      </c>
      <c r="C44" t="s">
        <v>16</v>
      </c>
      <c r="D44" t="s">
        <v>35</v>
      </c>
      <c r="E44" t="s">
        <v>18</v>
      </c>
      <c r="F44" t="s">
        <v>28</v>
      </c>
      <c r="G44" t="s">
        <v>188</v>
      </c>
      <c r="H44" t="s">
        <v>21</v>
      </c>
      <c r="I44" t="s">
        <v>22</v>
      </c>
      <c r="J44" t="s">
        <v>148</v>
      </c>
      <c r="K44" t="s">
        <v>23</v>
      </c>
      <c r="L44">
        <v>969</v>
      </c>
      <c r="M44">
        <v>6.5933348000000001</v>
      </c>
      <c r="N44">
        <v>240.95712317887012</v>
      </c>
      <c r="O44">
        <v>0.23134361136573711</v>
      </c>
      <c r="P44" s="1" t="str">
        <f>HYPERLINK(".\sm_car_260705_0424\sm_car_260705_0424_043_Ca119TrN_MaWOT_DrSt_ode23t.png","figure")</f>
        <v>figure</v>
      </c>
      <c r="Q44" t="s">
        <v>15</v>
      </c>
    </row>
    <row r="45" spans="1:17" x14ac:dyDescent="0.25">
      <c r="A45">
        <v>44</v>
      </c>
      <c r="B45">
        <v>119</v>
      </c>
      <c r="C45" t="s">
        <v>16</v>
      </c>
      <c r="D45" t="s">
        <v>35</v>
      </c>
      <c r="E45" t="s">
        <v>18</v>
      </c>
      <c r="F45" t="s">
        <v>28</v>
      </c>
      <c r="G45" t="s">
        <v>188</v>
      </c>
      <c r="H45" t="s">
        <v>21</v>
      </c>
      <c r="I45" t="s">
        <v>24</v>
      </c>
      <c r="J45" t="s">
        <v>148</v>
      </c>
      <c r="K45" t="s">
        <v>23</v>
      </c>
      <c r="L45">
        <v>1089</v>
      </c>
      <c r="M45">
        <v>6.8581747000000002</v>
      </c>
      <c r="N45">
        <v>74.191662190212213</v>
      </c>
      <c r="O45">
        <v>-0.334643261199429</v>
      </c>
      <c r="P45" s="1" t="str">
        <f>HYPERLINK(".\sm_car_260705_0424\sm_car_260705_0424_044_Ca119TrN_MaLSS_DrSt_ode23t.png","figure")</f>
        <v>figure</v>
      </c>
      <c r="Q45" t="s">
        <v>15</v>
      </c>
    </row>
    <row r="46" spans="1:17" x14ac:dyDescent="0.25">
      <c r="A46">
        <v>45</v>
      </c>
      <c r="B46">
        <v>128</v>
      </c>
      <c r="C46" t="s">
        <v>16</v>
      </c>
      <c r="D46" t="s">
        <v>17</v>
      </c>
      <c r="E46" t="s">
        <v>107</v>
      </c>
      <c r="F46" t="s">
        <v>19</v>
      </c>
      <c r="G46" t="s">
        <v>36</v>
      </c>
      <c r="H46" t="s">
        <v>21</v>
      </c>
      <c r="I46" t="s">
        <v>22</v>
      </c>
      <c r="J46" t="s">
        <v>148</v>
      </c>
      <c r="K46" t="s">
        <v>23</v>
      </c>
      <c r="L46">
        <v>305</v>
      </c>
      <c r="M46">
        <v>5.8893684000000004</v>
      </c>
      <c r="N46">
        <v>98.905132615580698</v>
      </c>
      <c r="O46">
        <v>-1.8389809806720947E-2</v>
      </c>
      <c r="P46" s="1" t="str">
        <f>HYPERLINK(".\sm_car_260705_0424\sm_car_260705_0424_045_Ca128TrN_MaWOT_DrSt_ode23t.png","figure")</f>
        <v>figure</v>
      </c>
      <c r="Q46" t="s">
        <v>15</v>
      </c>
    </row>
    <row r="47" spans="1:17" x14ac:dyDescent="0.25">
      <c r="A47">
        <v>46</v>
      </c>
      <c r="B47">
        <v>128</v>
      </c>
      <c r="C47" t="s">
        <v>16</v>
      </c>
      <c r="D47" t="s">
        <v>17</v>
      </c>
      <c r="E47" t="s">
        <v>107</v>
      </c>
      <c r="F47" t="s">
        <v>19</v>
      </c>
      <c r="G47" t="s">
        <v>36</v>
      </c>
      <c r="H47" t="s">
        <v>21</v>
      </c>
      <c r="I47" t="s">
        <v>24</v>
      </c>
      <c r="J47" t="s">
        <v>148</v>
      </c>
      <c r="K47" t="s">
        <v>23</v>
      </c>
      <c r="L47">
        <v>445</v>
      </c>
      <c r="M47">
        <v>7.4806144000000003</v>
      </c>
      <c r="N47">
        <v>36.70631630629979</v>
      </c>
      <c r="O47">
        <v>-0.12873562717565487</v>
      </c>
      <c r="P47" s="1" t="str">
        <f>HYPERLINK(".\sm_car_260705_0424\sm_car_260705_0424_046_Ca128TrN_MaLSS_DrSt_ode23t.png","figure")</f>
        <v>figure</v>
      </c>
      <c r="Q47" t="s">
        <v>15</v>
      </c>
    </row>
    <row r="48" spans="1:17" x14ac:dyDescent="0.25">
      <c r="A48">
        <v>47</v>
      </c>
      <c r="B48">
        <v>129</v>
      </c>
      <c r="C48" t="s">
        <v>16</v>
      </c>
      <c r="D48" t="s">
        <v>17</v>
      </c>
      <c r="E48" t="s">
        <v>107</v>
      </c>
      <c r="F48" t="s">
        <v>19</v>
      </c>
      <c r="G48" t="s">
        <v>37</v>
      </c>
      <c r="H48" t="s">
        <v>21</v>
      </c>
      <c r="I48" t="s">
        <v>22</v>
      </c>
      <c r="J48" t="s">
        <v>148</v>
      </c>
      <c r="K48" t="s">
        <v>23</v>
      </c>
      <c r="L48">
        <v>341</v>
      </c>
      <c r="M48">
        <v>6.1133626999999997</v>
      </c>
      <c r="N48">
        <v>228.56641102228687</v>
      </c>
      <c r="O48">
        <v>5.5221163825813387E-2</v>
      </c>
      <c r="P48" s="1" t="str">
        <f>HYPERLINK(".\sm_car_260705_0424\sm_car_260705_0424_047_Ca129TrN_MaWOT_DrSt_ode23t.png","figure")</f>
        <v>figure</v>
      </c>
      <c r="Q48" t="s">
        <v>15</v>
      </c>
    </row>
    <row r="49" spans="1:17" x14ac:dyDescent="0.25">
      <c r="A49">
        <v>48</v>
      </c>
      <c r="B49">
        <v>129</v>
      </c>
      <c r="C49" t="s">
        <v>16</v>
      </c>
      <c r="D49" t="s">
        <v>17</v>
      </c>
      <c r="E49" t="s">
        <v>107</v>
      </c>
      <c r="F49" t="s">
        <v>19</v>
      </c>
      <c r="G49" t="s">
        <v>37</v>
      </c>
      <c r="H49" t="s">
        <v>21</v>
      </c>
      <c r="I49" t="s">
        <v>24</v>
      </c>
      <c r="J49" t="s">
        <v>148</v>
      </c>
      <c r="K49" t="s">
        <v>23</v>
      </c>
      <c r="L49">
        <v>467</v>
      </c>
      <c r="M49">
        <v>8.7515655999999993</v>
      </c>
      <c r="N49">
        <v>70.412063747960119</v>
      </c>
      <c r="O49">
        <v>-0.51617638149721601</v>
      </c>
      <c r="P49" s="1" t="str">
        <f>HYPERLINK(".\sm_car_260705_0424\sm_car_260705_0424_048_Ca129TrN_MaLSS_DrSt_ode23t.png","figure")</f>
        <v>figure</v>
      </c>
      <c r="Q49" t="s">
        <v>15</v>
      </c>
    </row>
    <row r="50" spans="1:17" x14ac:dyDescent="0.25">
      <c r="A50">
        <v>49</v>
      </c>
      <c r="B50">
        <v>130</v>
      </c>
      <c r="C50" t="s">
        <v>16</v>
      </c>
      <c r="D50" t="s">
        <v>17</v>
      </c>
      <c r="E50" t="s">
        <v>18</v>
      </c>
      <c r="F50" t="s">
        <v>19</v>
      </c>
      <c r="G50" t="s">
        <v>38</v>
      </c>
      <c r="H50" t="s">
        <v>21</v>
      </c>
      <c r="I50" t="s">
        <v>22</v>
      </c>
      <c r="J50" t="s">
        <v>148</v>
      </c>
      <c r="K50" t="s">
        <v>23</v>
      </c>
      <c r="L50">
        <v>784</v>
      </c>
      <c r="M50">
        <v>22.594418099999999</v>
      </c>
      <c r="N50">
        <v>215.59735345246881</v>
      </c>
      <c r="O50">
        <v>-1.5811195402930518</v>
      </c>
      <c r="P50" s="1" t="str">
        <f>HYPERLINK(".\sm_car_260705_0424\sm_car_260705_0424_049_Ca130TrN_MaWOT_DrSt_ode23t.png","figure")</f>
        <v>figure</v>
      </c>
      <c r="Q50" t="s">
        <v>15</v>
      </c>
    </row>
    <row r="51" spans="1:17" x14ac:dyDescent="0.25">
      <c r="A51">
        <v>50</v>
      </c>
      <c r="B51">
        <v>130</v>
      </c>
      <c r="C51" t="s">
        <v>16</v>
      </c>
      <c r="D51" t="s">
        <v>17</v>
      </c>
      <c r="E51" t="s">
        <v>18</v>
      </c>
      <c r="F51" t="s">
        <v>19</v>
      </c>
      <c r="G51" t="s">
        <v>38</v>
      </c>
      <c r="H51" t="s">
        <v>21</v>
      </c>
      <c r="I51" t="s">
        <v>24</v>
      </c>
      <c r="J51" t="s">
        <v>148</v>
      </c>
      <c r="K51" t="s">
        <v>23</v>
      </c>
      <c r="L51">
        <v>783</v>
      </c>
      <c r="M51">
        <v>20.884927000000001</v>
      </c>
      <c r="N51">
        <v>68.38531206372528</v>
      </c>
      <c r="O51">
        <v>-0.54270858292140389</v>
      </c>
      <c r="P51" s="1" t="str">
        <f>HYPERLINK(".\sm_car_260705_0424\sm_car_260705_0424_050_Ca130TrN_MaLSS_DrSt_ode23t.png","figure")</f>
        <v>figure</v>
      </c>
      <c r="Q51" t="s">
        <v>15</v>
      </c>
    </row>
    <row r="52" spans="1:17" x14ac:dyDescent="0.25">
      <c r="A52">
        <v>51</v>
      </c>
      <c r="B52">
        <v>131</v>
      </c>
      <c r="C52" t="s">
        <v>16</v>
      </c>
      <c r="D52" t="s">
        <v>17</v>
      </c>
      <c r="E52" t="s">
        <v>107</v>
      </c>
      <c r="F52" t="s">
        <v>19</v>
      </c>
      <c r="G52" t="s">
        <v>39</v>
      </c>
      <c r="H52" t="s">
        <v>21</v>
      </c>
      <c r="I52" t="s">
        <v>22</v>
      </c>
      <c r="J52" t="s">
        <v>148</v>
      </c>
      <c r="K52" t="s">
        <v>23</v>
      </c>
      <c r="L52">
        <v>354</v>
      </c>
      <c r="M52">
        <v>5.2187125999999999</v>
      </c>
      <c r="N52">
        <v>228.73946349721825</v>
      </c>
      <c r="O52">
        <v>0.23511999483674065</v>
      </c>
      <c r="P52" s="1" t="str">
        <f>HYPERLINK(".\sm_car_260705_0424\sm_car_260705_0424_051_Ca131TrN_MaWOT_DrSt_ode23t.png","figure")</f>
        <v>figure</v>
      </c>
      <c r="Q52" t="s">
        <v>15</v>
      </c>
    </row>
    <row r="53" spans="1:17" x14ac:dyDescent="0.25">
      <c r="A53">
        <v>52</v>
      </c>
      <c r="B53">
        <v>131</v>
      </c>
      <c r="C53" t="s">
        <v>16</v>
      </c>
      <c r="D53" t="s">
        <v>17</v>
      </c>
      <c r="E53" t="s">
        <v>107</v>
      </c>
      <c r="F53" t="s">
        <v>19</v>
      </c>
      <c r="G53" t="s">
        <v>39</v>
      </c>
      <c r="H53" t="s">
        <v>21</v>
      </c>
      <c r="I53" t="s">
        <v>24</v>
      </c>
      <c r="J53" t="s">
        <v>148</v>
      </c>
      <c r="K53" t="s">
        <v>23</v>
      </c>
      <c r="L53">
        <v>499</v>
      </c>
      <c r="M53">
        <v>5.8027246999999997</v>
      </c>
      <c r="N53">
        <v>70.591928753714285</v>
      </c>
      <c r="O53">
        <v>-0.4756408462365902</v>
      </c>
      <c r="P53" s="1" t="str">
        <f>HYPERLINK(".\sm_car_260705_0424\sm_car_260705_0424_052_Ca131TrN_MaLSS_DrSt_ode23t.png","figure")</f>
        <v>figure</v>
      </c>
      <c r="Q53" t="s">
        <v>15</v>
      </c>
    </row>
    <row r="54" spans="1:17" x14ac:dyDescent="0.25">
      <c r="A54">
        <v>53</v>
      </c>
      <c r="B54">
        <v>132</v>
      </c>
      <c r="C54" t="s">
        <v>16</v>
      </c>
      <c r="D54" t="s">
        <v>17</v>
      </c>
      <c r="E54" t="s">
        <v>107</v>
      </c>
      <c r="F54" t="s">
        <v>19</v>
      </c>
      <c r="G54" t="s">
        <v>40</v>
      </c>
      <c r="H54" t="s">
        <v>21</v>
      </c>
      <c r="I54" t="s">
        <v>22</v>
      </c>
      <c r="J54" t="s">
        <v>148</v>
      </c>
      <c r="K54" t="s">
        <v>23</v>
      </c>
      <c r="L54">
        <v>353</v>
      </c>
      <c r="M54">
        <v>4.820589</v>
      </c>
      <c r="N54">
        <v>229.05773225639581</v>
      </c>
      <c r="O54">
        <v>-2.2294390214709123E-2</v>
      </c>
      <c r="P54" s="1" t="str">
        <f>HYPERLINK(".\sm_car_260705_0424\sm_car_260705_0424_053_Ca132TrN_MaWOT_DrSt_ode23t.png","figure")</f>
        <v>figure</v>
      </c>
      <c r="Q54" t="s">
        <v>15</v>
      </c>
    </row>
    <row r="55" spans="1:17" x14ac:dyDescent="0.25">
      <c r="A55">
        <v>54</v>
      </c>
      <c r="B55">
        <v>132</v>
      </c>
      <c r="C55" t="s">
        <v>16</v>
      </c>
      <c r="D55" t="s">
        <v>17</v>
      </c>
      <c r="E55" t="s">
        <v>107</v>
      </c>
      <c r="F55" t="s">
        <v>19</v>
      </c>
      <c r="G55" t="s">
        <v>40</v>
      </c>
      <c r="H55" t="s">
        <v>21</v>
      </c>
      <c r="I55" t="s">
        <v>24</v>
      </c>
      <c r="J55" t="s">
        <v>148</v>
      </c>
      <c r="K55" t="s">
        <v>23</v>
      </c>
      <c r="L55">
        <v>499</v>
      </c>
      <c r="M55">
        <v>5.2077099999999996</v>
      </c>
      <c r="N55">
        <v>70.57307918982923</v>
      </c>
      <c r="O55">
        <v>-0.51887708648104447</v>
      </c>
      <c r="P55" s="1" t="str">
        <f>HYPERLINK(".\sm_car_260705_0424\sm_car_260705_0424_054_Ca132TrN_MaLSS_DrSt_ode23t.png","figure")</f>
        <v>figure</v>
      </c>
      <c r="Q55" t="s">
        <v>15</v>
      </c>
    </row>
    <row r="56" spans="1:17" x14ac:dyDescent="0.25">
      <c r="A56">
        <v>55</v>
      </c>
      <c r="B56">
        <v>133</v>
      </c>
      <c r="C56" t="s">
        <v>16</v>
      </c>
      <c r="D56" t="s">
        <v>17</v>
      </c>
      <c r="E56" t="s">
        <v>107</v>
      </c>
      <c r="F56" t="s">
        <v>19</v>
      </c>
      <c r="G56" t="s">
        <v>41</v>
      </c>
      <c r="H56" t="s">
        <v>21</v>
      </c>
      <c r="I56" t="s">
        <v>22</v>
      </c>
      <c r="J56" t="s">
        <v>148</v>
      </c>
      <c r="K56" t="s">
        <v>23</v>
      </c>
      <c r="L56">
        <v>366</v>
      </c>
      <c r="M56">
        <v>4.5281688000000004</v>
      </c>
      <c r="N56">
        <v>229.2063453690663</v>
      </c>
      <c r="O56">
        <v>-1.7042451584273539E-2</v>
      </c>
      <c r="P56" s="1" t="str">
        <f>HYPERLINK(".\sm_car_260705_0424\sm_car_260705_0424_055_Ca133TrN_MaWOT_DrSt_ode23t.png","figure")</f>
        <v>figure</v>
      </c>
      <c r="Q56" t="s">
        <v>15</v>
      </c>
    </row>
    <row r="57" spans="1:17" x14ac:dyDescent="0.25">
      <c r="A57">
        <v>56</v>
      </c>
      <c r="B57">
        <v>133</v>
      </c>
      <c r="C57" t="s">
        <v>16</v>
      </c>
      <c r="D57" t="s">
        <v>17</v>
      </c>
      <c r="E57" t="s">
        <v>107</v>
      </c>
      <c r="F57" t="s">
        <v>19</v>
      </c>
      <c r="G57" t="s">
        <v>41</v>
      </c>
      <c r="H57" t="s">
        <v>21</v>
      </c>
      <c r="I57" t="s">
        <v>24</v>
      </c>
      <c r="J57" t="s">
        <v>148</v>
      </c>
      <c r="K57" t="s">
        <v>23</v>
      </c>
      <c r="L57">
        <v>491</v>
      </c>
      <c r="M57">
        <v>5.3069347000000002</v>
      </c>
      <c r="N57">
        <v>70.608870180681677</v>
      </c>
      <c r="O57">
        <v>-0.52123629521091008</v>
      </c>
      <c r="P57" s="1" t="str">
        <f>HYPERLINK(".\sm_car_260705_0424\sm_car_260705_0424_056_Ca133TrN_MaLSS_DrSt_ode23t.png","figure")</f>
        <v>figure</v>
      </c>
      <c r="Q57" t="s">
        <v>15</v>
      </c>
    </row>
    <row r="58" spans="1:17" x14ac:dyDescent="0.25">
      <c r="A58">
        <v>57</v>
      </c>
      <c r="B58">
        <v>134</v>
      </c>
      <c r="C58" t="s">
        <v>16</v>
      </c>
      <c r="D58" t="s">
        <v>17</v>
      </c>
      <c r="E58" t="s">
        <v>107</v>
      </c>
      <c r="F58" t="s">
        <v>19</v>
      </c>
      <c r="G58" t="s">
        <v>42</v>
      </c>
      <c r="H58" t="s">
        <v>21</v>
      </c>
      <c r="I58" t="s">
        <v>22</v>
      </c>
      <c r="J58" t="s">
        <v>148</v>
      </c>
      <c r="K58" t="s">
        <v>23</v>
      </c>
      <c r="L58">
        <v>342</v>
      </c>
      <c r="M58">
        <v>4.6845584999999996</v>
      </c>
      <c r="N58">
        <v>229.00606461000052</v>
      </c>
      <c r="O58">
        <v>-1.5789566639685615E-2</v>
      </c>
      <c r="P58" s="1" t="str">
        <f>HYPERLINK(".\sm_car_260705_0424\sm_car_260705_0424_057_Ca134TrN_MaWOT_DrSt_ode23t.png","figure")</f>
        <v>figure</v>
      </c>
      <c r="Q58" t="s">
        <v>15</v>
      </c>
    </row>
    <row r="59" spans="1:17" x14ac:dyDescent="0.25">
      <c r="A59">
        <v>58</v>
      </c>
      <c r="B59">
        <v>134</v>
      </c>
      <c r="C59" t="s">
        <v>16</v>
      </c>
      <c r="D59" t="s">
        <v>17</v>
      </c>
      <c r="E59" t="s">
        <v>107</v>
      </c>
      <c r="F59" t="s">
        <v>19</v>
      </c>
      <c r="G59" t="s">
        <v>42</v>
      </c>
      <c r="H59" t="s">
        <v>21</v>
      </c>
      <c r="I59" t="s">
        <v>24</v>
      </c>
      <c r="J59" t="s">
        <v>148</v>
      </c>
      <c r="K59" t="s">
        <v>23</v>
      </c>
      <c r="L59">
        <v>500</v>
      </c>
      <c r="M59">
        <v>5.6431671999999997</v>
      </c>
      <c r="N59">
        <v>70.608983958000593</v>
      </c>
      <c r="O59">
        <v>-0.52805692333142507</v>
      </c>
      <c r="P59" s="1" t="str">
        <f>HYPERLINK(".\sm_car_260705_0424\sm_car_260705_0424_058_Ca134TrN_MaLSS_DrSt_ode23t.png","figure")</f>
        <v>figure</v>
      </c>
      <c r="Q59" t="s">
        <v>15</v>
      </c>
    </row>
    <row r="60" spans="1:17" x14ac:dyDescent="0.25">
      <c r="A60">
        <v>59</v>
      </c>
      <c r="B60">
        <v>135</v>
      </c>
      <c r="C60" t="s">
        <v>16</v>
      </c>
      <c r="D60" t="s">
        <v>17</v>
      </c>
      <c r="E60" t="s">
        <v>107</v>
      </c>
      <c r="F60" t="s">
        <v>19</v>
      </c>
      <c r="G60" t="s">
        <v>43</v>
      </c>
      <c r="H60" t="s">
        <v>21</v>
      </c>
      <c r="I60" t="s">
        <v>22</v>
      </c>
      <c r="J60" t="s">
        <v>148</v>
      </c>
      <c r="K60" t="s">
        <v>23</v>
      </c>
      <c r="L60">
        <v>355</v>
      </c>
      <c r="M60">
        <v>4.876519</v>
      </c>
      <c r="N60">
        <v>229.08274146692679</v>
      </c>
      <c r="O60">
        <v>-1.5908070675105655E-2</v>
      </c>
      <c r="P60" s="1" t="str">
        <f>HYPERLINK(".\sm_car_260705_0424\sm_car_260705_0424_059_Ca135TrN_MaWOT_DrSt_ode23t.png","figure")</f>
        <v>figure</v>
      </c>
      <c r="Q60" t="s">
        <v>15</v>
      </c>
    </row>
    <row r="61" spans="1:17" x14ac:dyDescent="0.25">
      <c r="A61">
        <v>60</v>
      </c>
      <c r="B61">
        <v>135</v>
      </c>
      <c r="C61" t="s">
        <v>16</v>
      </c>
      <c r="D61" t="s">
        <v>17</v>
      </c>
      <c r="E61" t="s">
        <v>107</v>
      </c>
      <c r="F61" t="s">
        <v>19</v>
      </c>
      <c r="G61" t="s">
        <v>43</v>
      </c>
      <c r="H61" t="s">
        <v>21</v>
      </c>
      <c r="I61" t="s">
        <v>24</v>
      </c>
      <c r="J61" t="s">
        <v>148</v>
      </c>
      <c r="K61" t="s">
        <v>23</v>
      </c>
      <c r="L61">
        <v>487</v>
      </c>
      <c r="M61">
        <v>5.2589173999999996</v>
      </c>
      <c r="N61">
        <v>70.602494414080539</v>
      </c>
      <c r="O61">
        <v>-0.50992316588312225</v>
      </c>
      <c r="P61" s="1" t="str">
        <f>HYPERLINK(".\sm_car_260705_0424\sm_car_260705_0424_060_Ca135TrN_MaLSS_DrSt_ode23t.png","figure")</f>
        <v>figure</v>
      </c>
      <c r="Q61" t="s">
        <v>15</v>
      </c>
    </row>
    <row r="62" spans="1:17" x14ac:dyDescent="0.25">
      <c r="A62">
        <v>61</v>
      </c>
      <c r="B62">
        <v>136</v>
      </c>
      <c r="C62" t="s">
        <v>16</v>
      </c>
      <c r="D62" t="s">
        <v>17</v>
      </c>
      <c r="E62" t="s">
        <v>107</v>
      </c>
      <c r="F62" t="s">
        <v>19</v>
      </c>
      <c r="G62" t="s">
        <v>44</v>
      </c>
      <c r="H62" t="s">
        <v>21</v>
      </c>
      <c r="I62" t="s">
        <v>22</v>
      </c>
      <c r="J62" t="s">
        <v>148</v>
      </c>
      <c r="K62" t="s">
        <v>23</v>
      </c>
      <c r="L62">
        <v>367</v>
      </c>
      <c r="M62">
        <v>5.2300667000000001</v>
      </c>
      <c r="N62">
        <v>228.84199023968512</v>
      </c>
      <c r="O62">
        <v>4.7921737756107675E-2</v>
      </c>
      <c r="P62" s="1" t="str">
        <f>HYPERLINK(".\sm_car_260705_0424\sm_car_260705_0424_061_Ca136TrN_MaWOT_DrSt_ode23t.png","figure")</f>
        <v>figure</v>
      </c>
      <c r="Q62" t="s">
        <v>15</v>
      </c>
    </row>
    <row r="63" spans="1:17" x14ac:dyDescent="0.25">
      <c r="A63">
        <v>62</v>
      </c>
      <c r="B63">
        <v>136</v>
      </c>
      <c r="C63" t="s">
        <v>16</v>
      </c>
      <c r="D63" t="s">
        <v>17</v>
      </c>
      <c r="E63" t="s">
        <v>107</v>
      </c>
      <c r="F63" t="s">
        <v>19</v>
      </c>
      <c r="G63" t="s">
        <v>44</v>
      </c>
      <c r="H63" t="s">
        <v>21</v>
      </c>
      <c r="I63" t="s">
        <v>24</v>
      </c>
      <c r="J63" t="s">
        <v>148</v>
      </c>
      <c r="K63" t="s">
        <v>23</v>
      </c>
      <c r="L63">
        <v>519</v>
      </c>
      <c r="M63">
        <v>6.7442742999999998</v>
      </c>
      <c r="N63">
        <v>70.608618815861931</v>
      </c>
      <c r="O63">
        <v>-0.52340846476378777</v>
      </c>
      <c r="P63" s="1" t="str">
        <f>HYPERLINK(".\sm_car_260705_0424\sm_car_260705_0424_062_Ca136TrN_MaLSS_DrSt_ode23t.png","figure")</f>
        <v>figure</v>
      </c>
      <c r="Q63" t="s">
        <v>15</v>
      </c>
    </row>
    <row r="64" spans="1:17" x14ac:dyDescent="0.25">
      <c r="A64">
        <v>63</v>
      </c>
      <c r="B64">
        <v>137</v>
      </c>
      <c r="C64" t="s">
        <v>16</v>
      </c>
      <c r="D64" t="s">
        <v>17</v>
      </c>
      <c r="E64" t="s">
        <v>107</v>
      </c>
      <c r="F64" t="s">
        <v>19</v>
      </c>
      <c r="G64" t="s">
        <v>20</v>
      </c>
      <c r="H64" t="s">
        <v>21</v>
      </c>
      <c r="I64" t="s">
        <v>22</v>
      </c>
      <c r="J64" t="s">
        <v>148</v>
      </c>
      <c r="K64" t="s">
        <v>23</v>
      </c>
      <c r="L64">
        <v>330</v>
      </c>
      <c r="M64">
        <v>3.7190162999999998</v>
      </c>
      <c r="N64">
        <v>229.94797420659091</v>
      </c>
      <c r="O64">
        <v>0.13777795377562196</v>
      </c>
      <c r="P64" s="1" t="str">
        <f>HYPERLINK(".\sm_car_260705_0424\sm_car_260705_0424_063_Ca137TrN_MaWOT_DrSt_ode23t.png","figure")</f>
        <v>figure</v>
      </c>
      <c r="Q64" t="s">
        <v>15</v>
      </c>
    </row>
    <row r="65" spans="1:17" x14ac:dyDescent="0.25">
      <c r="A65">
        <v>64</v>
      </c>
      <c r="B65">
        <v>137</v>
      </c>
      <c r="C65" t="s">
        <v>16</v>
      </c>
      <c r="D65" t="s">
        <v>17</v>
      </c>
      <c r="E65" t="s">
        <v>107</v>
      </c>
      <c r="F65" t="s">
        <v>19</v>
      </c>
      <c r="G65" t="s">
        <v>20</v>
      </c>
      <c r="H65" t="s">
        <v>21</v>
      </c>
      <c r="I65" t="s">
        <v>24</v>
      </c>
      <c r="J65" t="s">
        <v>148</v>
      </c>
      <c r="K65" t="s">
        <v>23</v>
      </c>
      <c r="L65">
        <v>474</v>
      </c>
      <c r="M65">
        <v>4.8272900999999999</v>
      </c>
      <c r="N65">
        <v>70.870244846970778</v>
      </c>
      <c r="O65">
        <v>-0.5047364521263743</v>
      </c>
      <c r="P65" s="1" t="str">
        <f>HYPERLINK(".\sm_car_260705_0424\sm_car_260705_0424_064_Ca137TrN_MaLSS_DrSt_ode23t.png","figure")</f>
        <v>figure</v>
      </c>
      <c r="Q65" t="s">
        <v>15</v>
      </c>
    </row>
    <row r="66" spans="1:17" x14ac:dyDescent="0.25">
      <c r="A66">
        <v>65</v>
      </c>
      <c r="B66">
        <v>138</v>
      </c>
      <c r="C66" t="s">
        <v>16</v>
      </c>
      <c r="D66" t="s">
        <v>17</v>
      </c>
      <c r="E66" t="s">
        <v>107</v>
      </c>
      <c r="F66" t="s">
        <v>19</v>
      </c>
      <c r="G66" t="s">
        <v>20</v>
      </c>
      <c r="H66" t="s">
        <v>21</v>
      </c>
      <c r="I66" t="s">
        <v>22</v>
      </c>
      <c r="J66" t="s">
        <v>148</v>
      </c>
      <c r="K66" t="s">
        <v>23</v>
      </c>
      <c r="L66">
        <v>332</v>
      </c>
      <c r="M66">
        <v>5.6011259000000004</v>
      </c>
      <c r="N66">
        <v>230.05876567133805</v>
      </c>
      <c r="O66">
        <v>0.14738864367911098</v>
      </c>
      <c r="P66" s="1" t="str">
        <f>HYPERLINK(".\sm_car_260705_0424\sm_car_260705_0424_065_Ca138TrN_MaWOT_DrSt_ode23t.png","figure")</f>
        <v>figure</v>
      </c>
      <c r="Q66" t="s">
        <v>15</v>
      </c>
    </row>
    <row r="67" spans="1:17" x14ac:dyDescent="0.25">
      <c r="A67">
        <v>66</v>
      </c>
      <c r="B67">
        <v>138</v>
      </c>
      <c r="C67" t="s">
        <v>16</v>
      </c>
      <c r="D67" t="s">
        <v>17</v>
      </c>
      <c r="E67" t="s">
        <v>107</v>
      </c>
      <c r="F67" t="s">
        <v>19</v>
      </c>
      <c r="G67" t="s">
        <v>20</v>
      </c>
      <c r="H67" t="s">
        <v>21</v>
      </c>
      <c r="I67" t="s">
        <v>24</v>
      </c>
      <c r="J67" t="s">
        <v>148</v>
      </c>
      <c r="K67" t="s">
        <v>23</v>
      </c>
      <c r="L67">
        <v>480</v>
      </c>
      <c r="M67">
        <v>6.3697799000000002</v>
      </c>
      <c r="N67">
        <v>70.767388403341698</v>
      </c>
      <c r="O67">
        <v>-0.81576892462230555</v>
      </c>
      <c r="P67" s="1" t="str">
        <f>HYPERLINK(".\sm_car_260705_0424\sm_car_260705_0424_066_Ca138TrN_MaLSS_DrSt_ode23t.png","figure")</f>
        <v>figure</v>
      </c>
      <c r="Q67" t="s">
        <v>15</v>
      </c>
    </row>
    <row r="68" spans="1:17" x14ac:dyDescent="0.25">
      <c r="A68">
        <v>67</v>
      </c>
      <c r="B68">
        <v>139</v>
      </c>
      <c r="C68" t="s">
        <v>45</v>
      </c>
      <c r="D68" t="s">
        <v>17</v>
      </c>
      <c r="E68" t="s">
        <v>18</v>
      </c>
      <c r="F68" t="s">
        <v>19</v>
      </c>
      <c r="G68" t="s">
        <v>26</v>
      </c>
      <c r="H68" t="s">
        <v>21</v>
      </c>
      <c r="I68" t="s">
        <v>22</v>
      </c>
      <c r="J68" t="s">
        <v>148</v>
      </c>
      <c r="K68" t="s">
        <v>23</v>
      </c>
      <c r="L68">
        <v>667</v>
      </c>
      <c r="M68">
        <v>28.682903199999998</v>
      </c>
      <c r="N68">
        <v>402.14875608505315</v>
      </c>
      <c r="O68">
        <v>1.6543055319915123</v>
      </c>
      <c r="P68" s="1" t="str">
        <f>HYPERLINK(".\sm_car_260705_0424\sm_car_260705_0424_067_Ca139TrN_MaWOT_DrSt_ode23t.png","figure")</f>
        <v>figure</v>
      </c>
      <c r="Q68" t="s">
        <v>15</v>
      </c>
    </row>
    <row r="69" spans="1:17" x14ac:dyDescent="0.25">
      <c r="A69">
        <v>68</v>
      </c>
      <c r="B69">
        <v>139</v>
      </c>
      <c r="C69" t="s">
        <v>45</v>
      </c>
      <c r="D69" t="s">
        <v>17</v>
      </c>
      <c r="E69" t="s">
        <v>18</v>
      </c>
      <c r="F69" t="s">
        <v>19</v>
      </c>
      <c r="G69" t="s">
        <v>26</v>
      </c>
      <c r="H69" t="s">
        <v>21</v>
      </c>
      <c r="I69" t="s">
        <v>24</v>
      </c>
      <c r="J69" t="s">
        <v>148</v>
      </c>
      <c r="K69" t="s">
        <v>23</v>
      </c>
      <c r="L69">
        <v>635</v>
      </c>
      <c r="M69">
        <v>18.3860934</v>
      </c>
      <c r="N69">
        <v>153.00784654144883</v>
      </c>
      <c r="O69">
        <v>-0.55087035860778144</v>
      </c>
      <c r="P69" s="1" t="str">
        <f>HYPERLINK(".\sm_car_260705_0424\sm_car_260705_0424_068_Ca139TrN_MaLSS_DrSt_ode23t.png","figure")</f>
        <v>figure</v>
      </c>
      <c r="Q69" t="s">
        <v>15</v>
      </c>
    </row>
    <row r="70" spans="1:17" x14ac:dyDescent="0.25">
      <c r="A70">
        <v>69</v>
      </c>
      <c r="B70">
        <v>141</v>
      </c>
      <c r="C70" t="s">
        <v>45</v>
      </c>
      <c r="D70" t="s">
        <v>17</v>
      </c>
      <c r="E70" t="s">
        <v>18</v>
      </c>
      <c r="F70" t="s">
        <v>28</v>
      </c>
      <c r="G70" t="s">
        <v>26</v>
      </c>
      <c r="H70" t="s">
        <v>21</v>
      </c>
      <c r="I70" t="s">
        <v>22</v>
      </c>
      <c r="J70" t="s">
        <v>148</v>
      </c>
      <c r="K70" t="s">
        <v>23</v>
      </c>
      <c r="L70">
        <v>1958</v>
      </c>
      <c r="M70">
        <v>41.337322700000001</v>
      </c>
      <c r="N70">
        <v>402.25797898431944</v>
      </c>
      <c r="O70">
        <v>1.6543657704493904</v>
      </c>
      <c r="P70" s="1" t="str">
        <f>HYPERLINK(".\sm_car_260705_0424\sm_car_260705_0424_069_Ca141TrN_MaWOT_DrSt_ode23t.png","figure")</f>
        <v>figure</v>
      </c>
      <c r="Q70" t="s">
        <v>15</v>
      </c>
    </row>
    <row r="71" spans="1:17" x14ac:dyDescent="0.25">
      <c r="A71">
        <v>70</v>
      </c>
      <c r="B71">
        <v>141</v>
      </c>
      <c r="C71" t="s">
        <v>45</v>
      </c>
      <c r="D71" t="s">
        <v>17</v>
      </c>
      <c r="E71" t="s">
        <v>18</v>
      </c>
      <c r="F71" t="s">
        <v>28</v>
      </c>
      <c r="G71" t="s">
        <v>26</v>
      </c>
      <c r="H71" t="s">
        <v>21</v>
      </c>
      <c r="I71" t="s">
        <v>24</v>
      </c>
      <c r="J71" t="s">
        <v>148</v>
      </c>
      <c r="K71" t="s">
        <v>23</v>
      </c>
      <c r="L71">
        <v>1865</v>
      </c>
      <c r="M71">
        <v>27.1929081</v>
      </c>
      <c r="N71">
        <v>153.10407987129389</v>
      </c>
      <c r="O71">
        <v>-0.57400506337108792</v>
      </c>
      <c r="P71" s="1" t="str">
        <f>HYPERLINK(".\sm_car_260705_0424\sm_car_260705_0424_070_Ca141TrN_MaLSS_DrSt_ode23t.png","figure")</f>
        <v>figure</v>
      </c>
      <c r="Q71" t="s">
        <v>15</v>
      </c>
    </row>
    <row r="72" spans="1:17" x14ac:dyDescent="0.25">
      <c r="A72">
        <v>71</v>
      </c>
      <c r="B72">
        <v>143</v>
      </c>
      <c r="C72" t="s">
        <v>46</v>
      </c>
      <c r="D72" t="s">
        <v>17</v>
      </c>
      <c r="E72" t="s">
        <v>47</v>
      </c>
      <c r="F72" t="s">
        <v>19</v>
      </c>
      <c r="G72" t="s">
        <v>26</v>
      </c>
      <c r="H72" t="s">
        <v>21</v>
      </c>
      <c r="I72" t="s">
        <v>22</v>
      </c>
      <c r="J72" t="s">
        <v>148</v>
      </c>
      <c r="K72" t="s">
        <v>23</v>
      </c>
      <c r="L72">
        <v>341</v>
      </c>
      <c r="M72">
        <v>12.959540000000001</v>
      </c>
      <c r="N72">
        <v>62.425689904301052</v>
      </c>
      <c r="O72">
        <v>1.9529225150554445E-2</v>
      </c>
      <c r="P72" s="1" t="str">
        <f>HYPERLINK(".\sm_car_260705_0424\sm_car_260705_0424_071_Ca143TrN_MaWOT_DrSt_ode23t.png","figure")</f>
        <v>figure</v>
      </c>
      <c r="Q72" t="s">
        <v>15</v>
      </c>
    </row>
    <row r="73" spans="1:17" x14ac:dyDescent="0.25">
      <c r="A73">
        <v>72</v>
      </c>
      <c r="B73">
        <v>143</v>
      </c>
      <c r="C73" t="s">
        <v>46</v>
      </c>
      <c r="D73" t="s">
        <v>17</v>
      </c>
      <c r="E73" t="s">
        <v>47</v>
      </c>
      <c r="F73" t="s">
        <v>19</v>
      </c>
      <c r="G73" t="s">
        <v>26</v>
      </c>
      <c r="H73" t="s">
        <v>21</v>
      </c>
      <c r="I73" t="s">
        <v>24</v>
      </c>
      <c r="J73" t="s">
        <v>148</v>
      </c>
      <c r="K73" t="s">
        <v>23</v>
      </c>
      <c r="L73">
        <v>470</v>
      </c>
      <c r="M73">
        <v>17.6800544</v>
      </c>
      <c r="N73">
        <v>24.931429092334909</v>
      </c>
      <c r="O73">
        <v>-5.2446166691571448E-2</v>
      </c>
      <c r="P73" s="1" t="str">
        <f>HYPERLINK(".\sm_car_260705_0424\sm_car_260705_0424_072_Ca143TrN_MaLSS_DrSt_ode23t.png","figure")</f>
        <v>figure</v>
      </c>
      <c r="Q73" t="s">
        <v>15</v>
      </c>
    </row>
    <row r="74" spans="1:17" x14ac:dyDescent="0.25">
      <c r="A74">
        <v>73</v>
      </c>
      <c r="B74">
        <v>144</v>
      </c>
      <c r="C74" t="s">
        <v>46</v>
      </c>
      <c r="D74" t="s">
        <v>17</v>
      </c>
      <c r="E74" t="s">
        <v>18</v>
      </c>
      <c r="F74" t="s">
        <v>19</v>
      </c>
      <c r="G74" t="s">
        <v>26</v>
      </c>
      <c r="H74" t="s">
        <v>21</v>
      </c>
      <c r="I74" t="s">
        <v>22</v>
      </c>
      <c r="J74" t="s">
        <v>148</v>
      </c>
      <c r="K74" t="s">
        <v>23</v>
      </c>
      <c r="L74">
        <v>344</v>
      </c>
      <c r="M74">
        <v>10.692883500000001</v>
      </c>
      <c r="N74">
        <v>76.994841450647343</v>
      </c>
      <c r="O74">
        <v>0.24347653101459094</v>
      </c>
      <c r="P74" s="1" t="str">
        <f>HYPERLINK(".\sm_car_260705_0424\sm_car_260705_0424_073_Ca144TrN_MaWOT_DrSt_ode23t.png","figure")</f>
        <v>figure</v>
      </c>
      <c r="Q74" t="s">
        <v>15</v>
      </c>
    </row>
    <row r="75" spans="1:17" x14ac:dyDescent="0.25">
      <c r="A75">
        <v>74</v>
      </c>
      <c r="B75">
        <v>144</v>
      </c>
      <c r="C75" t="s">
        <v>46</v>
      </c>
      <c r="D75" t="s">
        <v>17</v>
      </c>
      <c r="E75" t="s">
        <v>18</v>
      </c>
      <c r="F75" t="s">
        <v>19</v>
      </c>
      <c r="G75" t="s">
        <v>26</v>
      </c>
      <c r="H75" t="s">
        <v>21</v>
      </c>
      <c r="I75" t="s">
        <v>24</v>
      </c>
      <c r="J75" t="s">
        <v>148</v>
      </c>
      <c r="K75" t="s">
        <v>23</v>
      </c>
      <c r="L75">
        <v>485</v>
      </c>
      <c r="M75">
        <v>12.4150369</v>
      </c>
      <c r="N75">
        <v>35.470913098219157</v>
      </c>
      <c r="O75">
        <v>-3.1754908166512524E-2</v>
      </c>
      <c r="P75" s="1" t="str">
        <f>HYPERLINK(".\sm_car_260705_0424\sm_car_260705_0424_074_Ca144TrN_MaLSS_DrSt_ode23t.png","figure")</f>
        <v>figure</v>
      </c>
      <c r="Q75" t="s">
        <v>15</v>
      </c>
    </row>
    <row r="76" spans="1:17" x14ac:dyDescent="0.25">
      <c r="A76">
        <v>75</v>
      </c>
      <c r="B76">
        <v>147</v>
      </c>
      <c r="C76" t="s">
        <v>45</v>
      </c>
      <c r="D76" t="s">
        <v>17</v>
      </c>
      <c r="E76" t="s">
        <v>48</v>
      </c>
      <c r="F76" t="s">
        <v>19</v>
      </c>
      <c r="G76" t="s">
        <v>26</v>
      </c>
      <c r="H76" t="s">
        <v>21</v>
      </c>
      <c r="I76" t="s">
        <v>22</v>
      </c>
      <c r="J76" t="s">
        <v>148</v>
      </c>
      <c r="K76" t="s">
        <v>23</v>
      </c>
      <c r="L76">
        <v>2423</v>
      </c>
      <c r="M76">
        <v>29.137571600000001</v>
      </c>
      <c r="N76">
        <v>396.60108964632946</v>
      </c>
      <c r="O76">
        <v>-14.029895241360583</v>
      </c>
      <c r="P76" s="1" t="str">
        <f>HYPERLINK(".\sm_car_260705_0424\sm_car_260705_0424_075_Ca147TrN_MaWOT_DrSt_ode23t.png","figure")</f>
        <v>figure</v>
      </c>
      <c r="Q76" t="s">
        <v>15</v>
      </c>
    </row>
    <row r="77" spans="1:17" x14ac:dyDescent="0.25">
      <c r="A77">
        <v>76</v>
      </c>
      <c r="B77">
        <v>147</v>
      </c>
      <c r="C77" t="s">
        <v>45</v>
      </c>
      <c r="D77" t="s">
        <v>17</v>
      </c>
      <c r="E77" t="s">
        <v>48</v>
      </c>
      <c r="F77" t="s">
        <v>19</v>
      </c>
      <c r="G77" t="s">
        <v>26</v>
      </c>
      <c r="H77" t="s">
        <v>21</v>
      </c>
      <c r="I77" t="s">
        <v>24</v>
      </c>
      <c r="J77" t="s">
        <v>148</v>
      </c>
      <c r="K77" t="s">
        <v>23</v>
      </c>
      <c r="L77">
        <v>1306</v>
      </c>
      <c r="M77">
        <v>17.0845111</v>
      </c>
      <c r="N77">
        <v>150.41040094356831</v>
      </c>
      <c r="O77">
        <v>-2.0861659176961682</v>
      </c>
      <c r="P77" s="1" t="str">
        <f>HYPERLINK(".\sm_car_260705_0424\sm_car_260705_0424_076_Ca147TrN_MaLSS_DrSt_ode23t.png","figure")</f>
        <v>figure</v>
      </c>
      <c r="Q77" t="s">
        <v>15</v>
      </c>
    </row>
    <row r="78" spans="1:17" x14ac:dyDescent="0.25">
      <c r="A78">
        <v>77</v>
      </c>
      <c r="B78">
        <v>215</v>
      </c>
      <c r="C78" t="s">
        <v>105</v>
      </c>
      <c r="D78" t="s">
        <v>120</v>
      </c>
      <c r="E78" t="s">
        <v>107</v>
      </c>
      <c r="F78" t="s">
        <v>127</v>
      </c>
      <c r="G78" t="s">
        <v>20</v>
      </c>
      <c r="H78" t="s">
        <v>21</v>
      </c>
      <c r="I78" t="s">
        <v>22</v>
      </c>
      <c r="J78" t="s">
        <v>148</v>
      </c>
      <c r="K78" t="s">
        <v>23</v>
      </c>
      <c r="L78">
        <v>268</v>
      </c>
      <c r="M78">
        <v>5.8409291000000003</v>
      </c>
      <c r="N78">
        <v>135.64635108456901</v>
      </c>
      <c r="O78">
        <v>1.734073910455962E-3</v>
      </c>
      <c r="P78" s="1" t="str">
        <f>HYPERLINK(".\sm_car_260705_0424\sm_car_260705_0424_077_Ca215TrN_MaWOT_DrSt_ode23t.png","figure")</f>
        <v>figure</v>
      </c>
      <c r="Q78" t="s">
        <v>15</v>
      </c>
    </row>
    <row r="79" spans="1:17" x14ac:dyDescent="0.25">
      <c r="A79">
        <v>78</v>
      </c>
      <c r="B79">
        <v>215</v>
      </c>
      <c r="C79" t="s">
        <v>105</v>
      </c>
      <c r="D79" t="s">
        <v>120</v>
      </c>
      <c r="E79" t="s">
        <v>107</v>
      </c>
      <c r="F79" t="s">
        <v>127</v>
      </c>
      <c r="G79" t="s">
        <v>20</v>
      </c>
      <c r="H79" t="s">
        <v>21</v>
      </c>
      <c r="I79" t="s">
        <v>24</v>
      </c>
      <c r="J79" t="s">
        <v>148</v>
      </c>
      <c r="K79" t="s">
        <v>23</v>
      </c>
      <c r="L79">
        <v>424</v>
      </c>
      <c r="M79">
        <v>7.9211958999999998</v>
      </c>
      <c r="N79">
        <v>50.384969697075952</v>
      </c>
      <c r="O79">
        <v>-0.1145654662065273</v>
      </c>
      <c r="P79" s="1" t="str">
        <f>HYPERLINK(".\sm_car_260705_0424\sm_car_260705_0424_078_Ca215TrN_MaLSS_DrSt_ode23t.png","figure")</f>
        <v>figure</v>
      </c>
      <c r="Q79" t="s">
        <v>15</v>
      </c>
    </row>
    <row r="80" spans="1:17" x14ac:dyDescent="0.25">
      <c r="A80">
        <v>79</v>
      </c>
      <c r="B80">
        <v>218</v>
      </c>
      <c r="C80" t="s">
        <v>16</v>
      </c>
      <c r="D80" t="s">
        <v>128</v>
      </c>
      <c r="E80" t="s">
        <v>107</v>
      </c>
      <c r="F80" t="s">
        <v>19</v>
      </c>
      <c r="G80" t="s">
        <v>188</v>
      </c>
      <c r="H80" t="s">
        <v>21</v>
      </c>
      <c r="I80" t="s">
        <v>22</v>
      </c>
      <c r="J80" t="s">
        <v>148</v>
      </c>
      <c r="K80" t="s">
        <v>23</v>
      </c>
      <c r="L80">
        <v>345</v>
      </c>
      <c r="M80">
        <v>4.5667591999999999</v>
      </c>
      <c r="N80">
        <v>229.81315892812907</v>
      </c>
      <c r="O80">
        <v>0.17161902110920862</v>
      </c>
      <c r="P80" s="1" t="str">
        <f>HYPERLINK(".\sm_car_260705_0424\sm_car_260705_0424_079_Ca218TrN_MaWOT_DrSt_ode23t.png","figure")</f>
        <v>figure</v>
      </c>
      <c r="Q80" t="s">
        <v>15</v>
      </c>
    </row>
    <row r="81" spans="1:17" x14ac:dyDescent="0.25">
      <c r="A81">
        <v>80</v>
      </c>
      <c r="B81">
        <v>218</v>
      </c>
      <c r="C81" t="s">
        <v>16</v>
      </c>
      <c r="D81" t="s">
        <v>128</v>
      </c>
      <c r="E81" t="s">
        <v>107</v>
      </c>
      <c r="F81" t="s">
        <v>19</v>
      </c>
      <c r="G81" t="s">
        <v>188</v>
      </c>
      <c r="H81" t="s">
        <v>21</v>
      </c>
      <c r="I81" t="s">
        <v>24</v>
      </c>
      <c r="J81" t="s">
        <v>148</v>
      </c>
      <c r="K81" t="s">
        <v>23</v>
      </c>
      <c r="L81">
        <v>507</v>
      </c>
      <c r="M81">
        <v>6.2625152999999996</v>
      </c>
      <c r="N81">
        <v>70.784097429286476</v>
      </c>
      <c r="O81">
        <v>-0.53287233168468906</v>
      </c>
      <c r="P81" s="1" t="str">
        <f>HYPERLINK(".\sm_car_260705_0424\sm_car_260705_0424_080_Ca218TrN_MaLSS_DrSt_ode23t.png","figure")</f>
        <v>figure</v>
      </c>
      <c r="Q81" t="s">
        <v>15</v>
      </c>
    </row>
    <row r="82" spans="1:17" x14ac:dyDescent="0.25">
      <c r="A82">
        <v>81</v>
      </c>
      <c r="B82">
        <v>219</v>
      </c>
      <c r="C82" t="s">
        <v>16</v>
      </c>
      <c r="D82" t="s">
        <v>124</v>
      </c>
      <c r="E82" t="s">
        <v>107</v>
      </c>
      <c r="F82" t="s">
        <v>19</v>
      </c>
      <c r="G82" t="s">
        <v>188</v>
      </c>
      <c r="H82" t="s">
        <v>21</v>
      </c>
      <c r="I82" t="s">
        <v>22</v>
      </c>
      <c r="J82" t="s">
        <v>148</v>
      </c>
      <c r="K82" t="s">
        <v>23</v>
      </c>
      <c r="L82">
        <v>390</v>
      </c>
      <c r="M82">
        <v>6.8147089000000003</v>
      </c>
      <c r="N82">
        <v>229.12204945515197</v>
      </c>
      <c r="O82">
        <v>0.1711745287696993</v>
      </c>
      <c r="P82" s="1" t="str">
        <f>HYPERLINK(".\sm_car_260705_0424\sm_car_260705_0424_081_Ca219TrN_MaWOT_DrSt_ode23t.png","figure")</f>
        <v>figure</v>
      </c>
      <c r="Q82" t="s">
        <v>15</v>
      </c>
    </row>
    <row r="83" spans="1:17" x14ac:dyDescent="0.25">
      <c r="A83">
        <v>82</v>
      </c>
      <c r="B83">
        <v>219</v>
      </c>
      <c r="C83" t="s">
        <v>16</v>
      </c>
      <c r="D83" t="s">
        <v>124</v>
      </c>
      <c r="E83" t="s">
        <v>107</v>
      </c>
      <c r="F83" t="s">
        <v>19</v>
      </c>
      <c r="G83" t="s">
        <v>188</v>
      </c>
      <c r="H83" t="s">
        <v>21</v>
      </c>
      <c r="I83" t="s">
        <v>24</v>
      </c>
      <c r="J83" t="s">
        <v>148</v>
      </c>
      <c r="K83" t="s">
        <v>23</v>
      </c>
      <c r="L83">
        <v>521</v>
      </c>
      <c r="M83">
        <v>8.6026343000000001</v>
      </c>
      <c r="N83">
        <v>70.603742869404613</v>
      </c>
      <c r="O83">
        <v>-0.55706273333269962</v>
      </c>
      <c r="P83" s="1" t="str">
        <f>HYPERLINK(".\sm_car_260705_0424\sm_car_260705_0424_082_Ca219TrN_MaLSS_DrSt_ode23t.png","figure")</f>
        <v>figure</v>
      </c>
      <c r="Q83" t="s">
        <v>15</v>
      </c>
    </row>
    <row r="84" spans="1:17" x14ac:dyDescent="0.25">
      <c r="A84">
        <v>83</v>
      </c>
      <c r="B84">
        <v>220</v>
      </c>
      <c r="C84" t="s">
        <v>16</v>
      </c>
      <c r="D84" t="s">
        <v>124</v>
      </c>
      <c r="E84" t="s">
        <v>107</v>
      </c>
      <c r="F84" t="s">
        <v>119</v>
      </c>
      <c r="G84" t="s">
        <v>188</v>
      </c>
      <c r="H84" t="s">
        <v>21</v>
      </c>
      <c r="I84" t="s">
        <v>22</v>
      </c>
      <c r="J84" t="s">
        <v>148</v>
      </c>
      <c r="K84" t="s">
        <v>23</v>
      </c>
      <c r="L84">
        <v>898</v>
      </c>
      <c r="M84">
        <v>37.5026552</v>
      </c>
      <c r="N84">
        <v>223.3725266804052</v>
      </c>
      <c r="O84">
        <v>-1.1978114677332603</v>
      </c>
      <c r="P84" s="1" t="str">
        <f>HYPERLINK(".\sm_car_260705_0424\sm_car_260705_0424_083_Ca220TrN_MaWOT_DrSt_ode23t.png","figure")</f>
        <v>figure</v>
      </c>
      <c r="Q84" t="s">
        <v>15</v>
      </c>
    </row>
    <row r="85" spans="1:17" x14ac:dyDescent="0.25">
      <c r="A85">
        <v>84</v>
      </c>
      <c r="B85">
        <v>220</v>
      </c>
      <c r="C85" t="s">
        <v>16</v>
      </c>
      <c r="D85" t="s">
        <v>124</v>
      </c>
      <c r="E85" t="s">
        <v>107</v>
      </c>
      <c r="F85" t="s">
        <v>119</v>
      </c>
      <c r="G85" t="s">
        <v>188</v>
      </c>
      <c r="H85" t="s">
        <v>21</v>
      </c>
      <c r="I85" t="s">
        <v>24</v>
      </c>
      <c r="J85" t="s">
        <v>148</v>
      </c>
      <c r="K85" t="s">
        <v>23</v>
      </c>
      <c r="L85">
        <v>1084</v>
      </c>
      <c r="M85">
        <v>49.418815100000003</v>
      </c>
      <c r="N85">
        <v>69.327070664216762</v>
      </c>
      <c r="O85">
        <v>-1.4852275958257581</v>
      </c>
      <c r="P85" s="1" t="str">
        <f>HYPERLINK(".\sm_car_260705_0424\sm_car_260705_0424_084_Ca220TrN_MaLSS_DrSt_ode23t.png","figure")</f>
        <v>figure</v>
      </c>
      <c r="Q85" t="s">
        <v>15</v>
      </c>
    </row>
    <row r="86" spans="1:17" x14ac:dyDescent="0.25">
      <c r="A86">
        <v>85</v>
      </c>
      <c r="B86">
        <v>223</v>
      </c>
      <c r="C86" t="s">
        <v>105</v>
      </c>
      <c r="D86" t="s">
        <v>123</v>
      </c>
      <c r="E86" t="s">
        <v>107</v>
      </c>
      <c r="F86" t="s">
        <v>19</v>
      </c>
      <c r="G86" t="s">
        <v>20</v>
      </c>
      <c r="H86" t="s">
        <v>21</v>
      </c>
      <c r="I86" t="s">
        <v>22</v>
      </c>
      <c r="J86" t="s">
        <v>148</v>
      </c>
      <c r="K86" t="s">
        <v>23</v>
      </c>
      <c r="L86">
        <v>460</v>
      </c>
      <c r="M86">
        <v>7.2218020999999997</v>
      </c>
      <c r="N86">
        <v>293.79411245454202</v>
      </c>
      <c r="O86">
        <v>-5.1846489817811072E-5</v>
      </c>
      <c r="P86" s="1" t="str">
        <f>HYPERLINK(".\sm_car_260705_0424\sm_car_260705_0424_085_Ca223TrN_MaWOT_DrSt_ode23t.png","figure")</f>
        <v>figure</v>
      </c>
      <c r="Q86" t="s">
        <v>15</v>
      </c>
    </row>
    <row r="87" spans="1:17" x14ac:dyDescent="0.25">
      <c r="A87">
        <v>86</v>
      </c>
      <c r="B87">
        <v>223</v>
      </c>
      <c r="C87" t="s">
        <v>105</v>
      </c>
      <c r="D87" t="s">
        <v>123</v>
      </c>
      <c r="E87" t="s">
        <v>107</v>
      </c>
      <c r="F87" t="s">
        <v>19</v>
      </c>
      <c r="G87" t="s">
        <v>20</v>
      </c>
      <c r="H87" t="s">
        <v>21</v>
      </c>
      <c r="I87" t="s">
        <v>24</v>
      </c>
      <c r="J87" t="s">
        <v>148</v>
      </c>
      <c r="K87" t="s">
        <v>23</v>
      </c>
      <c r="L87">
        <v>634</v>
      </c>
      <c r="M87">
        <v>7.4089882999999999</v>
      </c>
      <c r="N87">
        <v>103.81976274715086</v>
      </c>
      <c r="O87">
        <v>-0.14055131333798809</v>
      </c>
      <c r="P87" s="1" t="str">
        <f>HYPERLINK(".\sm_car_260705_0424\sm_car_260705_0424_086_Ca223TrN_MaLSS_DrSt_ode23t.png","figure")</f>
        <v>figure</v>
      </c>
      <c r="Q87" t="s">
        <v>15</v>
      </c>
    </row>
    <row r="88" spans="1:17" x14ac:dyDescent="0.25">
      <c r="A88">
        <v>87</v>
      </c>
      <c r="B88">
        <v>227</v>
      </c>
      <c r="C88" t="s">
        <v>45</v>
      </c>
      <c r="D88" t="s">
        <v>129</v>
      </c>
      <c r="E88" t="s">
        <v>107</v>
      </c>
      <c r="F88" t="s">
        <v>19</v>
      </c>
      <c r="G88" t="s">
        <v>26</v>
      </c>
      <c r="H88" t="s">
        <v>21</v>
      </c>
      <c r="I88" t="s">
        <v>22</v>
      </c>
      <c r="J88" t="s">
        <v>148</v>
      </c>
      <c r="K88" t="s">
        <v>23</v>
      </c>
      <c r="L88">
        <v>735</v>
      </c>
      <c r="M88">
        <v>22.326111399999998</v>
      </c>
      <c r="N88">
        <v>405.66767314222051</v>
      </c>
      <c r="O88">
        <v>-12.173042108292648</v>
      </c>
      <c r="P88" s="1" t="str">
        <f>HYPERLINK(".\sm_car_260705_0424\sm_car_260705_0424_087_Ca227TrN_MaWOT_DrSt_ode23t.png","figure")</f>
        <v>figure</v>
      </c>
      <c r="Q88" t="s">
        <v>15</v>
      </c>
    </row>
    <row r="89" spans="1:17" x14ac:dyDescent="0.25">
      <c r="A89">
        <v>88</v>
      </c>
      <c r="B89">
        <v>227</v>
      </c>
      <c r="C89" t="s">
        <v>45</v>
      </c>
      <c r="D89" t="s">
        <v>129</v>
      </c>
      <c r="E89" t="s">
        <v>107</v>
      </c>
      <c r="F89" t="s">
        <v>19</v>
      </c>
      <c r="G89" t="s">
        <v>26</v>
      </c>
      <c r="H89" t="s">
        <v>21</v>
      </c>
      <c r="I89" t="s">
        <v>24</v>
      </c>
      <c r="J89" t="s">
        <v>148</v>
      </c>
      <c r="K89" t="s">
        <v>23</v>
      </c>
      <c r="L89">
        <v>725</v>
      </c>
      <c r="M89">
        <v>14.725559799999999</v>
      </c>
      <c r="N89">
        <v>154.52735813549413</v>
      </c>
      <c r="O89">
        <v>-2.8457631205867453</v>
      </c>
      <c r="P89" s="1" t="str">
        <f>HYPERLINK(".\sm_car_260705_0424\sm_car_260705_0424_088_Ca227TrN_MaLSS_DrSt_ode23t.png","figure")</f>
        <v>figure</v>
      </c>
      <c r="Q89" t="s">
        <v>15</v>
      </c>
    </row>
    <row r="90" spans="1:17" x14ac:dyDescent="0.25">
      <c r="A90">
        <v>89</v>
      </c>
      <c r="B90">
        <v>237</v>
      </c>
      <c r="C90" t="s">
        <v>45</v>
      </c>
      <c r="D90" t="s">
        <v>17</v>
      </c>
      <c r="E90" t="s">
        <v>107</v>
      </c>
      <c r="F90" t="s">
        <v>19</v>
      </c>
      <c r="G90" t="s">
        <v>191</v>
      </c>
      <c r="H90" t="s">
        <v>21</v>
      </c>
      <c r="I90" t="s">
        <v>22</v>
      </c>
      <c r="J90" t="s">
        <v>148</v>
      </c>
      <c r="K90" t="s">
        <v>23</v>
      </c>
      <c r="L90">
        <v>638</v>
      </c>
      <c r="M90">
        <v>45.987414399999999</v>
      </c>
      <c r="N90">
        <v>402.53872471435466</v>
      </c>
      <c r="O90">
        <v>1.5437255274215937</v>
      </c>
      <c r="P90" s="1" t="str">
        <f>HYPERLINK(".\sm_car_260705_0424\sm_car_260705_0424_089_Ca237TrN_MaWOT_DrSt_ode23t.png","figure")</f>
        <v>figure</v>
      </c>
      <c r="Q90" t="s">
        <v>15</v>
      </c>
    </row>
    <row r="91" spans="1:17" x14ac:dyDescent="0.25">
      <c r="A91">
        <v>90</v>
      </c>
      <c r="B91">
        <v>237</v>
      </c>
      <c r="C91" t="s">
        <v>45</v>
      </c>
      <c r="D91" t="s">
        <v>17</v>
      </c>
      <c r="E91" t="s">
        <v>107</v>
      </c>
      <c r="F91" t="s">
        <v>19</v>
      </c>
      <c r="G91" t="s">
        <v>191</v>
      </c>
      <c r="H91" t="s">
        <v>21</v>
      </c>
      <c r="I91" t="s">
        <v>24</v>
      </c>
      <c r="J91" t="s">
        <v>148</v>
      </c>
      <c r="K91" t="s">
        <v>23</v>
      </c>
      <c r="L91">
        <v>638</v>
      </c>
      <c r="M91">
        <v>29.313305700000001</v>
      </c>
      <c r="N91">
        <v>153.53781122891871</v>
      </c>
      <c r="O91">
        <v>-0.35066709220778491</v>
      </c>
      <c r="P91" s="1" t="str">
        <f>HYPERLINK(".\sm_car_260705_0424\sm_car_260705_0424_090_Ca237TrN_MaLSS_DrSt_ode23t.png","figure")</f>
        <v>figure</v>
      </c>
      <c r="Q91" t="s">
        <v>15</v>
      </c>
    </row>
    <row r="92" spans="1:17" x14ac:dyDescent="0.25">
      <c r="A92">
        <v>91</v>
      </c>
      <c r="B92">
        <v>238</v>
      </c>
      <c r="C92" t="s">
        <v>45</v>
      </c>
      <c r="D92" t="s">
        <v>17</v>
      </c>
      <c r="E92" t="s">
        <v>107</v>
      </c>
      <c r="F92" t="s">
        <v>19</v>
      </c>
      <c r="G92" t="s">
        <v>192</v>
      </c>
      <c r="H92" t="s">
        <v>21</v>
      </c>
      <c r="I92" t="s">
        <v>22</v>
      </c>
      <c r="J92" t="s">
        <v>148</v>
      </c>
      <c r="K92" t="s">
        <v>23</v>
      </c>
      <c r="L92">
        <v>746</v>
      </c>
      <c r="M92">
        <v>58.547942900000002</v>
      </c>
      <c r="N92">
        <v>402.51493321519757</v>
      </c>
      <c r="O92">
        <v>1.6409457243071328</v>
      </c>
      <c r="P92" s="1" t="str">
        <f>HYPERLINK(".\sm_car_260705_0424\sm_car_260705_0424_091_Ca238TrN_MaWOT_DrSt_ode23t.png","figure")</f>
        <v>figure</v>
      </c>
      <c r="Q92" t="s">
        <v>15</v>
      </c>
    </row>
    <row r="93" spans="1:17" x14ac:dyDescent="0.25">
      <c r="A93">
        <v>92</v>
      </c>
      <c r="B93">
        <v>238</v>
      </c>
      <c r="C93" t="s">
        <v>45</v>
      </c>
      <c r="D93" t="s">
        <v>17</v>
      </c>
      <c r="E93" t="s">
        <v>107</v>
      </c>
      <c r="F93" t="s">
        <v>19</v>
      </c>
      <c r="G93" t="s">
        <v>192</v>
      </c>
      <c r="H93" t="s">
        <v>21</v>
      </c>
      <c r="I93" t="s">
        <v>24</v>
      </c>
      <c r="J93" t="s">
        <v>148</v>
      </c>
      <c r="K93" t="s">
        <v>23</v>
      </c>
      <c r="L93">
        <v>691</v>
      </c>
      <c r="M93">
        <v>39.3891603</v>
      </c>
      <c r="N93">
        <v>153.44359394468142</v>
      </c>
      <c r="O93">
        <v>-0.34880226698314043</v>
      </c>
      <c r="P93" s="1" t="str">
        <f>HYPERLINK(".\sm_car_260705_0424\sm_car_260705_0424_092_Ca238TrN_MaLSS_DrSt_ode23t.png","figure")</f>
        <v>figure</v>
      </c>
      <c r="Q93" t="s">
        <v>15</v>
      </c>
    </row>
    <row r="94" spans="1:17" x14ac:dyDescent="0.25">
      <c r="A94">
        <v>93</v>
      </c>
      <c r="B94">
        <v>8</v>
      </c>
      <c r="C94" t="s">
        <v>16</v>
      </c>
      <c r="D94" t="s">
        <v>17</v>
      </c>
      <c r="E94" t="s">
        <v>49</v>
      </c>
      <c r="F94" t="s">
        <v>19</v>
      </c>
      <c r="G94" t="s">
        <v>188</v>
      </c>
      <c r="H94" t="s">
        <v>21</v>
      </c>
      <c r="I94" t="s">
        <v>22</v>
      </c>
      <c r="J94" t="s">
        <v>148</v>
      </c>
      <c r="K94" t="s">
        <v>23</v>
      </c>
      <c r="L94">
        <v>382</v>
      </c>
      <c r="M94">
        <v>11.5079099</v>
      </c>
      <c r="N94">
        <v>229.86289638092822</v>
      </c>
      <c r="O94">
        <v>-8.6453136492681461E-3</v>
      </c>
      <c r="P94" s="1" t="str">
        <f>HYPERLINK(".\sm_car_260705_0424\sm_car_260705_0424_093_Ca008TrN_MaWOT_DrSt_ode23t_1.png","figure")</f>
        <v>figure</v>
      </c>
      <c r="Q94" t="s">
        <v>15</v>
      </c>
    </row>
    <row r="95" spans="1:17" x14ac:dyDescent="0.25">
      <c r="A95">
        <v>94</v>
      </c>
      <c r="B95">
        <v>8</v>
      </c>
      <c r="C95" t="s">
        <v>16</v>
      </c>
      <c r="D95" t="s">
        <v>17</v>
      </c>
      <c r="E95" t="s">
        <v>49</v>
      </c>
      <c r="F95" t="s">
        <v>19</v>
      </c>
      <c r="G95" t="s">
        <v>188</v>
      </c>
      <c r="H95" t="s">
        <v>21</v>
      </c>
      <c r="I95" t="s">
        <v>24</v>
      </c>
      <c r="J95" t="s">
        <v>148</v>
      </c>
      <c r="K95" t="s">
        <v>23</v>
      </c>
      <c r="L95">
        <v>542</v>
      </c>
      <c r="M95">
        <v>13.817418999999999</v>
      </c>
      <c r="N95">
        <v>70.879575559165261</v>
      </c>
      <c r="O95">
        <v>-0.53202774463117308</v>
      </c>
      <c r="P95" s="1" t="str">
        <f>HYPERLINK(".\sm_car_260705_0424\sm_car_260705_0424_094_Ca008TrN_MaLSS_DrSt_ode23t_1.png","figure")</f>
        <v>figure</v>
      </c>
      <c r="Q95" t="s">
        <v>15</v>
      </c>
    </row>
    <row r="96" spans="1:17" x14ac:dyDescent="0.25">
      <c r="A96">
        <v>95</v>
      </c>
      <c r="B96">
        <v>13</v>
      </c>
      <c r="C96" t="s">
        <v>16</v>
      </c>
      <c r="D96" t="s">
        <v>17</v>
      </c>
      <c r="E96" t="s">
        <v>49</v>
      </c>
      <c r="F96" t="s">
        <v>28</v>
      </c>
      <c r="G96" t="s">
        <v>188</v>
      </c>
      <c r="H96" t="s">
        <v>21</v>
      </c>
      <c r="I96" t="s">
        <v>22</v>
      </c>
      <c r="J96" t="s">
        <v>148</v>
      </c>
      <c r="K96" t="s">
        <v>23</v>
      </c>
      <c r="L96">
        <v>856</v>
      </c>
      <c r="M96">
        <v>14.2293197</v>
      </c>
      <c r="N96">
        <v>229.09986921052308</v>
      </c>
      <c r="O96">
        <v>-1.6178206492318239E-2</v>
      </c>
      <c r="P96" s="1" t="str">
        <f>HYPERLINK(".\sm_car_260705_0424\sm_car_260705_0424_095_Ca013TrN_MaWOT_DrSt_ode23t_1.png","figure")</f>
        <v>figure</v>
      </c>
      <c r="Q96" t="s">
        <v>15</v>
      </c>
    </row>
    <row r="97" spans="1:17" x14ac:dyDescent="0.25">
      <c r="A97">
        <v>96</v>
      </c>
      <c r="B97">
        <v>13</v>
      </c>
      <c r="C97" t="s">
        <v>16</v>
      </c>
      <c r="D97" t="s">
        <v>17</v>
      </c>
      <c r="E97" t="s">
        <v>49</v>
      </c>
      <c r="F97" t="s">
        <v>28</v>
      </c>
      <c r="G97" t="s">
        <v>188</v>
      </c>
      <c r="H97" t="s">
        <v>21</v>
      </c>
      <c r="I97" t="s">
        <v>24</v>
      </c>
      <c r="J97" t="s">
        <v>148</v>
      </c>
      <c r="K97" t="s">
        <v>23</v>
      </c>
      <c r="L97">
        <v>1007</v>
      </c>
      <c r="M97">
        <v>16.042815399999999</v>
      </c>
      <c r="N97">
        <v>70.589936283730353</v>
      </c>
      <c r="O97">
        <v>-0.53085841609054596</v>
      </c>
      <c r="P97" s="1" t="str">
        <f>HYPERLINK(".\sm_car_260705_0424\sm_car_260705_0424_096_Ca013TrN_MaLSS_DrSt_ode23t_1.png","figure")</f>
        <v>figure</v>
      </c>
      <c r="Q97" t="s">
        <v>15</v>
      </c>
    </row>
    <row r="98" spans="1:17" x14ac:dyDescent="0.25">
      <c r="A98">
        <v>97</v>
      </c>
      <c r="B98">
        <v>120</v>
      </c>
      <c r="C98" t="s">
        <v>16</v>
      </c>
      <c r="D98" t="s">
        <v>35</v>
      </c>
      <c r="E98" t="s">
        <v>49</v>
      </c>
      <c r="F98" t="s">
        <v>19</v>
      </c>
      <c r="G98" t="s">
        <v>188</v>
      </c>
      <c r="H98" t="s">
        <v>21</v>
      </c>
      <c r="I98" t="s">
        <v>22</v>
      </c>
      <c r="J98" t="s">
        <v>148</v>
      </c>
      <c r="K98" t="s">
        <v>23</v>
      </c>
      <c r="L98">
        <v>384</v>
      </c>
      <c r="M98">
        <v>3.2927363000000001</v>
      </c>
      <c r="N98">
        <v>242.68444453743314</v>
      </c>
      <c r="O98">
        <v>0.23487762924843852</v>
      </c>
      <c r="P98" s="1" t="str">
        <f>HYPERLINK(".\sm_car_260705_0424\sm_car_260705_0424_097_Ca120TrN_MaWOT_DrSt_ode23t_1.png","figure")</f>
        <v>figure</v>
      </c>
      <c r="Q98" t="s">
        <v>15</v>
      </c>
    </row>
    <row r="99" spans="1:17" x14ac:dyDescent="0.25">
      <c r="A99">
        <v>98</v>
      </c>
      <c r="B99">
        <v>120</v>
      </c>
      <c r="C99" t="s">
        <v>16</v>
      </c>
      <c r="D99" t="s">
        <v>35</v>
      </c>
      <c r="E99" t="s">
        <v>49</v>
      </c>
      <c r="F99" t="s">
        <v>19</v>
      </c>
      <c r="G99" t="s">
        <v>188</v>
      </c>
      <c r="H99" t="s">
        <v>21</v>
      </c>
      <c r="I99" t="s">
        <v>24</v>
      </c>
      <c r="J99" t="s">
        <v>148</v>
      </c>
      <c r="K99" t="s">
        <v>23</v>
      </c>
      <c r="L99">
        <v>504</v>
      </c>
      <c r="M99">
        <v>3.8859313000000002</v>
      </c>
      <c r="N99">
        <v>74.678837977136325</v>
      </c>
      <c r="O99">
        <v>-0.33436064416935024</v>
      </c>
      <c r="P99" s="1" t="str">
        <f>HYPERLINK(".\sm_car_260705_0424\sm_car_260705_0424_098_Ca120TrN_MaLSS_DrSt_ode23t_1.png","figure")</f>
        <v>figure</v>
      </c>
      <c r="Q99" t="s">
        <v>15</v>
      </c>
    </row>
    <row r="100" spans="1:17" x14ac:dyDescent="0.25">
      <c r="A100">
        <v>99</v>
      </c>
      <c r="B100">
        <v>126</v>
      </c>
      <c r="C100" t="s">
        <v>16</v>
      </c>
      <c r="D100" t="s">
        <v>35</v>
      </c>
      <c r="E100" t="s">
        <v>49</v>
      </c>
      <c r="F100" t="s">
        <v>28</v>
      </c>
      <c r="G100" t="s">
        <v>188</v>
      </c>
      <c r="H100" t="s">
        <v>21</v>
      </c>
      <c r="I100" t="s">
        <v>22</v>
      </c>
      <c r="J100" t="s">
        <v>148</v>
      </c>
      <c r="K100" t="s">
        <v>23</v>
      </c>
      <c r="L100">
        <v>989</v>
      </c>
      <c r="M100">
        <v>5.9158831000000003</v>
      </c>
      <c r="N100">
        <v>241.4506384147154</v>
      </c>
      <c r="O100">
        <v>0.23236801113646072</v>
      </c>
      <c r="P100" s="1" t="str">
        <f>HYPERLINK(".\sm_car_260705_0424\sm_car_260705_0424_099_Ca126TrN_MaWOT_DrSt_ode23t_1.png","figure")</f>
        <v>figure</v>
      </c>
      <c r="Q100" t="s">
        <v>15</v>
      </c>
    </row>
    <row r="101" spans="1:17" x14ac:dyDescent="0.25">
      <c r="A101">
        <v>100</v>
      </c>
      <c r="B101">
        <v>126</v>
      </c>
      <c r="C101" t="s">
        <v>16</v>
      </c>
      <c r="D101" t="s">
        <v>35</v>
      </c>
      <c r="E101" t="s">
        <v>49</v>
      </c>
      <c r="F101" t="s">
        <v>28</v>
      </c>
      <c r="G101" t="s">
        <v>188</v>
      </c>
      <c r="H101" t="s">
        <v>21</v>
      </c>
      <c r="I101" t="s">
        <v>24</v>
      </c>
      <c r="J101" t="s">
        <v>148</v>
      </c>
      <c r="K101" t="s">
        <v>23</v>
      </c>
      <c r="L101">
        <v>1139</v>
      </c>
      <c r="M101">
        <v>6.2208474999999996</v>
      </c>
      <c r="N101">
        <v>74.345320011584874</v>
      </c>
      <c r="O101">
        <v>-0.33638448293260964</v>
      </c>
      <c r="P101" s="1" t="str">
        <f>HYPERLINK(".\sm_car_260705_0424\sm_car_260705_0424_100_Ca126TrN_MaLSS_DrSt_ode23t_1.png","figure")</f>
        <v>figure</v>
      </c>
      <c r="Q101" t="s">
        <v>15</v>
      </c>
    </row>
    <row r="102" spans="1:17" x14ac:dyDescent="0.25">
      <c r="A102">
        <v>101</v>
      </c>
      <c r="B102">
        <v>127</v>
      </c>
      <c r="C102" t="s">
        <v>16</v>
      </c>
      <c r="D102" t="s">
        <v>35</v>
      </c>
      <c r="E102" t="s">
        <v>49</v>
      </c>
      <c r="F102" t="s">
        <v>28</v>
      </c>
      <c r="G102" t="s">
        <v>188</v>
      </c>
      <c r="H102" t="s">
        <v>21</v>
      </c>
      <c r="I102" t="s">
        <v>22</v>
      </c>
      <c r="J102" t="s">
        <v>148</v>
      </c>
      <c r="K102" t="s">
        <v>23</v>
      </c>
      <c r="L102">
        <v>1030</v>
      </c>
      <c r="M102">
        <v>5.4098582000000004</v>
      </c>
      <c r="N102">
        <v>240.98843633088921</v>
      </c>
      <c r="O102">
        <v>0.2307828868177117</v>
      </c>
      <c r="P102" s="1" t="str">
        <f>HYPERLINK(".\sm_car_260705_0424\sm_car_260705_0424_101_Ca127TrN_MaWOT_DrSt_ode23t_1.png","figure")</f>
        <v>figure</v>
      </c>
      <c r="Q102" t="s">
        <v>15</v>
      </c>
    </row>
    <row r="103" spans="1:17" x14ac:dyDescent="0.25">
      <c r="A103">
        <v>102</v>
      </c>
      <c r="B103">
        <v>127</v>
      </c>
      <c r="C103" t="s">
        <v>16</v>
      </c>
      <c r="D103" t="s">
        <v>35</v>
      </c>
      <c r="E103" t="s">
        <v>49</v>
      </c>
      <c r="F103" t="s">
        <v>28</v>
      </c>
      <c r="G103" t="s">
        <v>188</v>
      </c>
      <c r="H103" t="s">
        <v>21</v>
      </c>
      <c r="I103" t="s">
        <v>24</v>
      </c>
      <c r="J103" t="s">
        <v>148</v>
      </c>
      <c r="K103" t="s">
        <v>23</v>
      </c>
      <c r="L103">
        <v>1138</v>
      </c>
      <c r="M103">
        <v>5.9765560999999998</v>
      </c>
      <c r="N103">
        <v>74.199326838271588</v>
      </c>
      <c r="O103">
        <v>-0.33516403319855159</v>
      </c>
      <c r="P103" s="1" t="str">
        <f>HYPERLINK(".\sm_car_260705_0424\sm_car_260705_0424_102_Ca127TrN_MaLSS_DrSt_ode23t_1.png","figure")</f>
        <v>figure</v>
      </c>
      <c r="Q103" t="s">
        <v>15</v>
      </c>
    </row>
    <row r="104" spans="1:17" x14ac:dyDescent="0.25">
      <c r="A104">
        <v>103</v>
      </c>
      <c r="B104">
        <v>145</v>
      </c>
      <c r="C104" t="s">
        <v>46</v>
      </c>
      <c r="D104" t="s">
        <v>17</v>
      </c>
      <c r="E104" t="s">
        <v>50</v>
      </c>
      <c r="F104" t="s">
        <v>19</v>
      </c>
      <c r="G104" t="s">
        <v>26</v>
      </c>
      <c r="H104" t="s">
        <v>21</v>
      </c>
      <c r="I104" t="s">
        <v>22</v>
      </c>
      <c r="J104" t="s">
        <v>148</v>
      </c>
      <c r="K104" t="s">
        <v>23</v>
      </c>
      <c r="L104">
        <v>353</v>
      </c>
      <c r="M104">
        <v>13.1421224</v>
      </c>
      <c r="N104">
        <v>62.399080719229602</v>
      </c>
      <c r="O104">
        <v>1.9098261566904209E-2</v>
      </c>
      <c r="P104" s="1" t="str">
        <f>HYPERLINK(".\sm_car_260705_0424\sm_car_260705_0424_103_Ca145TrN_MaWOT_DrSt_ode23t_1.png","figure")</f>
        <v>figure</v>
      </c>
      <c r="Q104" t="s">
        <v>15</v>
      </c>
    </row>
    <row r="105" spans="1:17" x14ac:dyDescent="0.25">
      <c r="A105">
        <v>104</v>
      </c>
      <c r="B105">
        <v>145</v>
      </c>
      <c r="C105" t="s">
        <v>46</v>
      </c>
      <c r="D105" t="s">
        <v>17</v>
      </c>
      <c r="E105" t="s">
        <v>50</v>
      </c>
      <c r="F105" t="s">
        <v>19</v>
      </c>
      <c r="G105" t="s">
        <v>26</v>
      </c>
      <c r="H105" t="s">
        <v>21</v>
      </c>
      <c r="I105" t="s">
        <v>24</v>
      </c>
      <c r="J105" t="s">
        <v>148</v>
      </c>
      <c r="K105" t="s">
        <v>23</v>
      </c>
      <c r="L105">
        <v>477</v>
      </c>
      <c r="M105">
        <v>18.574010600000001</v>
      </c>
      <c r="N105">
        <v>24.926902762877102</v>
      </c>
      <c r="O105">
        <v>-4.9659853639739363E-2</v>
      </c>
      <c r="P105" s="1" t="str">
        <f>HYPERLINK(".\sm_car_260705_0424\sm_car_260705_0424_104_Ca145TrN_MaLSS_DrSt_ode23t_1.png","figure")</f>
        <v>figure</v>
      </c>
      <c r="Q105" t="s">
        <v>15</v>
      </c>
    </row>
    <row r="106" spans="1:17" x14ac:dyDescent="0.25">
      <c r="A106">
        <v>105</v>
      </c>
      <c r="B106">
        <v>184</v>
      </c>
      <c r="C106" t="s">
        <v>105</v>
      </c>
      <c r="D106" t="s">
        <v>120</v>
      </c>
      <c r="E106" t="s">
        <v>49</v>
      </c>
      <c r="F106" t="s">
        <v>19</v>
      </c>
      <c r="G106" t="s">
        <v>20</v>
      </c>
      <c r="H106" t="s">
        <v>21</v>
      </c>
      <c r="I106" t="s">
        <v>22</v>
      </c>
      <c r="J106" t="s">
        <v>148</v>
      </c>
      <c r="K106" t="s">
        <v>23</v>
      </c>
      <c r="L106">
        <v>291</v>
      </c>
      <c r="M106">
        <v>15.4861576</v>
      </c>
      <c r="N106">
        <v>294.74646973530611</v>
      </c>
      <c r="O106">
        <v>-1.4570427344742578E-4</v>
      </c>
      <c r="P106" s="1" t="str">
        <f>HYPERLINK(".\sm_car_260705_0424\sm_car_260705_0424_105_Ca184TrN_MaWOT_DrSt_ode23t_1.png","figure")</f>
        <v>figure</v>
      </c>
      <c r="Q106" t="s">
        <v>15</v>
      </c>
    </row>
    <row r="107" spans="1:17" x14ac:dyDescent="0.25">
      <c r="A107">
        <v>106</v>
      </c>
      <c r="B107">
        <v>184</v>
      </c>
      <c r="C107" t="s">
        <v>105</v>
      </c>
      <c r="D107" t="s">
        <v>120</v>
      </c>
      <c r="E107" t="s">
        <v>49</v>
      </c>
      <c r="F107" t="s">
        <v>19</v>
      </c>
      <c r="G107" t="s">
        <v>20</v>
      </c>
      <c r="H107" t="s">
        <v>21</v>
      </c>
      <c r="I107" t="s">
        <v>24</v>
      </c>
      <c r="J107" t="s">
        <v>148</v>
      </c>
      <c r="K107" t="s">
        <v>23</v>
      </c>
      <c r="L107">
        <v>451</v>
      </c>
      <c r="M107">
        <v>12.727754600000001</v>
      </c>
      <c r="N107">
        <v>103.58507120162176</v>
      </c>
      <c r="O107">
        <v>-0.21171510350244102</v>
      </c>
      <c r="P107" s="1" t="str">
        <f>HYPERLINK(".\sm_car_260705_0424\sm_car_260705_0424_106_Ca184TrN_MaLSS_DrSt_ode23t_1.png","figure")</f>
        <v>figure</v>
      </c>
      <c r="Q107" t="s">
        <v>15</v>
      </c>
    </row>
    <row r="108" spans="1:17" x14ac:dyDescent="0.25">
      <c r="A108">
        <v>107</v>
      </c>
      <c r="B108">
        <v>217</v>
      </c>
      <c r="C108" t="s">
        <v>45</v>
      </c>
      <c r="D108" t="s">
        <v>17</v>
      </c>
      <c r="E108" t="s">
        <v>107</v>
      </c>
      <c r="F108" t="s">
        <v>119</v>
      </c>
      <c r="G108" t="s">
        <v>26</v>
      </c>
      <c r="H108" t="s">
        <v>21</v>
      </c>
      <c r="I108" t="s">
        <v>22</v>
      </c>
      <c r="J108" t="s">
        <v>148</v>
      </c>
      <c r="K108" t="s">
        <v>23</v>
      </c>
      <c r="L108">
        <v>700</v>
      </c>
      <c r="M108">
        <v>29.127601899999998</v>
      </c>
      <c r="N108">
        <v>165.32909919008193</v>
      </c>
      <c r="O108">
        <v>0.26595782899636206</v>
      </c>
      <c r="P108" s="1" t="str">
        <f>HYPERLINK(".\sm_car_260705_0424\sm_car_260705_0424_107_Ca217TrN_MaWOT_DrSt_ode23t_1.png","figure")</f>
        <v>figure</v>
      </c>
      <c r="Q108" t="s">
        <v>15</v>
      </c>
    </row>
    <row r="109" spans="1:17" x14ac:dyDescent="0.25">
      <c r="A109">
        <v>108</v>
      </c>
      <c r="B109">
        <v>217</v>
      </c>
      <c r="C109" t="s">
        <v>45</v>
      </c>
      <c r="D109" t="s">
        <v>17</v>
      </c>
      <c r="E109" t="s">
        <v>107</v>
      </c>
      <c r="F109" t="s">
        <v>119</v>
      </c>
      <c r="G109" t="s">
        <v>26</v>
      </c>
      <c r="H109" t="s">
        <v>21</v>
      </c>
      <c r="I109" t="s">
        <v>24</v>
      </c>
      <c r="J109" t="s">
        <v>148</v>
      </c>
      <c r="K109" t="s">
        <v>23</v>
      </c>
      <c r="L109">
        <v>822</v>
      </c>
      <c r="M109">
        <v>35.947809399999997</v>
      </c>
      <c r="N109">
        <v>69.531316392821338</v>
      </c>
      <c r="O109">
        <v>-0.18142050993403994</v>
      </c>
      <c r="P109" s="1" t="str">
        <f>HYPERLINK(".\sm_car_260705_0424\sm_car_260705_0424_108_Ca217TrN_MaLSS_DrSt_ode23t_1.png","figure")</f>
        <v>figure</v>
      </c>
      <c r="Q109" t="s">
        <v>15</v>
      </c>
    </row>
    <row r="110" spans="1:17" x14ac:dyDescent="0.25">
      <c r="A110">
        <v>109</v>
      </c>
      <c r="B110">
        <v>12</v>
      </c>
      <c r="C110" t="s">
        <v>16</v>
      </c>
      <c r="D110" t="s">
        <v>17</v>
      </c>
      <c r="E110" t="s">
        <v>49</v>
      </c>
      <c r="F110" t="s">
        <v>28</v>
      </c>
      <c r="G110" t="s">
        <v>188</v>
      </c>
      <c r="H110" t="s">
        <v>21</v>
      </c>
      <c r="I110" t="s">
        <v>53</v>
      </c>
      <c r="J110" t="s">
        <v>148</v>
      </c>
      <c r="K110" t="s">
        <v>23</v>
      </c>
      <c r="L110">
        <v>859</v>
      </c>
      <c r="M110">
        <v>12.6238592</v>
      </c>
      <c r="N110">
        <v>255.38978732848261</v>
      </c>
      <c r="O110">
        <v>4.0241209167115599E-2</v>
      </c>
      <c r="P110" s="1" t="str">
        <f>HYPERLINK(".\sm_car_260705_0424\sm_car_260705_0424_109_Ca012TrN_MaDLC_DrSt_ode23t_1.png","figure")</f>
        <v>figure</v>
      </c>
      <c r="Q110" t="s">
        <v>15</v>
      </c>
    </row>
    <row r="111" spans="1:17" x14ac:dyDescent="0.25">
      <c r="A111">
        <v>110</v>
      </c>
      <c r="B111">
        <v>12</v>
      </c>
      <c r="C111" t="s">
        <v>16</v>
      </c>
      <c r="D111" t="s">
        <v>17</v>
      </c>
      <c r="E111" t="s">
        <v>49</v>
      </c>
      <c r="F111" t="s">
        <v>28</v>
      </c>
      <c r="G111" t="s">
        <v>188</v>
      </c>
      <c r="H111" t="s">
        <v>21</v>
      </c>
      <c r="I111" t="s">
        <v>54</v>
      </c>
      <c r="J111" t="s">
        <v>148</v>
      </c>
      <c r="K111" t="s">
        <v>23</v>
      </c>
      <c r="L111">
        <v>916</v>
      </c>
      <c r="M111">
        <v>16.1100551</v>
      </c>
      <c r="N111">
        <v>74.405157923793482</v>
      </c>
      <c r="O111">
        <v>0.70196288454669575</v>
      </c>
      <c r="P111" s="1" t="str">
        <f>HYPERLINK(".\sm_car_260705_0424\sm_car_260705_0424_110_Ca012TrN_MaIPA_DrSt_ode23t_1.png","figure")</f>
        <v>figure</v>
      </c>
      <c r="Q111" t="s">
        <v>15</v>
      </c>
    </row>
    <row r="112" spans="1:17" x14ac:dyDescent="0.25">
      <c r="A112">
        <v>111</v>
      </c>
      <c r="B112">
        <v>142</v>
      </c>
      <c r="C112" t="s">
        <v>45</v>
      </c>
      <c r="D112" t="s">
        <v>17</v>
      </c>
      <c r="E112" t="s">
        <v>49</v>
      </c>
      <c r="F112" t="s">
        <v>28</v>
      </c>
      <c r="G112" t="s">
        <v>26</v>
      </c>
      <c r="H112" t="s">
        <v>21</v>
      </c>
      <c r="I112" t="s">
        <v>53</v>
      </c>
      <c r="J112" t="s">
        <v>148</v>
      </c>
      <c r="K112" t="s">
        <v>23</v>
      </c>
      <c r="L112">
        <v>984</v>
      </c>
      <c r="M112">
        <v>17.790451099999999</v>
      </c>
      <c r="N112">
        <v>254.16787784140047</v>
      </c>
      <c r="O112">
        <v>-7.9711492707881249E-3</v>
      </c>
      <c r="P112" s="1" t="str">
        <f>HYPERLINK(".\sm_car_260705_0424\sm_car_260705_0424_111_Ca142TrN_MaDLC_DrSt_ode23t_1.png","figure")</f>
        <v>figure</v>
      </c>
      <c r="Q112" t="s">
        <v>15</v>
      </c>
    </row>
    <row r="113" spans="1:17" x14ac:dyDescent="0.25">
      <c r="A113">
        <v>112</v>
      </c>
      <c r="B113">
        <v>142</v>
      </c>
      <c r="C113" t="s">
        <v>45</v>
      </c>
      <c r="D113" t="s">
        <v>17</v>
      </c>
      <c r="E113" t="s">
        <v>49</v>
      </c>
      <c r="F113" t="s">
        <v>28</v>
      </c>
      <c r="G113" t="s">
        <v>26</v>
      </c>
      <c r="H113" t="s">
        <v>21</v>
      </c>
      <c r="I113" t="s">
        <v>54</v>
      </c>
      <c r="J113" t="s">
        <v>148</v>
      </c>
      <c r="K113" t="s">
        <v>23</v>
      </c>
      <c r="L113">
        <v>1317</v>
      </c>
      <c r="M113">
        <v>33.940072899999997</v>
      </c>
      <c r="N113">
        <v>82.593723573957988</v>
      </c>
      <c r="O113">
        <v>0.65012621342309984</v>
      </c>
      <c r="P113" s="1" t="str">
        <f>HYPERLINK(".\sm_car_260705_0424\sm_car_260705_0424_112_Ca142TrN_MaIPA_DrSt_ode23t_1.png","figure")</f>
        <v>figure</v>
      </c>
      <c r="Q113" t="s">
        <v>15</v>
      </c>
    </row>
    <row r="114" spans="1:17" x14ac:dyDescent="0.25">
      <c r="A114">
        <v>113</v>
      </c>
      <c r="B114">
        <v>145</v>
      </c>
      <c r="C114" t="s">
        <v>46</v>
      </c>
      <c r="D114" t="s">
        <v>17</v>
      </c>
      <c r="E114" t="s">
        <v>50</v>
      </c>
      <c r="F114" t="s">
        <v>19</v>
      </c>
      <c r="G114" t="s">
        <v>26</v>
      </c>
      <c r="H114" t="s">
        <v>21</v>
      </c>
      <c r="I114" t="s">
        <v>53</v>
      </c>
      <c r="J114" t="s">
        <v>148</v>
      </c>
      <c r="K114" t="s">
        <v>23</v>
      </c>
      <c r="L114">
        <v>464</v>
      </c>
      <c r="M114">
        <v>16.363329199999999</v>
      </c>
      <c r="N114">
        <v>253.89788928119884</v>
      </c>
      <c r="O114">
        <v>7.4999592997252229E-2</v>
      </c>
      <c r="P114" s="1" t="str">
        <f>HYPERLINK(".\sm_car_260705_0424\sm_car_260705_0424_113_Ca145TrN_MaDLC_DrSt_ode23t_1.png","figure")</f>
        <v>figure</v>
      </c>
      <c r="Q114" t="s">
        <v>15</v>
      </c>
    </row>
    <row r="115" spans="1:17" x14ac:dyDescent="0.25">
      <c r="A115">
        <v>114</v>
      </c>
      <c r="B115">
        <v>145</v>
      </c>
      <c r="C115" t="s">
        <v>46</v>
      </c>
      <c r="D115" t="s">
        <v>17</v>
      </c>
      <c r="E115" t="s">
        <v>50</v>
      </c>
      <c r="F115" t="s">
        <v>19</v>
      </c>
      <c r="G115" t="s">
        <v>26</v>
      </c>
      <c r="H115" t="s">
        <v>21</v>
      </c>
      <c r="I115" t="s">
        <v>54</v>
      </c>
      <c r="J115" t="s">
        <v>148</v>
      </c>
      <c r="K115" t="s">
        <v>23</v>
      </c>
      <c r="L115">
        <v>307</v>
      </c>
      <c r="M115">
        <v>11.378418</v>
      </c>
      <c r="N115">
        <v>27.998881334011159</v>
      </c>
      <c r="O115">
        <v>1.5718214641137665E-2</v>
      </c>
      <c r="P115" s="1" t="str">
        <f>HYPERLINK(".\sm_car_260705_0424\sm_car_260705_0424_114_Ca145TrN_MaIPA_DrSt_ode23t_1.png","figure")</f>
        <v>figure</v>
      </c>
      <c r="Q115" t="s">
        <v>15</v>
      </c>
    </row>
    <row r="116" spans="1:17" x14ac:dyDescent="0.25">
      <c r="A116">
        <v>115</v>
      </c>
      <c r="B116">
        <v>184</v>
      </c>
      <c r="C116" t="s">
        <v>105</v>
      </c>
      <c r="D116" t="s">
        <v>120</v>
      </c>
      <c r="E116" t="s">
        <v>49</v>
      </c>
      <c r="F116" t="s">
        <v>19</v>
      </c>
      <c r="G116" t="s">
        <v>20</v>
      </c>
      <c r="H116" t="s">
        <v>21</v>
      </c>
      <c r="I116" t="s">
        <v>53</v>
      </c>
      <c r="J116" t="s">
        <v>148</v>
      </c>
      <c r="K116" t="s">
        <v>23</v>
      </c>
      <c r="L116">
        <v>383</v>
      </c>
      <c r="M116">
        <v>10.809228299999999</v>
      </c>
      <c r="N116">
        <v>253.56712213477283</v>
      </c>
      <c r="O116">
        <v>1.1316161180240591E-2</v>
      </c>
      <c r="P116" s="1" t="str">
        <f>HYPERLINK(".\sm_car_260705_0424\sm_car_260705_0424_115_Ca184TrN_MaDLC_DrSt_ode23t_1.png","figure")</f>
        <v>figure</v>
      </c>
      <c r="Q116" t="s">
        <v>15</v>
      </c>
    </row>
    <row r="117" spans="1:17" x14ac:dyDescent="0.25">
      <c r="A117">
        <v>116</v>
      </c>
      <c r="B117">
        <v>184</v>
      </c>
      <c r="C117" t="s">
        <v>105</v>
      </c>
      <c r="D117" t="s">
        <v>120</v>
      </c>
      <c r="E117" t="s">
        <v>49</v>
      </c>
      <c r="F117" t="s">
        <v>19</v>
      </c>
      <c r="G117" t="s">
        <v>20</v>
      </c>
      <c r="H117" t="s">
        <v>21</v>
      </c>
      <c r="I117" t="s">
        <v>54</v>
      </c>
      <c r="J117" t="s">
        <v>148</v>
      </c>
      <c r="K117" t="s">
        <v>23</v>
      </c>
      <c r="L117">
        <v>321</v>
      </c>
      <c r="M117">
        <v>12.501937699999999</v>
      </c>
      <c r="N117">
        <v>55.279528556092167</v>
      </c>
      <c r="O117">
        <v>6.5719118617946111E-3</v>
      </c>
      <c r="P117" s="1" t="str">
        <f>HYPERLINK(".\sm_car_260705_0424\sm_car_260705_0424_116_Ca184TrN_MaIPA_DrSt_ode23t_1.png","figure")</f>
        <v>figure</v>
      </c>
      <c r="Q117" t="s">
        <v>15</v>
      </c>
    </row>
    <row r="118" spans="1:17" x14ac:dyDescent="0.25">
      <c r="A118">
        <v>117</v>
      </c>
      <c r="B118">
        <v>204</v>
      </c>
      <c r="C118" t="s">
        <v>105</v>
      </c>
      <c r="D118" t="s">
        <v>106</v>
      </c>
      <c r="E118" t="s">
        <v>18</v>
      </c>
      <c r="F118" t="s">
        <v>19</v>
      </c>
      <c r="G118" t="s">
        <v>20</v>
      </c>
      <c r="H118" t="s">
        <v>21</v>
      </c>
      <c r="I118" t="s">
        <v>53</v>
      </c>
      <c r="J118" t="s">
        <v>148</v>
      </c>
      <c r="K118" t="s">
        <v>23</v>
      </c>
      <c r="L118">
        <v>1828</v>
      </c>
      <c r="M118">
        <v>26.1411357</v>
      </c>
      <c r="N118">
        <v>254.41154763444962</v>
      </c>
      <c r="O118">
        <v>1.8567527511646809E-2</v>
      </c>
      <c r="P118" s="1" t="str">
        <f>HYPERLINK(".\sm_car_260705_0424\sm_car_260705_0424_117_Ca204TrN_MaDLC_DrSt_ode23t_1.png","figure")</f>
        <v>figure</v>
      </c>
      <c r="Q118" t="s">
        <v>15</v>
      </c>
    </row>
    <row r="119" spans="1:17" x14ac:dyDescent="0.25">
      <c r="A119">
        <v>118</v>
      </c>
      <c r="B119">
        <v>204</v>
      </c>
      <c r="C119" t="s">
        <v>105</v>
      </c>
      <c r="D119" t="s">
        <v>106</v>
      </c>
      <c r="E119" t="s">
        <v>18</v>
      </c>
      <c r="F119" t="s">
        <v>19</v>
      </c>
      <c r="G119" t="s">
        <v>20</v>
      </c>
      <c r="H119" t="s">
        <v>21</v>
      </c>
      <c r="I119" t="s">
        <v>54</v>
      </c>
      <c r="J119" t="s">
        <v>148</v>
      </c>
      <c r="K119" t="s">
        <v>23</v>
      </c>
      <c r="L119">
        <v>689</v>
      </c>
      <c r="M119">
        <v>13.1696893</v>
      </c>
      <c r="N119">
        <v>26.037122672845488</v>
      </c>
      <c r="O119">
        <v>9.6389907040024796E-3</v>
      </c>
      <c r="P119" s="1" t="str">
        <f>HYPERLINK(".\sm_car_260705_0424\sm_car_260705_0424_118_Ca204TrN_MaIPA_DrSt_ode23t_1.png","figure")</f>
        <v>figure</v>
      </c>
      <c r="Q119" t="s">
        <v>15</v>
      </c>
    </row>
    <row r="120" spans="1:17" x14ac:dyDescent="0.25">
      <c r="A120">
        <v>119</v>
      </c>
      <c r="B120">
        <v>12</v>
      </c>
      <c r="C120" t="s">
        <v>16</v>
      </c>
      <c r="D120" t="s">
        <v>17</v>
      </c>
      <c r="E120" t="s">
        <v>49</v>
      </c>
      <c r="F120" t="s">
        <v>28</v>
      </c>
      <c r="G120" t="s">
        <v>188</v>
      </c>
      <c r="H120" t="s">
        <v>21</v>
      </c>
      <c r="I120" t="s">
        <v>55</v>
      </c>
      <c r="J120" t="s">
        <v>148</v>
      </c>
      <c r="K120" t="s">
        <v>23</v>
      </c>
      <c r="L120">
        <v>2579</v>
      </c>
      <c r="M120">
        <v>25.070978499999999</v>
      </c>
      <c r="N120">
        <v>-1.5535072751644549E-2</v>
      </c>
      <c r="O120">
        <v>-0.64601161232637283</v>
      </c>
      <c r="P120" s="1" t="str">
        <f>HYPERLINK(".\sm_car_260705_0424\sm_car_260705_0424_119_Ca012TrN_MaMPK_DrSt_ode23t_1.png","figure")</f>
        <v>figure</v>
      </c>
      <c r="Q120" t="s">
        <v>15</v>
      </c>
    </row>
    <row r="121" spans="1:17" x14ac:dyDescent="0.25">
      <c r="A121">
        <v>120</v>
      </c>
      <c r="B121">
        <v>12</v>
      </c>
      <c r="C121" t="s">
        <v>16</v>
      </c>
      <c r="D121" t="s">
        <v>17</v>
      </c>
      <c r="E121" t="s">
        <v>49</v>
      </c>
      <c r="F121" t="s">
        <v>28</v>
      </c>
      <c r="G121" t="s">
        <v>188</v>
      </c>
      <c r="H121" t="s">
        <v>21</v>
      </c>
      <c r="I121" t="s">
        <v>55</v>
      </c>
      <c r="J121" t="s">
        <v>149</v>
      </c>
      <c r="K121" t="s">
        <v>23</v>
      </c>
      <c r="L121">
        <v>2401</v>
      </c>
      <c r="M121">
        <v>23.590085899999998</v>
      </c>
      <c r="N121">
        <v>-9.3576876739216164E-3</v>
      </c>
      <c r="O121">
        <v>-3.7524624150169425E-2</v>
      </c>
      <c r="P121" s="1" t="str">
        <f>HYPERLINK(".\sm_car_260705_0424\sm_car_260705_0424_120_Ca012TrN_MaMPK_DrSt_ode23t_1.png","figure")</f>
        <v>figure</v>
      </c>
      <c r="Q121" t="s">
        <v>15</v>
      </c>
    </row>
    <row r="122" spans="1:17" x14ac:dyDescent="0.25">
      <c r="A122">
        <v>121</v>
      </c>
      <c r="B122">
        <v>12</v>
      </c>
      <c r="C122" t="s">
        <v>16</v>
      </c>
      <c r="D122" t="s">
        <v>17</v>
      </c>
      <c r="E122" t="s">
        <v>49</v>
      </c>
      <c r="F122" t="s">
        <v>28</v>
      </c>
      <c r="G122" t="s">
        <v>188</v>
      </c>
      <c r="H122" t="s">
        <v>21</v>
      </c>
      <c r="I122" t="s">
        <v>56</v>
      </c>
      <c r="J122" t="s">
        <v>148</v>
      </c>
      <c r="K122" t="s">
        <v>23</v>
      </c>
      <c r="L122">
        <v>2414</v>
      </c>
      <c r="M122">
        <v>24.648841099999999</v>
      </c>
      <c r="N122">
        <v>0.7877851761905923</v>
      </c>
      <c r="O122">
        <v>-0.33088366372090522</v>
      </c>
      <c r="P122" s="1" t="str">
        <f>HYPERLINK(".\sm_car_260705_0424\sm_car_260705_0424_121_Ca012TrN_MaMPC_DrSt_ode23t_1.png","figure")</f>
        <v>figure</v>
      </c>
      <c r="Q122" t="s">
        <v>15</v>
      </c>
    </row>
    <row r="123" spans="1:17" x14ac:dyDescent="0.25">
      <c r="A123">
        <v>122</v>
      </c>
      <c r="B123">
        <v>12</v>
      </c>
      <c r="C123" t="s">
        <v>16</v>
      </c>
      <c r="D123" t="s">
        <v>17</v>
      </c>
      <c r="E123" t="s">
        <v>49</v>
      </c>
      <c r="F123" t="s">
        <v>28</v>
      </c>
      <c r="G123" t="s">
        <v>188</v>
      </c>
      <c r="H123" t="s">
        <v>21</v>
      </c>
      <c r="I123" t="s">
        <v>56</v>
      </c>
      <c r="J123" t="s">
        <v>149</v>
      </c>
      <c r="K123" t="s">
        <v>23</v>
      </c>
      <c r="L123">
        <v>2241</v>
      </c>
      <c r="M123">
        <v>24.921705200000002</v>
      </c>
      <c r="N123">
        <v>0.78901198833632691</v>
      </c>
      <c r="O123">
        <v>0.10467080845013405</v>
      </c>
      <c r="P123" s="1" t="str">
        <f>HYPERLINK(".\sm_car_260705_0424\sm_car_260705_0424_122_Ca012TrN_MaMPC_DrSt_ode23t_1.png","figure")</f>
        <v>figure</v>
      </c>
      <c r="Q123" t="s">
        <v>15</v>
      </c>
    </row>
    <row r="124" spans="1:17" x14ac:dyDescent="0.25">
      <c r="A124">
        <v>123</v>
      </c>
      <c r="B124">
        <v>142</v>
      </c>
      <c r="C124" t="s">
        <v>45</v>
      </c>
      <c r="D124" t="s">
        <v>17</v>
      </c>
      <c r="E124" t="s">
        <v>49</v>
      </c>
      <c r="F124" t="s">
        <v>28</v>
      </c>
      <c r="G124" t="s">
        <v>26</v>
      </c>
      <c r="H124" t="s">
        <v>21</v>
      </c>
      <c r="I124" t="s">
        <v>55</v>
      </c>
      <c r="J124" t="s">
        <v>148</v>
      </c>
      <c r="K124" t="s">
        <v>23</v>
      </c>
      <c r="L124">
        <v>2533</v>
      </c>
      <c r="M124">
        <v>29.817240200000001</v>
      </c>
      <c r="N124">
        <v>-1.8569670130262353E-2</v>
      </c>
      <c r="O124">
        <v>-0.55891058528366633</v>
      </c>
      <c r="P124" s="1" t="str">
        <f>HYPERLINK(".\sm_car_260705_0424\sm_car_260705_0424_123_Ca142TrN_MaMPK_DrSt_ode23t_1.png","figure")</f>
        <v>figure</v>
      </c>
      <c r="Q124" t="s">
        <v>15</v>
      </c>
    </row>
    <row r="125" spans="1:17" x14ac:dyDescent="0.25">
      <c r="A125">
        <v>124</v>
      </c>
      <c r="B125">
        <v>142</v>
      </c>
      <c r="C125" t="s">
        <v>45</v>
      </c>
      <c r="D125" t="s">
        <v>17</v>
      </c>
      <c r="E125" t="s">
        <v>49</v>
      </c>
      <c r="F125" t="s">
        <v>28</v>
      </c>
      <c r="G125" t="s">
        <v>26</v>
      </c>
      <c r="H125" t="s">
        <v>21</v>
      </c>
      <c r="I125" t="s">
        <v>55</v>
      </c>
      <c r="J125" t="s">
        <v>149</v>
      </c>
      <c r="K125" t="s">
        <v>23</v>
      </c>
      <c r="L125">
        <v>2883</v>
      </c>
      <c r="M125">
        <v>31.190306400000001</v>
      </c>
      <c r="N125">
        <v>-1.127040349786658E-2</v>
      </c>
      <c r="O125">
        <v>-7.9889984459702496E-2</v>
      </c>
      <c r="P125" s="1" t="str">
        <f>HYPERLINK(".\sm_car_260705_0424\sm_car_260705_0424_124_Ca142TrN_MaMPK_DrSt_ode23t_1.png","figure")</f>
        <v>figure</v>
      </c>
      <c r="Q125" t="s">
        <v>15</v>
      </c>
    </row>
    <row r="126" spans="1:17" x14ac:dyDescent="0.25">
      <c r="A126">
        <v>125</v>
      </c>
      <c r="B126">
        <v>142</v>
      </c>
      <c r="C126" t="s">
        <v>45</v>
      </c>
      <c r="D126" t="s">
        <v>17</v>
      </c>
      <c r="E126" t="s">
        <v>49</v>
      </c>
      <c r="F126" t="s">
        <v>28</v>
      </c>
      <c r="G126" t="s">
        <v>26</v>
      </c>
      <c r="H126" t="s">
        <v>21</v>
      </c>
      <c r="I126" t="s">
        <v>56</v>
      </c>
      <c r="J126" t="s">
        <v>148</v>
      </c>
      <c r="K126" t="s">
        <v>23</v>
      </c>
      <c r="L126">
        <v>2420</v>
      </c>
      <c r="M126">
        <v>34.500521800000001</v>
      </c>
      <c r="N126">
        <v>0.78803712033202622</v>
      </c>
      <c r="O126">
        <v>-0.37181335243640545</v>
      </c>
      <c r="P126" s="1" t="str">
        <f>HYPERLINK(".\sm_car_260705_0424\sm_car_260705_0424_125_Ca142TrN_MaMPC_DrSt_ode23t_1.png","figure")</f>
        <v>figure</v>
      </c>
      <c r="Q126" t="s">
        <v>15</v>
      </c>
    </row>
    <row r="127" spans="1:17" x14ac:dyDescent="0.25">
      <c r="A127">
        <v>126</v>
      </c>
      <c r="B127">
        <v>142</v>
      </c>
      <c r="C127" t="s">
        <v>45</v>
      </c>
      <c r="D127" t="s">
        <v>17</v>
      </c>
      <c r="E127" t="s">
        <v>49</v>
      </c>
      <c r="F127" t="s">
        <v>28</v>
      </c>
      <c r="G127" t="s">
        <v>26</v>
      </c>
      <c r="H127" t="s">
        <v>21</v>
      </c>
      <c r="I127" t="s">
        <v>56</v>
      </c>
      <c r="J127" t="s">
        <v>149</v>
      </c>
      <c r="K127" t="s">
        <v>23</v>
      </c>
      <c r="L127">
        <v>2753</v>
      </c>
      <c r="M127">
        <v>34.090618499999998</v>
      </c>
      <c r="N127">
        <v>0.78874697939688154</v>
      </c>
      <c r="O127">
        <v>1.6378554678400915E-2</v>
      </c>
      <c r="P127" s="1" t="str">
        <f>HYPERLINK(".\sm_car_260705_0424\sm_car_260705_0424_126_Ca142TrN_MaMPC_DrSt_ode23t_1.png","figure")</f>
        <v>figure</v>
      </c>
      <c r="Q127" t="s">
        <v>15</v>
      </c>
    </row>
    <row r="128" spans="1:17" x14ac:dyDescent="0.25">
      <c r="A128">
        <v>127</v>
      </c>
      <c r="B128">
        <v>116</v>
      </c>
      <c r="C128" t="s">
        <v>16</v>
      </c>
      <c r="D128" t="s">
        <v>35</v>
      </c>
      <c r="E128" t="s">
        <v>18</v>
      </c>
      <c r="F128" t="s">
        <v>28</v>
      </c>
      <c r="G128" t="s">
        <v>188</v>
      </c>
      <c r="H128" t="s">
        <v>21</v>
      </c>
      <c r="I128" t="s">
        <v>55</v>
      </c>
      <c r="J128" t="s">
        <v>148</v>
      </c>
      <c r="K128" t="s">
        <v>23</v>
      </c>
      <c r="L128">
        <v>2838</v>
      </c>
      <c r="M128">
        <v>11.4504629</v>
      </c>
      <c r="N128">
        <v>-1.8622435721342173E-2</v>
      </c>
      <c r="O128">
        <v>-0.54250334213586648</v>
      </c>
      <c r="P128" s="1" t="str">
        <f>HYPERLINK(".\sm_car_260705_0424\sm_car_260705_0424_127_Ca116TrN_MaMPK_DrSt_ode23t_1.png","figure")</f>
        <v>figure</v>
      </c>
      <c r="Q128" t="s">
        <v>15</v>
      </c>
    </row>
    <row r="129" spans="1:17" x14ac:dyDescent="0.25">
      <c r="A129">
        <v>128</v>
      </c>
      <c r="B129">
        <v>116</v>
      </c>
      <c r="C129" t="s">
        <v>16</v>
      </c>
      <c r="D129" t="s">
        <v>35</v>
      </c>
      <c r="E129" t="s">
        <v>18</v>
      </c>
      <c r="F129" t="s">
        <v>28</v>
      </c>
      <c r="G129" t="s">
        <v>188</v>
      </c>
      <c r="H129" t="s">
        <v>21</v>
      </c>
      <c r="I129" t="s">
        <v>55</v>
      </c>
      <c r="J129" t="s">
        <v>149</v>
      </c>
      <c r="K129" t="s">
        <v>23</v>
      </c>
      <c r="L129">
        <v>2748</v>
      </c>
      <c r="M129">
        <v>11.310641499999999</v>
      </c>
      <c r="N129">
        <v>-1.9429225189244559E-2</v>
      </c>
      <c r="O129">
        <v>-0.53562834070852061</v>
      </c>
      <c r="P129" s="1" t="str">
        <f>HYPERLINK(".\sm_car_260705_0424\sm_car_260705_0424_128_Ca116TrN_MaMPK_DrSt_ode23t_1.png","figure")</f>
        <v>figure</v>
      </c>
      <c r="Q129" t="s">
        <v>15</v>
      </c>
    </row>
    <row r="130" spans="1:17" x14ac:dyDescent="0.25">
      <c r="A130">
        <v>129</v>
      </c>
      <c r="B130">
        <v>116</v>
      </c>
      <c r="C130" t="s">
        <v>16</v>
      </c>
      <c r="D130" t="s">
        <v>35</v>
      </c>
      <c r="E130" t="s">
        <v>18</v>
      </c>
      <c r="F130" t="s">
        <v>28</v>
      </c>
      <c r="G130" t="s">
        <v>188</v>
      </c>
      <c r="H130" t="s">
        <v>21</v>
      </c>
      <c r="I130" t="s">
        <v>56</v>
      </c>
      <c r="J130" t="s">
        <v>148</v>
      </c>
      <c r="K130" t="s">
        <v>23</v>
      </c>
      <c r="L130">
        <v>2722</v>
      </c>
      <c r="M130">
        <v>11.234592599999999</v>
      </c>
      <c r="N130">
        <v>0.77278698195634199</v>
      </c>
      <c r="O130">
        <v>-0.36264547959846405</v>
      </c>
      <c r="P130" s="1" t="str">
        <f>HYPERLINK(".\sm_car_260705_0424\sm_car_260705_0424_129_Ca116TrN_MaMPC_DrSt_ode23t_1.png","figure")</f>
        <v>figure</v>
      </c>
      <c r="Q130" t="s">
        <v>15</v>
      </c>
    </row>
    <row r="131" spans="1:17" x14ac:dyDescent="0.25">
      <c r="A131">
        <v>130</v>
      </c>
      <c r="B131">
        <v>116</v>
      </c>
      <c r="C131" t="s">
        <v>16</v>
      </c>
      <c r="D131" t="s">
        <v>35</v>
      </c>
      <c r="E131" t="s">
        <v>18</v>
      </c>
      <c r="F131" t="s">
        <v>28</v>
      </c>
      <c r="G131" t="s">
        <v>188</v>
      </c>
      <c r="H131" t="s">
        <v>21</v>
      </c>
      <c r="I131" t="s">
        <v>56</v>
      </c>
      <c r="J131" t="s">
        <v>149</v>
      </c>
      <c r="K131" t="s">
        <v>23</v>
      </c>
      <c r="L131">
        <v>2608</v>
      </c>
      <c r="M131">
        <v>10.8742391</v>
      </c>
      <c r="N131">
        <v>0.78512686596492109</v>
      </c>
      <c r="O131">
        <v>0.44067580967379483</v>
      </c>
      <c r="P131" s="1" t="str">
        <f>HYPERLINK(".\sm_car_260705_0424\sm_car_260705_0424_130_Ca116TrN_MaMPC_DrSt_ode23t_1.png","figure")</f>
        <v>figure</v>
      </c>
      <c r="Q131" t="s">
        <v>15</v>
      </c>
    </row>
    <row r="132" spans="1:17" x14ac:dyDescent="0.25">
      <c r="A132">
        <v>131</v>
      </c>
      <c r="B132">
        <v>143</v>
      </c>
      <c r="C132" t="s">
        <v>46</v>
      </c>
      <c r="D132" t="s">
        <v>17</v>
      </c>
      <c r="E132" t="s">
        <v>47</v>
      </c>
      <c r="F132" t="s">
        <v>19</v>
      </c>
      <c r="G132" t="s">
        <v>26</v>
      </c>
      <c r="H132" t="s">
        <v>21</v>
      </c>
      <c r="I132" t="s">
        <v>55</v>
      </c>
      <c r="J132" t="s">
        <v>148</v>
      </c>
      <c r="K132" t="s">
        <v>23</v>
      </c>
      <c r="L132">
        <v>2446</v>
      </c>
      <c r="M132">
        <v>47.2606842</v>
      </c>
      <c r="N132">
        <v>8.7723116759506892E-4</v>
      </c>
      <c r="O132">
        <v>-0.40385323425565295</v>
      </c>
      <c r="P132" s="1" t="str">
        <f>HYPERLINK(".\sm_car_260705_0424\sm_car_260705_0424_131_Ca143TrN_MaMPK_DrSt_ode23t_1.png","figure")</f>
        <v>figure</v>
      </c>
      <c r="Q132" t="s">
        <v>15</v>
      </c>
    </row>
    <row r="133" spans="1:17" x14ac:dyDescent="0.25">
      <c r="A133">
        <v>132</v>
      </c>
      <c r="B133">
        <v>143</v>
      </c>
      <c r="C133" t="s">
        <v>46</v>
      </c>
      <c r="D133" t="s">
        <v>17</v>
      </c>
      <c r="E133" t="s">
        <v>47</v>
      </c>
      <c r="F133" t="s">
        <v>19</v>
      </c>
      <c r="G133" t="s">
        <v>26</v>
      </c>
      <c r="H133" t="s">
        <v>21</v>
      </c>
      <c r="I133" t="s">
        <v>55</v>
      </c>
      <c r="J133" t="s">
        <v>149</v>
      </c>
      <c r="K133" t="s">
        <v>23</v>
      </c>
      <c r="L133">
        <v>2204</v>
      </c>
      <c r="M133">
        <v>43.542183299999998</v>
      </c>
      <c r="N133">
        <v>-1.1336251382628129E-2</v>
      </c>
      <c r="O133">
        <v>-9.0061627724928636E-2</v>
      </c>
      <c r="P133" s="1" t="str">
        <f>HYPERLINK(".\sm_car_260705_0424\sm_car_260705_0424_132_Ca143TrN_MaMPK_DrSt_ode23t_1.png","figure")</f>
        <v>figure</v>
      </c>
      <c r="Q133" t="s">
        <v>15</v>
      </c>
    </row>
    <row r="134" spans="1:17" x14ac:dyDescent="0.25">
      <c r="A134">
        <v>133</v>
      </c>
      <c r="B134">
        <v>143</v>
      </c>
      <c r="C134" t="s">
        <v>46</v>
      </c>
      <c r="D134" t="s">
        <v>17</v>
      </c>
      <c r="E134" t="s">
        <v>47</v>
      </c>
      <c r="F134" t="s">
        <v>19</v>
      </c>
      <c r="G134" t="s">
        <v>26</v>
      </c>
      <c r="H134" t="s">
        <v>21</v>
      </c>
      <c r="I134" t="s">
        <v>56</v>
      </c>
      <c r="J134" t="s">
        <v>148</v>
      </c>
      <c r="K134" t="s">
        <v>23</v>
      </c>
      <c r="L134">
        <v>2361</v>
      </c>
      <c r="M134">
        <v>50.354008200000003</v>
      </c>
      <c r="N134">
        <v>0.75555819239843558</v>
      </c>
      <c r="O134">
        <v>-0.27232873221484516</v>
      </c>
      <c r="P134" s="1" t="str">
        <f>HYPERLINK(".\sm_car_260705_0424\sm_car_260705_0424_133_Ca143TrN_MaMPC_DrSt_ode23t_1.png","figure")</f>
        <v>figure</v>
      </c>
      <c r="Q134" t="s">
        <v>15</v>
      </c>
    </row>
    <row r="135" spans="1:17" x14ac:dyDescent="0.25">
      <c r="A135">
        <v>134</v>
      </c>
      <c r="B135">
        <v>143</v>
      </c>
      <c r="C135" t="s">
        <v>46</v>
      </c>
      <c r="D135" t="s">
        <v>17</v>
      </c>
      <c r="E135" t="s">
        <v>47</v>
      </c>
      <c r="F135" t="s">
        <v>19</v>
      </c>
      <c r="G135" t="s">
        <v>26</v>
      </c>
      <c r="H135" t="s">
        <v>21</v>
      </c>
      <c r="I135" t="s">
        <v>56</v>
      </c>
      <c r="J135" t="s">
        <v>149</v>
      </c>
      <c r="K135" t="s">
        <v>23</v>
      </c>
      <c r="L135">
        <v>2123</v>
      </c>
      <c r="M135">
        <v>50.757404899999997</v>
      </c>
      <c r="N135">
        <v>0.78685958202550665</v>
      </c>
      <c r="O135">
        <v>-0.15518440758868812</v>
      </c>
      <c r="P135" s="1" t="str">
        <f>HYPERLINK(".\sm_car_260705_0424\sm_car_260705_0424_134_Ca143TrN_MaMPC_DrSt_ode23t_1.png","figure")</f>
        <v>figure</v>
      </c>
      <c r="Q135" t="s">
        <v>15</v>
      </c>
    </row>
    <row r="136" spans="1:17" x14ac:dyDescent="0.25">
      <c r="A136">
        <v>135</v>
      </c>
      <c r="B136">
        <v>166</v>
      </c>
      <c r="C136" t="s">
        <v>45</v>
      </c>
      <c r="D136" t="s">
        <v>57</v>
      </c>
      <c r="E136" t="s">
        <v>18</v>
      </c>
      <c r="F136" t="s">
        <v>19</v>
      </c>
      <c r="G136" t="s">
        <v>26</v>
      </c>
      <c r="H136" t="s">
        <v>21</v>
      </c>
      <c r="I136" t="s">
        <v>55</v>
      </c>
      <c r="J136" t="s">
        <v>148</v>
      </c>
      <c r="K136" t="s">
        <v>23</v>
      </c>
      <c r="L136">
        <v>3178</v>
      </c>
      <c r="M136">
        <v>48.774886600000002</v>
      </c>
      <c r="N136">
        <v>-1.7585448986862914E-2</v>
      </c>
      <c r="O136">
        <v>-0.57016084223722818</v>
      </c>
      <c r="P136" s="1" t="str">
        <f>HYPERLINK(".\sm_car_260705_0424\sm_car_260705_0424_135_Ca166TrN_MaMPK_DrSt_ode23t_1.png","figure")</f>
        <v>figure</v>
      </c>
      <c r="Q136" t="s">
        <v>15</v>
      </c>
    </row>
    <row r="137" spans="1:17" x14ac:dyDescent="0.25">
      <c r="A137">
        <v>136</v>
      </c>
      <c r="B137">
        <v>166</v>
      </c>
      <c r="C137" t="s">
        <v>45</v>
      </c>
      <c r="D137" t="s">
        <v>57</v>
      </c>
      <c r="E137" t="s">
        <v>18</v>
      </c>
      <c r="F137" t="s">
        <v>19</v>
      </c>
      <c r="G137" t="s">
        <v>26</v>
      </c>
      <c r="H137" t="s">
        <v>21</v>
      </c>
      <c r="I137" t="s">
        <v>55</v>
      </c>
      <c r="J137" t="s">
        <v>149</v>
      </c>
      <c r="K137" t="s">
        <v>23</v>
      </c>
      <c r="L137">
        <v>3705</v>
      </c>
      <c r="M137">
        <v>47.817702300000001</v>
      </c>
      <c r="N137">
        <v>-1.0459660011230637E-2</v>
      </c>
      <c r="O137">
        <v>-8.5104946449721108E-2</v>
      </c>
      <c r="P137" s="1" t="str">
        <f>HYPERLINK(".\sm_car_260705_0424\sm_car_260705_0424_136_Ca166TrN_MaMPK_DrSt_ode23t_1.png","figure")</f>
        <v>figure</v>
      </c>
      <c r="Q137" t="s">
        <v>15</v>
      </c>
    </row>
    <row r="138" spans="1:17" x14ac:dyDescent="0.25">
      <c r="A138">
        <v>137</v>
      </c>
      <c r="B138">
        <v>166</v>
      </c>
      <c r="C138" t="s">
        <v>45</v>
      </c>
      <c r="D138" t="s">
        <v>57</v>
      </c>
      <c r="E138" t="s">
        <v>18</v>
      </c>
      <c r="F138" t="s">
        <v>19</v>
      </c>
      <c r="G138" t="s">
        <v>26</v>
      </c>
      <c r="H138" t="s">
        <v>21</v>
      </c>
      <c r="I138" t="s">
        <v>56</v>
      </c>
      <c r="J138" t="s">
        <v>148</v>
      </c>
      <c r="K138" t="s">
        <v>23</v>
      </c>
      <c r="L138">
        <v>2956</v>
      </c>
      <c r="M138">
        <v>46.152048499999999</v>
      </c>
      <c r="N138">
        <v>0.78896453220692919</v>
      </c>
      <c r="O138">
        <v>-0.36294489904326649</v>
      </c>
      <c r="P138" s="1" t="str">
        <f>HYPERLINK(".\sm_car_260705_0424\sm_car_260705_0424_137_Ca166TrN_MaMPC_DrSt_ode23t_1.png","figure")</f>
        <v>figure</v>
      </c>
      <c r="Q138" t="s">
        <v>15</v>
      </c>
    </row>
    <row r="139" spans="1:17" x14ac:dyDescent="0.25">
      <c r="A139">
        <v>138</v>
      </c>
      <c r="B139">
        <v>166</v>
      </c>
      <c r="C139" t="s">
        <v>45</v>
      </c>
      <c r="D139" t="s">
        <v>57</v>
      </c>
      <c r="E139" t="s">
        <v>18</v>
      </c>
      <c r="F139" t="s">
        <v>19</v>
      </c>
      <c r="G139" t="s">
        <v>26</v>
      </c>
      <c r="H139" t="s">
        <v>21</v>
      </c>
      <c r="I139" t="s">
        <v>56</v>
      </c>
      <c r="J139" t="s">
        <v>149</v>
      </c>
      <c r="K139" t="s">
        <v>23</v>
      </c>
      <c r="L139">
        <v>3448</v>
      </c>
      <c r="M139">
        <v>47.454387799999999</v>
      </c>
      <c r="N139">
        <v>0.78912778471898193</v>
      </c>
      <c r="O139">
        <v>2.4068321399322742E-2</v>
      </c>
      <c r="P139" s="1" t="str">
        <f>HYPERLINK(".\sm_car_260705_0424\sm_car_260705_0424_138_Ca166TrN_MaMPC_DrSt_ode23t_1.png","figure")</f>
        <v>figure</v>
      </c>
      <c r="Q139" t="s">
        <v>15</v>
      </c>
    </row>
    <row r="140" spans="1:17" x14ac:dyDescent="0.25">
      <c r="A140">
        <v>139</v>
      </c>
      <c r="B140">
        <v>169</v>
      </c>
      <c r="C140" t="s">
        <v>45</v>
      </c>
      <c r="D140" t="s">
        <v>58</v>
      </c>
      <c r="E140" t="s">
        <v>49</v>
      </c>
      <c r="F140" t="s">
        <v>19</v>
      </c>
      <c r="G140" t="s">
        <v>26</v>
      </c>
      <c r="H140" t="s">
        <v>21</v>
      </c>
      <c r="I140" t="s">
        <v>55</v>
      </c>
      <c r="J140" t="s">
        <v>148</v>
      </c>
      <c r="K140" t="s">
        <v>23</v>
      </c>
      <c r="L140">
        <v>3179</v>
      </c>
      <c r="M140">
        <v>47.481739599999997</v>
      </c>
      <c r="N140">
        <v>-1.9109556856405197E-2</v>
      </c>
      <c r="O140">
        <v>-0.57088527551769253</v>
      </c>
      <c r="P140" s="1" t="str">
        <f>HYPERLINK(".\sm_car_260705_0424\sm_car_260705_0424_139_Ca169TrN_MaMPK_DrSt_ode23t_1.png","figure")</f>
        <v>figure</v>
      </c>
      <c r="Q140" t="s">
        <v>15</v>
      </c>
    </row>
    <row r="141" spans="1:17" x14ac:dyDescent="0.25">
      <c r="A141">
        <v>140</v>
      </c>
      <c r="B141">
        <v>169</v>
      </c>
      <c r="C141" t="s">
        <v>45</v>
      </c>
      <c r="D141" t="s">
        <v>58</v>
      </c>
      <c r="E141" t="s">
        <v>49</v>
      </c>
      <c r="F141" t="s">
        <v>19</v>
      </c>
      <c r="G141" t="s">
        <v>26</v>
      </c>
      <c r="H141" t="s">
        <v>21</v>
      </c>
      <c r="I141" t="s">
        <v>55</v>
      </c>
      <c r="J141" t="s">
        <v>149</v>
      </c>
      <c r="K141" t="s">
        <v>23</v>
      </c>
      <c r="L141">
        <v>3753</v>
      </c>
      <c r="M141">
        <v>50.168588</v>
      </c>
      <c r="N141">
        <v>-9.8454873720921626E-3</v>
      </c>
      <c r="O141">
        <v>-8.5036317903853451E-2</v>
      </c>
      <c r="P141" s="1" t="str">
        <f>HYPERLINK(".\sm_car_260705_0424\sm_car_260705_0424_140_Ca169TrN_MaMPK_DrSt_ode23t_1.png","figure")</f>
        <v>figure</v>
      </c>
      <c r="Q141" t="s">
        <v>15</v>
      </c>
    </row>
    <row r="142" spans="1:17" x14ac:dyDescent="0.25">
      <c r="A142">
        <v>141</v>
      </c>
      <c r="B142">
        <v>169</v>
      </c>
      <c r="C142" t="s">
        <v>45</v>
      </c>
      <c r="D142" t="s">
        <v>58</v>
      </c>
      <c r="E142" t="s">
        <v>49</v>
      </c>
      <c r="F142" t="s">
        <v>19</v>
      </c>
      <c r="G142" t="s">
        <v>26</v>
      </c>
      <c r="H142" t="s">
        <v>21</v>
      </c>
      <c r="I142" t="s">
        <v>56</v>
      </c>
      <c r="J142" t="s">
        <v>148</v>
      </c>
      <c r="K142" t="s">
        <v>23</v>
      </c>
      <c r="L142">
        <v>2923</v>
      </c>
      <c r="M142">
        <v>48.178476500000002</v>
      </c>
      <c r="N142">
        <v>0.7779027328539847</v>
      </c>
      <c r="O142">
        <v>-0.3622715722499395</v>
      </c>
      <c r="P142" s="1" t="str">
        <f>HYPERLINK(".\sm_car_260705_0424\sm_car_260705_0424_141_Ca169TrN_MaMPC_DrSt_ode23t_1.png","figure")</f>
        <v>figure</v>
      </c>
      <c r="Q142" t="s">
        <v>15</v>
      </c>
    </row>
    <row r="143" spans="1:17" x14ac:dyDescent="0.25">
      <c r="A143">
        <v>142</v>
      </c>
      <c r="B143">
        <v>169</v>
      </c>
      <c r="C143" t="s">
        <v>45</v>
      </c>
      <c r="D143" t="s">
        <v>58</v>
      </c>
      <c r="E143" t="s">
        <v>49</v>
      </c>
      <c r="F143" t="s">
        <v>19</v>
      </c>
      <c r="G143" t="s">
        <v>26</v>
      </c>
      <c r="H143" t="s">
        <v>21</v>
      </c>
      <c r="I143" t="s">
        <v>56</v>
      </c>
      <c r="J143" t="s">
        <v>149</v>
      </c>
      <c r="K143" t="s">
        <v>23</v>
      </c>
      <c r="L143">
        <v>3396</v>
      </c>
      <c r="M143">
        <v>56.930975400000001</v>
      </c>
      <c r="N143">
        <v>0.78826830741315845</v>
      </c>
      <c r="O143">
        <v>2.5161670182697052E-2</v>
      </c>
      <c r="P143" s="1" t="str">
        <f>HYPERLINK(".\sm_car_260705_0424\sm_car_260705_0424_142_Ca169TrN_MaMPC_DrSt_ode23t_1.png","figure")</f>
        <v>figure</v>
      </c>
      <c r="Q143" t="s">
        <v>15</v>
      </c>
    </row>
    <row r="144" spans="1:17" x14ac:dyDescent="0.25">
      <c r="A144">
        <v>143</v>
      </c>
      <c r="B144">
        <v>184</v>
      </c>
      <c r="C144" t="s">
        <v>105</v>
      </c>
      <c r="D144" t="s">
        <v>120</v>
      </c>
      <c r="E144" t="s">
        <v>49</v>
      </c>
      <c r="F144" t="s">
        <v>19</v>
      </c>
      <c r="G144" t="s">
        <v>20</v>
      </c>
      <c r="H144" t="s">
        <v>21</v>
      </c>
      <c r="I144" t="s">
        <v>55</v>
      </c>
      <c r="J144" t="s">
        <v>148</v>
      </c>
      <c r="K144" t="s">
        <v>23</v>
      </c>
      <c r="L144">
        <v>2227</v>
      </c>
      <c r="M144">
        <v>49.700282600000001</v>
      </c>
      <c r="N144">
        <v>-2.2972285074280355E-2</v>
      </c>
      <c r="O144">
        <v>-0.74275555606248056</v>
      </c>
      <c r="P144" s="1" t="str">
        <f>HYPERLINK(".\sm_car_260705_0424\sm_car_260705_0424_143_Ca184TrN_MaMPK_DrSt_ode23t_1.png","figure")</f>
        <v>figure</v>
      </c>
      <c r="Q144" t="s">
        <v>15</v>
      </c>
    </row>
    <row r="145" spans="1:17" x14ac:dyDescent="0.25">
      <c r="A145">
        <v>144</v>
      </c>
      <c r="B145">
        <v>184</v>
      </c>
      <c r="C145" t="s">
        <v>105</v>
      </c>
      <c r="D145" t="s">
        <v>120</v>
      </c>
      <c r="E145" t="s">
        <v>49</v>
      </c>
      <c r="F145" t="s">
        <v>19</v>
      </c>
      <c r="G145" t="s">
        <v>20</v>
      </c>
      <c r="H145" t="s">
        <v>21</v>
      </c>
      <c r="I145" t="s">
        <v>55</v>
      </c>
      <c r="J145" t="s">
        <v>149</v>
      </c>
      <c r="K145" t="s">
        <v>23</v>
      </c>
      <c r="L145">
        <v>2309</v>
      </c>
      <c r="M145">
        <v>51.494368600000001</v>
      </c>
      <c r="N145">
        <v>-9.7115186893210609E-3</v>
      </c>
      <c r="O145">
        <v>-2.997595799822193E-2</v>
      </c>
      <c r="P145" s="1" t="str">
        <f>HYPERLINK(".\sm_car_260705_0424\sm_car_260705_0424_144_Ca184TrN_MaMPK_DrSt_ode23t_1.png","figure")</f>
        <v>figure</v>
      </c>
      <c r="Q145" t="s">
        <v>15</v>
      </c>
    </row>
    <row r="146" spans="1:17" x14ac:dyDescent="0.25">
      <c r="A146">
        <v>145</v>
      </c>
      <c r="B146">
        <v>184</v>
      </c>
      <c r="C146" t="s">
        <v>105</v>
      </c>
      <c r="D146" t="s">
        <v>120</v>
      </c>
      <c r="E146" t="s">
        <v>49</v>
      </c>
      <c r="F146" t="s">
        <v>19</v>
      </c>
      <c r="G146" t="s">
        <v>20</v>
      </c>
      <c r="H146" t="s">
        <v>21</v>
      </c>
      <c r="I146" t="s">
        <v>56</v>
      </c>
      <c r="J146" t="s">
        <v>148</v>
      </c>
      <c r="K146" t="s">
        <v>23</v>
      </c>
      <c r="L146">
        <v>2060</v>
      </c>
      <c r="M146">
        <v>47.640914199999997</v>
      </c>
      <c r="N146">
        <v>0.78740642121275251</v>
      </c>
      <c r="O146">
        <v>-0.33805111009068478</v>
      </c>
      <c r="P146" s="1" t="str">
        <f>HYPERLINK(".\sm_car_260705_0424\sm_car_260705_0424_145_Ca184TrN_MaMPC_DrSt_ode23t_1.png","figure")</f>
        <v>figure</v>
      </c>
      <c r="Q146" t="s">
        <v>15</v>
      </c>
    </row>
    <row r="147" spans="1:17" x14ac:dyDescent="0.25">
      <c r="A147">
        <v>146</v>
      </c>
      <c r="B147">
        <v>184</v>
      </c>
      <c r="C147" t="s">
        <v>105</v>
      </c>
      <c r="D147" t="s">
        <v>120</v>
      </c>
      <c r="E147" t="s">
        <v>49</v>
      </c>
      <c r="F147" t="s">
        <v>19</v>
      </c>
      <c r="G147" t="s">
        <v>20</v>
      </c>
      <c r="H147" t="s">
        <v>21</v>
      </c>
      <c r="I147" t="s">
        <v>56</v>
      </c>
      <c r="J147" t="s">
        <v>149</v>
      </c>
      <c r="K147" t="s">
        <v>23</v>
      </c>
      <c r="L147">
        <v>2044</v>
      </c>
      <c r="M147">
        <v>51.862988199999997</v>
      </c>
      <c r="N147">
        <v>0.75881524208450379</v>
      </c>
      <c r="O147">
        <v>-8.2144984597842752E-2</v>
      </c>
      <c r="P147" s="1" t="str">
        <f>HYPERLINK(".\sm_car_260705_0424\sm_car_260705_0424_146_Ca184TrN_MaMPC_DrSt_ode23t_1.png","figure")</f>
        <v>figure</v>
      </c>
      <c r="Q147" t="s">
        <v>15</v>
      </c>
    </row>
    <row r="148" spans="1:17" x14ac:dyDescent="0.25">
      <c r="A148">
        <v>147</v>
      </c>
      <c r="B148">
        <v>195</v>
      </c>
      <c r="C148" t="s">
        <v>45</v>
      </c>
      <c r="D148" t="s">
        <v>58</v>
      </c>
      <c r="E148" t="s">
        <v>107</v>
      </c>
      <c r="F148" t="s">
        <v>19</v>
      </c>
      <c r="G148" t="s">
        <v>26</v>
      </c>
      <c r="H148" t="s">
        <v>21</v>
      </c>
      <c r="I148" t="s">
        <v>55</v>
      </c>
      <c r="J148" t="s">
        <v>148</v>
      </c>
      <c r="K148" t="s">
        <v>23</v>
      </c>
      <c r="L148">
        <v>3168</v>
      </c>
      <c r="M148">
        <v>41.787063199999999</v>
      </c>
      <c r="N148">
        <v>-1.7705319292586494E-2</v>
      </c>
      <c r="O148">
        <v>-0.57095420707903766</v>
      </c>
      <c r="P148" s="1" t="str">
        <f>HYPERLINK(".\sm_car_260705_0424\sm_car_260705_0424_147_Ca195TrN_MaMPK_DrSt_ode23t_1.png","figure")</f>
        <v>figure</v>
      </c>
      <c r="Q148" t="s">
        <v>15</v>
      </c>
    </row>
    <row r="149" spans="1:17" x14ac:dyDescent="0.25">
      <c r="A149">
        <v>148</v>
      </c>
      <c r="B149">
        <v>195</v>
      </c>
      <c r="C149" t="s">
        <v>45</v>
      </c>
      <c r="D149" t="s">
        <v>58</v>
      </c>
      <c r="E149" t="s">
        <v>107</v>
      </c>
      <c r="F149" t="s">
        <v>19</v>
      </c>
      <c r="G149" t="s">
        <v>26</v>
      </c>
      <c r="H149" t="s">
        <v>21</v>
      </c>
      <c r="I149" t="s">
        <v>55</v>
      </c>
      <c r="J149" t="s">
        <v>149</v>
      </c>
      <c r="K149" t="s">
        <v>23</v>
      </c>
      <c r="L149">
        <v>3727</v>
      </c>
      <c r="M149">
        <v>44.0174108</v>
      </c>
      <c r="N149">
        <v>1.9557248642172037E-3</v>
      </c>
      <c r="O149">
        <v>-8.507973645006961E-2</v>
      </c>
      <c r="P149" s="1" t="str">
        <f>HYPERLINK(".\sm_car_260705_0424\sm_car_260705_0424_148_Ca195TrN_MaMPK_DrSt_ode23t_1.png","figure")</f>
        <v>figure</v>
      </c>
      <c r="Q149" t="s">
        <v>15</v>
      </c>
    </row>
    <row r="150" spans="1:17" x14ac:dyDescent="0.25">
      <c r="A150">
        <v>149</v>
      </c>
      <c r="B150">
        <v>195</v>
      </c>
      <c r="C150" t="s">
        <v>45</v>
      </c>
      <c r="D150" t="s">
        <v>58</v>
      </c>
      <c r="E150" t="s">
        <v>107</v>
      </c>
      <c r="F150" t="s">
        <v>19</v>
      </c>
      <c r="G150" t="s">
        <v>26</v>
      </c>
      <c r="H150" t="s">
        <v>21</v>
      </c>
      <c r="I150" t="s">
        <v>56</v>
      </c>
      <c r="J150" t="s">
        <v>148</v>
      </c>
      <c r="K150" t="s">
        <v>23</v>
      </c>
      <c r="L150">
        <v>2926</v>
      </c>
      <c r="M150">
        <v>38.917681399999999</v>
      </c>
      <c r="N150">
        <v>0.774180278586174</v>
      </c>
      <c r="O150">
        <v>-0.36221863436089891</v>
      </c>
      <c r="P150" s="1" t="str">
        <f>HYPERLINK(".\sm_car_260705_0424\sm_car_260705_0424_149_Ca195TrN_MaMPC_DrSt_ode23t_1.png","figure")</f>
        <v>figure</v>
      </c>
      <c r="Q150" t="s">
        <v>15</v>
      </c>
    </row>
    <row r="151" spans="1:17" x14ac:dyDescent="0.25">
      <c r="A151">
        <v>150</v>
      </c>
      <c r="B151">
        <v>195</v>
      </c>
      <c r="C151" t="s">
        <v>45</v>
      </c>
      <c r="D151" t="s">
        <v>58</v>
      </c>
      <c r="E151" t="s">
        <v>107</v>
      </c>
      <c r="F151" t="s">
        <v>19</v>
      </c>
      <c r="G151" t="s">
        <v>26</v>
      </c>
      <c r="H151" t="s">
        <v>21</v>
      </c>
      <c r="I151" t="s">
        <v>56</v>
      </c>
      <c r="J151" t="s">
        <v>149</v>
      </c>
      <c r="K151" t="s">
        <v>23</v>
      </c>
      <c r="L151">
        <v>3374</v>
      </c>
      <c r="M151">
        <v>45.619369900000002</v>
      </c>
      <c r="N151">
        <v>0.78833239754914608</v>
      </c>
      <c r="O151">
        <v>2.5165669241250171E-2</v>
      </c>
      <c r="P151" s="1" t="str">
        <f>HYPERLINK(".\sm_car_260705_0424\sm_car_260705_0424_150_Ca195TrN_MaMPC_DrSt_ode23t_1.png","figure")</f>
        <v>figure</v>
      </c>
      <c r="Q151" t="s">
        <v>15</v>
      </c>
    </row>
    <row r="152" spans="1:17" x14ac:dyDescent="0.25">
      <c r="A152">
        <v>151</v>
      </c>
      <c r="B152">
        <v>198</v>
      </c>
      <c r="C152" t="s">
        <v>105</v>
      </c>
      <c r="D152" t="s">
        <v>120</v>
      </c>
      <c r="E152" t="s">
        <v>107</v>
      </c>
      <c r="F152" t="s">
        <v>19</v>
      </c>
      <c r="G152" t="s">
        <v>20</v>
      </c>
      <c r="H152" t="s">
        <v>21</v>
      </c>
      <c r="I152" t="s">
        <v>55</v>
      </c>
      <c r="J152" t="s">
        <v>148</v>
      </c>
      <c r="K152" t="s">
        <v>23</v>
      </c>
      <c r="L152">
        <v>2278</v>
      </c>
      <c r="M152">
        <v>32.991133699999999</v>
      </c>
      <c r="N152">
        <v>-8.5735388843032195E-3</v>
      </c>
      <c r="O152">
        <v>-0.7430773875855452</v>
      </c>
      <c r="P152" s="1" t="str">
        <f>HYPERLINK(".\sm_car_260705_0424\sm_car_260705_0424_151_Ca198TrN_MaMPK_DrSt_ode23t_1.png","figure")</f>
        <v>figure</v>
      </c>
      <c r="Q152" t="s">
        <v>15</v>
      </c>
    </row>
    <row r="153" spans="1:17" x14ac:dyDescent="0.25">
      <c r="A153">
        <v>152</v>
      </c>
      <c r="B153">
        <v>198</v>
      </c>
      <c r="C153" t="s">
        <v>105</v>
      </c>
      <c r="D153" t="s">
        <v>120</v>
      </c>
      <c r="E153" t="s">
        <v>107</v>
      </c>
      <c r="F153" t="s">
        <v>19</v>
      </c>
      <c r="G153" t="s">
        <v>20</v>
      </c>
      <c r="H153" t="s">
        <v>21</v>
      </c>
      <c r="I153" t="s">
        <v>55</v>
      </c>
      <c r="J153" t="s">
        <v>149</v>
      </c>
      <c r="K153" t="s">
        <v>23</v>
      </c>
      <c r="L153">
        <v>2550</v>
      </c>
      <c r="M153">
        <v>32.932456000000002</v>
      </c>
      <c r="N153">
        <v>-8.4844534785731007E-3</v>
      </c>
      <c r="O153">
        <v>-3.0452399384162741E-2</v>
      </c>
      <c r="P153" s="1" t="str">
        <f>HYPERLINK(".\sm_car_260705_0424\sm_car_260705_0424_152_Ca198TrN_MaMPK_DrSt_ode23t_1.png","figure")</f>
        <v>figure</v>
      </c>
      <c r="Q153" t="s">
        <v>15</v>
      </c>
    </row>
    <row r="154" spans="1:17" x14ac:dyDescent="0.25">
      <c r="A154">
        <v>153</v>
      </c>
      <c r="B154">
        <v>198</v>
      </c>
      <c r="C154" t="s">
        <v>105</v>
      </c>
      <c r="D154" t="s">
        <v>120</v>
      </c>
      <c r="E154" t="s">
        <v>107</v>
      </c>
      <c r="F154" t="s">
        <v>19</v>
      </c>
      <c r="G154" t="s">
        <v>20</v>
      </c>
      <c r="H154" t="s">
        <v>21</v>
      </c>
      <c r="I154" t="s">
        <v>56</v>
      </c>
      <c r="J154" t="s">
        <v>148</v>
      </c>
      <c r="K154" t="s">
        <v>23</v>
      </c>
      <c r="L154">
        <v>2088</v>
      </c>
      <c r="M154">
        <v>30.489746100000001</v>
      </c>
      <c r="N154">
        <v>0.78665783735535832</v>
      </c>
      <c r="O154">
        <v>-0.3379542418854885</v>
      </c>
      <c r="P154" s="1" t="str">
        <f>HYPERLINK(".\sm_car_260705_0424\sm_car_260705_0424_153_Ca198TrN_MaMPC_DrSt_ode23t_1.png","figure")</f>
        <v>figure</v>
      </c>
      <c r="Q154" t="s">
        <v>15</v>
      </c>
    </row>
    <row r="155" spans="1:17" x14ac:dyDescent="0.25">
      <c r="A155">
        <v>154</v>
      </c>
      <c r="B155">
        <v>198</v>
      </c>
      <c r="C155" t="s">
        <v>105</v>
      </c>
      <c r="D155" t="s">
        <v>120</v>
      </c>
      <c r="E155" t="s">
        <v>107</v>
      </c>
      <c r="F155" t="s">
        <v>19</v>
      </c>
      <c r="G155" t="s">
        <v>20</v>
      </c>
      <c r="H155" t="s">
        <v>21</v>
      </c>
      <c r="I155" t="s">
        <v>56</v>
      </c>
      <c r="J155" t="s">
        <v>149</v>
      </c>
      <c r="K155" t="s">
        <v>23</v>
      </c>
      <c r="L155">
        <v>2149</v>
      </c>
      <c r="M155">
        <v>30.7500863</v>
      </c>
      <c r="N155">
        <v>0.77998998413238141</v>
      </c>
      <c r="O155">
        <v>-8.2058491760213209E-2</v>
      </c>
      <c r="P155" s="1" t="str">
        <f>HYPERLINK(".\sm_car_260705_0424\sm_car_260705_0424_154_Ca198TrN_MaMPC_DrSt_ode23t_1.png","figure")</f>
        <v>figure</v>
      </c>
      <c r="Q155" t="s">
        <v>15</v>
      </c>
    </row>
    <row r="156" spans="1:17" x14ac:dyDescent="0.25">
      <c r="A156">
        <v>155</v>
      </c>
      <c r="B156">
        <v>151</v>
      </c>
      <c r="C156" t="s">
        <v>16</v>
      </c>
      <c r="D156" t="s">
        <v>17</v>
      </c>
      <c r="E156" t="s">
        <v>18</v>
      </c>
      <c r="F156" t="s">
        <v>19</v>
      </c>
      <c r="G156" t="s">
        <v>59</v>
      </c>
      <c r="H156" t="s">
        <v>21</v>
      </c>
      <c r="I156" t="s">
        <v>24</v>
      </c>
      <c r="J156" t="s">
        <v>148</v>
      </c>
      <c r="K156" t="s">
        <v>23</v>
      </c>
      <c r="L156">
        <v>503</v>
      </c>
      <c r="M156">
        <v>11.3720979</v>
      </c>
      <c r="N156">
        <v>72.158573474040494</v>
      </c>
      <c r="O156">
        <v>-0.79112498998053571</v>
      </c>
      <c r="P156" s="1" t="str">
        <f>HYPERLINK(".\sm_car_260705_0424\sm_car_260705_0424_155_Ca151TrN_MaLSS_DrSt_ode23t_1.png","figure")</f>
        <v>figure</v>
      </c>
      <c r="Q156" t="s">
        <v>15</v>
      </c>
    </row>
    <row r="157" spans="1:17" x14ac:dyDescent="0.25">
      <c r="A157">
        <v>156</v>
      </c>
      <c r="B157">
        <v>152</v>
      </c>
      <c r="C157" t="s">
        <v>16</v>
      </c>
      <c r="D157" t="s">
        <v>17</v>
      </c>
      <c r="E157" t="s">
        <v>18</v>
      </c>
      <c r="F157" t="s">
        <v>19</v>
      </c>
      <c r="G157" t="s">
        <v>60</v>
      </c>
      <c r="H157" t="s">
        <v>21</v>
      </c>
      <c r="I157" t="s">
        <v>24</v>
      </c>
      <c r="J157" t="s">
        <v>148</v>
      </c>
      <c r="K157" t="s">
        <v>23</v>
      </c>
      <c r="L157">
        <v>529</v>
      </c>
      <c r="M157">
        <v>12.5962405</v>
      </c>
      <c r="N157">
        <v>70.582489448570342</v>
      </c>
      <c r="O157">
        <v>-0.52552702890225911</v>
      </c>
      <c r="P157" s="1" t="str">
        <f>HYPERLINK(".\sm_car_260705_0424\sm_car_260705_0424_156_Ca152TrN_MaLSS_DrSt_ode23t_1.png","figure")</f>
        <v>figure</v>
      </c>
      <c r="Q157" t="s">
        <v>15</v>
      </c>
    </row>
    <row r="158" spans="1:17" x14ac:dyDescent="0.25">
      <c r="A158">
        <v>157</v>
      </c>
      <c r="B158">
        <v>153</v>
      </c>
      <c r="C158" t="s">
        <v>16</v>
      </c>
      <c r="D158" t="s">
        <v>17</v>
      </c>
      <c r="E158" t="s">
        <v>18</v>
      </c>
      <c r="F158" t="s">
        <v>19</v>
      </c>
      <c r="G158" t="s">
        <v>61</v>
      </c>
      <c r="H158" t="s">
        <v>21</v>
      </c>
      <c r="I158" t="s">
        <v>24</v>
      </c>
      <c r="J158" t="s">
        <v>148</v>
      </c>
      <c r="K158" t="s">
        <v>23</v>
      </c>
      <c r="L158">
        <v>545</v>
      </c>
      <c r="M158">
        <v>14.392255499999999</v>
      </c>
      <c r="N158">
        <v>70.430649948222495</v>
      </c>
      <c r="O158">
        <v>-0.86290032781101922</v>
      </c>
      <c r="P158" s="1" t="str">
        <f>HYPERLINK(".\sm_car_260705_0424\sm_car_260705_0424_157_Ca153TrN_MaLSS_DrSt_ode23t_1.png","figure")</f>
        <v>figure</v>
      </c>
      <c r="Q158" t="s">
        <v>15</v>
      </c>
    </row>
    <row r="159" spans="1:17" x14ac:dyDescent="0.25">
      <c r="A159">
        <v>158</v>
      </c>
      <c r="B159">
        <v>154</v>
      </c>
      <c r="C159" t="s">
        <v>16</v>
      </c>
      <c r="D159" t="s">
        <v>17</v>
      </c>
      <c r="E159" t="s">
        <v>18</v>
      </c>
      <c r="F159" t="s">
        <v>19</v>
      </c>
      <c r="G159" t="s">
        <v>108</v>
      </c>
      <c r="H159" t="s">
        <v>21</v>
      </c>
      <c r="I159" t="s">
        <v>24</v>
      </c>
      <c r="J159" t="s">
        <v>148</v>
      </c>
      <c r="K159" t="s">
        <v>23</v>
      </c>
      <c r="L159">
        <v>500</v>
      </c>
      <c r="M159">
        <v>16.6155534</v>
      </c>
      <c r="N159">
        <v>70.607147016675427</v>
      </c>
      <c r="O159">
        <v>-0.3557601453719117</v>
      </c>
      <c r="P159" s="1" t="str">
        <f>HYPERLINK(".\sm_car_260705_0424\sm_car_260705_0424_158_Ca154TrN_MaLSS_DrSt_ode23t_1.png","figure")</f>
        <v>figure</v>
      </c>
      <c r="Q159" t="s">
        <v>15</v>
      </c>
    </row>
    <row r="160" spans="1:17" x14ac:dyDescent="0.25">
      <c r="A160">
        <v>159</v>
      </c>
      <c r="B160">
        <v>155</v>
      </c>
      <c r="C160" t="s">
        <v>16</v>
      </c>
      <c r="D160" t="s">
        <v>17</v>
      </c>
      <c r="E160" t="s">
        <v>18</v>
      </c>
      <c r="F160" t="s">
        <v>19</v>
      </c>
      <c r="G160" t="s">
        <v>62</v>
      </c>
      <c r="H160" t="s">
        <v>21</v>
      </c>
      <c r="I160" t="s">
        <v>24</v>
      </c>
      <c r="J160" t="s">
        <v>148</v>
      </c>
      <c r="K160" t="s">
        <v>23</v>
      </c>
      <c r="L160">
        <v>548</v>
      </c>
      <c r="M160">
        <v>17.697889799999999</v>
      </c>
      <c r="N160">
        <v>70.460357685160901</v>
      </c>
      <c r="O160">
        <v>-0.83356471992057513</v>
      </c>
      <c r="P160" s="1" t="str">
        <f>HYPERLINK(".\sm_car_260705_0424\sm_car_260705_0424_159_Ca155TrN_MaLSS_DrSt_ode23t_1.png","figure")</f>
        <v>figure</v>
      </c>
      <c r="Q160" t="s">
        <v>15</v>
      </c>
    </row>
    <row r="161" spans="1:17" x14ac:dyDescent="0.25">
      <c r="A161">
        <v>160</v>
      </c>
      <c r="B161">
        <v>4</v>
      </c>
      <c r="C161" t="s">
        <v>16</v>
      </c>
      <c r="D161" t="s">
        <v>17</v>
      </c>
      <c r="E161" t="s">
        <v>18</v>
      </c>
      <c r="F161" t="s">
        <v>28</v>
      </c>
      <c r="G161" t="s">
        <v>188</v>
      </c>
      <c r="H161" t="s">
        <v>21</v>
      </c>
      <c r="I161" t="s">
        <v>22</v>
      </c>
      <c r="J161" t="s">
        <v>148</v>
      </c>
      <c r="K161" t="s">
        <v>63</v>
      </c>
      <c r="L161">
        <v>3247</v>
      </c>
      <c r="M161">
        <v>8.6254460000000002</v>
      </c>
      <c r="N161">
        <v>230.12391721786827</v>
      </c>
      <c r="O161">
        <v>-2.7190338637773392E-3</v>
      </c>
      <c r="P161" s="1" t="str">
        <f>HYPERLINK(".\sm_car_260705_0424\sm_car_260705_0424_160_Ca004TrN_MaWOT_DrSt_ode3_1.png","figure")</f>
        <v>figure</v>
      </c>
      <c r="Q161" t="s">
        <v>15</v>
      </c>
    </row>
    <row r="162" spans="1:17" x14ac:dyDescent="0.25">
      <c r="A162">
        <v>161</v>
      </c>
      <c r="B162">
        <v>4</v>
      </c>
      <c r="C162" t="s">
        <v>16</v>
      </c>
      <c r="D162" t="s">
        <v>17</v>
      </c>
      <c r="E162" t="s">
        <v>18</v>
      </c>
      <c r="F162" t="s">
        <v>28</v>
      </c>
      <c r="G162" t="s">
        <v>188</v>
      </c>
      <c r="H162" t="s">
        <v>21</v>
      </c>
      <c r="I162" t="s">
        <v>24</v>
      </c>
      <c r="J162" t="s">
        <v>148</v>
      </c>
      <c r="K162" t="s">
        <v>63</v>
      </c>
      <c r="L162">
        <v>2564</v>
      </c>
      <c r="M162">
        <v>7.0194051000000002</v>
      </c>
      <c r="N162">
        <v>70.877460183569553</v>
      </c>
      <c r="O162">
        <v>-0.53377972266774365</v>
      </c>
      <c r="P162" s="1" t="str">
        <f>HYPERLINK(".\sm_car_260705_0424\sm_car_260705_0424_161_Ca004TrN_MaLSS_DrSt_ode3_1.png","figure")</f>
        <v>figure</v>
      </c>
      <c r="Q162" t="s">
        <v>15</v>
      </c>
    </row>
    <row r="163" spans="1:17" x14ac:dyDescent="0.25">
      <c r="A163">
        <v>162</v>
      </c>
      <c r="B163">
        <v>4</v>
      </c>
      <c r="C163" t="s">
        <v>16</v>
      </c>
      <c r="D163" t="s">
        <v>17</v>
      </c>
      <c r="E163" t="s">
        <v>18</v>
      </c>
      <c r="F163" t="s">
        <v>28</v>
      </c>
      <c r="G163" t="s">
        <v>188</v>
      </c>
      <c r="H163" t="s">
        <v>21</v>
      </c>
      <c r="I163" t="s">
        <v>64</v>
      </c>
      <c r="J163" t="s">
        <v>148</v>
      </c>
      <c r="K163" t="s">
        <v>63</v>
      </c>
      <c r="L163">
        <v>2562</v>
      </c>
      <c r="M163">
        <v>7.3450844999999996</v>
      </c>
      <c r="N163">
        <v>63.517181708669909</v>
      </c>
      <c r="O163">
        <v>-24.808510950198681</v>
      </c>
      <c r="P163" s="1" t="str">
        <f>HYPERLINK(".\sm_car_260705_0424\sm_car_260705_0424_162_Ca004TrN_MaTUR_DrSt_ode3_1.png","figure")</f>
        <v>figure</v>
      </c>
      <c r="Q163" t="s">
        <v>15</v>
      </c>
    </row>
    <row r="164" spans="1:17" x14ac:dyDescent="0.25">
      <c r="A164">
        <v>163</v>
      </c>
      <c r="B164">
        <v>116</v>
      </c>
      <c r="C164" t="s">
        <v>16</v>
      </c>
      <c r="D164" t="s">
        <v>35</v>
      </c>
      <c r="E164" t="s">
        <v>18</v>
      </c>
      <c r="F164" t="s">
        <v>28</v>
      </c>
      <c r="G164" t="s">
        <v>188</v>
      </c>
      <c r="H164" t="s">
        <v>21</v>
      </c>
      <c r="I164" t="s">
        <v>22</v>
      </c>
      <c r="J164" t="s">
        <v>148</v>
      </c>
      <c r="K164" t="s">
        <v>63</v>
      </c>
      <c r="L164">
        <v>3244</v>
      </c>
      <c r="M164">
        <v>4.2398093000000001</v>
      </c>
      <c r="N164">
        <v>242.69607452495515</v>
      </c>
      <c r="O164">
        <v>0.2363544606825817</v>
      </c>
      <c r="P164" s="1" t="str">
        <f>HYPERLINK(".\sm_car_260705_0424\sm_car_260705_0424_163_Ca116TrN_MaWOT_DrSt_ode3_1.png","figure")</f>
        <v>figure</v>
      </c>
      <c r="Q164" t="s">
        <v>15</v>
      </c>
    </row>
    <row r="165" spans="1:17" x14ac:dyDescent="0.25">
      <c r="A165">
        <v>164</v>
      </c>
      <c r="B165">
        <v>116</v>
      </c>
      <c r="C165" t="s">
        <v>16</v>
      </c>
      <c r="D165" t="s">
        <v>35</v>
      </c>
      <c r="E165" t="s">
        <v>18</v>
      </c>
      <c r="F165" t="s">
        <v>28</v>
      </c>
      <c r="G165" t="s">
        <v>188</v>
      </c>
      <c r="H165" t="s">
        <v>21</v>
      </c>
      <c r="I165" t="s">
        <v>24</v>
      </c>
      <c r="J165" t="s">
        <v>148</v>
      </c>
      <c r="K165" t="s">
        <v>63</v>
      </c>
      <c r="L165">
        <v>2564</v>
      </c>
      <c r="M165">
        <v>3.1917192999999999</v>
      </c>
      <c r="N165">
        <v>74.657190781020958</v>
      </c>
      <c r="O165">
        <v>-0.3407582447130062</v>
      </c>
      <c r="P165" s="1" t="str">
        <f>HYPERLINK(".\sm_car_260705_0424\sm_car_260705_0424_164_Ca116TrN_MaLSS_DrSt_ode3_1.png","figure")</f>
        <v>figure</v>
      </c>
      <c r="Q165" t="s">
        <v>15</v>
      </c>
    </row>
    <row r="166" spans="1:17" x14ac:dyDescent="0.25">
      <c r="A166">
        <v>165</v>
      </c>
      <c r="B166">
        <v>116</v>
      </c>
      <c r="C166" t="s">
        <v>16</v>
      </c>
      <c r="D166" t="s">
        <v>35</v>
      </c>
      <c r="E166" t="s">
        <v>18</v>
      </c>
      <c r="F166" t="s">
        <v>28</v>
      </c>
      <c r="G166" t="s">
        <v>188</v>
      </c>
      <c r="H166" t="s">
        <v>21</v>
      </c>
      <c r="I166" t="s">
        <v>64</v>
      </c>
      <c r="J166" t="s">
        <v>148</v>
      </c>
      <c r="K166" t="s">
        <v>63</v>
      </c>
      <c r="L166">
        <v>2563</v>
      </c>
      <c r="M166">
        <v>3.4051977999999998</v>
      </c>
      <c r="N166">
        <v>71.322015482827737</v>
      </c>
      <c r="O166">
        <v>-17.590329133627819</v>
      </c>
      <c r="P166" s="1" t="str">
        <f>HYPERLINK(".\sm_car_260705_0424\sm_car_260705_0424_165_Ca116TrN_MaTUR_DrSt_ode3_1.png","figure")</f>
        <v>figure</v>
      </c>
      <c r="Q166" t="s">
        <v>15</v>
      </c>
    </row>
    <row r="167" spans="1:17" x14ac:dyDescent="0.25">
      <c r="A167">
        <v>166</v>
      </c>
      <c r="B167">
        <v>124</v>
      </c>
      <c r="C167" t="s">
        <v>16</v>
      </c>
      <c r="D167" t="s">
        <v>35</v>
      </c>
      <c r="E167" t="s">
        <v>49</v>
      </c>
      <c r="F167" t="s">
        <v>28</v>
      </c>
      <c r="G167" t="s">
        <v>188</v>
      </c>
      <c r="H167" t="s">
        <v>21</v>
      </c>
      <c r="I167" t="s">
        <v>22</v>
      </c>
      <c r="J167" t="s">
        <v>148</v>
      </c>
      <c r="K167" t="s">
        <v>63</v>
      </c>
      <c r="L167">
        <v>3244</v>
      </c>
      <c r="M167">
        <v>2.2128752</v>
      </c>
      <c r="N167">
        <v>242.87242715532983</v>
      </c>
      <c r="O167">
        <v>0.23615865807342021</v>
      </c>
      <c r="P167" s="1" t="str">
        <f>HYPERLINK(".\sm_car_260705_0424\sm_car_260705_0424_166_Ca124TrN_MaWOT_DrSt_ode3_1.png","figure")</f>
        <v>figure</v>
      </c>
      <c r="Q167" t="s">
        <v>15</v>
      </c>
    </row>
    <row r="168" spans="1:17" x14ac:dyDescent="0.25">
      <c r="A168">
        <v>167</v>
      </c>
      <c r="B168">
        <v>124</v>
      </c>
      <c r="C168" t="s">
        <v>16</v>
      </c>
      <c r="D168" t="s">
        <v>35</v>
      </c>
      <c r="E168" t="s">
        <v>49</v>
      </c>
      <c r="F168" t="s">
        <v>28</v>
      </c>
      <c r="G168" t="s">
        <v>188</v>
      </c>
      <c r="H168" t="s">
        <v>21</v>
      </c>
      <c r="I168" t="s">
        <v>24</v>
      </c>
      <c r="J168" t="s">
        <v>148</v>
      </c>
      <c r="K168" t="s">
        <v>63</v>
      </c>
      <c r="L168">
        <v>2565</v>
      </c>
      <c r="M168">
        <v>2.0659692999999999</v>
      </c>
      <c r="N168">
        <v>74.796106047635263</v>
      </c>
      <c r="O168">
        <v>-0.34233746036970669</v>
      </c>
      <c r="P168" s="1" t="str">
        <f>HYPERLINK(".\sm_car_260705_0424\sm_car_260705_0424_167_Ca124TrN_MaLSS_DrSt_ode3_1.png","figure")</f>
        <v>figure</v>
      </c>
      <c r="Q168" t="s">
        <v>15</v>
      </c>
    </row>
    <row r="169" spans="1:17" x14ac:dyDescent="0.25">
      <c r="A169">
        <v>168</v>
      </c>
      <c r="B169">
        <v>124</v>
      </c>
      <c r="C169" t="s">
        <v>16</v>
      </c>
      <c r="D169" t="s">
        <v>35</v>
      </c>
      <c r="E169" t="s">
        <v>49</v>
      </c>
      <c r="F169" t="s">
        <v>28</v>
      </c>
      <c r="G169" t="s">
        <v>188</v>
      </c>
      <c r="H169" t="s">
        <v>21</v>
      </c>
      <c r="I169" t="s">
        <v>64</v>
      </c>
      <c r="J169" t="s">
        <v>148</v>
      </c>
      <c r="K169" t="s">
        <v>63</v>
      </c>
      <c r="L169">
        <v>2564</v>
      </c>
      <c r="M169">
        <v>1.8000963999999999</v>
      </c>
      <c r="N169">
        <v>71.447408148581204</v>
      </c>
      <c r="O169">
        <v>-17.636376331807366</v>
      </c>
      <c r="P169" s="1" t="str">
        <f>HYPERLINK(".\sm_car_260705_0424\sm_car_260705_0424_168_Ca124TrN_MaTUR_DrSt_ode3_1.png","figure")</f>
        <v>figure</v>
      </c>
      <c r="Q169" t="s">
        <v>15</v>
      </c>
    </row>
    <row r="170" spans="1:17" x14ac:dyDescent="0.25">
      <c r="A170">
        <v>169</v>
      </c>
      <c r="B170">
        <v>141</v>
      </c>
      <c r="C170" t="s">
        <v>45</v>
      </c>
      <c r="D170" t="s">
        <v>17</v>
      </c>
      <c r="E170" t="s">
        <v>18</v>
      </c>
      <c r="F170" t="s">
        <v>28</v>
      </c>
      <c r="G170" t="s">
        <v>26</v>
      </c>
      <c r="H170" t="s">
        <v>21</v>
      </c>
      <c r="I170" t="s">
        <v>22</v>
      </c>
      <c r="J170" t="s">
        <v>148</v>
      </c>
      <c r="K170" t="s">
        <v>63</v>
      </c>
      <c r="L170">
        <v>3839</v>
      </c>
      <c r="M170">
        <v>12.164912299999999</v>
      </c>
      <c r="N170">
        <v>402.30863495617422</v>
      </c>
      <c r="O170">
        <v>1.6338397315292668</v>
      </c>
      <c r="P170" s="1" t="str">
        <f>HYPERLINK(".\sm_car_260705_0424\sm_car_260705_0424_169_Ca141TrN_MaWOT_DrSt_ode3_1.png","figure")</f>
        <v>figure</v>
      </c>
      <c r="Q170" t="s">
        <v>15</v>
      </c>
    </row>
    <row r="171" spans="1:17" x14ac:dyDescent="0.25">
      <c r="A171">
        <v>170</v>
      </c>
      <c r="B171">
        <v>141</v>
      </c>
      <c r="C171" t="s">
        <v>45</v>
      </c>
      <c r="D171" t="s">
        <v>17</v>
      </c>
      <c r="E171" t="s">
        <v>18</v>
      </c>
      <c r="F171" t="s">
        <v>28</v>
      </c>
      <c r="G171" t="s">
        <v>26</v>
      </c>
      <c r="H171" t="s">
        <v>21</v>
      </c>
      <c r="I171" t="s">
        <v>24</v>
      </c>
      <c r="J171" t="s">
        <v>148</v>
      </c>
      <c r="K171" t="s">
        <v>63</v>
      </c>
      <c r="L171">
        <v>3192</v>
      </c>
      <c r="M171">
        <v>10.2840664</v>
      </c>
      <c r="N171">
        <v>153.16103252931833</v>
      </c>
      <c r="O171">
        <v>-0.57333301644331658</v>
      </c>
      <c r="P171" s="1" t="str">
        <f>HYPERLINK(".\sm_car_260705_0424\sm_car_260705_0424_170_Ca141TrN_MaLSS_DrSt_ode3_1.png","figure")</f>
        <v>figure</v>
      </c>
      <c r="Q171" t="s">
        <v>15</v>
      </c>
    </row>
    <row r="172" spans="1:17" x14ac:dyDescent="0.25">
      <c r="A172">
        <v>171</v>
      </c>
      <c r="B172">
        <v>141</v>
      </c>
      <c r="C172" t="s">
        <v>45</v>
      </c>
      <c r="D172" t="s">
        <v>17</v>
      </c>
      <c r="E172" t="s">
        <v>18</v>
      </c>
      <c r="F172" t="s">
        <v>28</v>
      </c>
      <c r="G172" t="s">
        <v>26</v>
      </c>
      <c r="H172" t="s">
        <v>21</v>
      </c>
      <c r="I172" t="s">
        <v>64</v>
      </c>
      <c r="J172" t="s">
        <v>148</v>
      </c>
      <c r="K172" t="s">
        <v>63</v>
      </c>
      <c r="L172">
        <v>3161</v>
      </c>
      <c r="M172">
        <v>10.1540166</v>
      </c>
      <c r="N172">
        <v>98.182502301574189</v>
      </c>
      <c r="O172">
        <v>-86.478323075534789</v>
      </c>
      <c r="P172" s="1" t="str">
        <f>HYPERLINK(".\sm_car_260705_0424\sm_car_260705_0424_171_Ca141TrN_MaTUR_DrSt_ode3_1.png","figure")</f>
        <v>figure</v>
      </c>
      <c r="Q172" t="s">
        <v>15</v>
      </c>
    </row>
    <row r="173" spans="1:17" x14ac:dyDescent="0.25">
      <c r="A173">
        <v>172</v>
      </c>
      <c r="B173">
        <v>145</v>
      </c>
      <c r="C173" t="s">
        <v>46</v>
      </c>
      <c r="D173" t="s">
        <v>17</v>
      </c>
      <c r="E173" t="s">
        <v>50</v>
      </c>
      <c r="F173" t="s">
        <v>19</v>
      </c>
      <c r="G173" t="s">
        <v>26</v>
      </c>
      <c r="H173" t="s">
        <v>21</v>
      </c>
      <c r="I173" t="s">
        <v>22</v>
      </c>
      <c r="J173" t="s">
        <v>148</v>
      </c>
      <c r="K173" t="s">
        <v>63</v>
      </c>
      <c r="L173">
        <v>2642</v>
      </c>
      <c r="M173">
        <v>7.1750205999999999</v>
      </c>
      <c r="N173">
        <v>62.801313298608221</v>
      </c>
      <c r="O173">
        <v>1.2893842335469084E-2</v>
      </c>
      <c r="P173" s="1" t="str">
        <f>HYPERLINK(".\sm_car_260705_0424\sm_car_260705_0424_172_Ca145TrN_MaWOT_DrSt_ode3_1.png","figure")</f>
        <v>figure</v>
      </c>
      <c r="Q173" t="s">
        <v>15</v>
      </c>
    </row>
    <row r="174" spans="1:17" x14ac:dyDescent="0.25">
      <c r="A174">
        <v>173</v>
      </c>
      <c r="B174">
        <v>145</v>
      </c>
      <c r="C174" t="s">
        <v>46</v>
      </c>
      <c r="D174" t="s">
        <v>17</v>
      </c>
      <c r="E174" t="s">
        <v>50</v>
      </c>
      <c r="F174" t="s">
        <v>19</v>
      </c>
      <c r="G174" t="s">
        <v>26</v>
      </c>
      <c r="H174" t="s">
        <v>21</v>
      </c>
      <c r="I174" t="s">
        <v>24</v>
      </c>
      <c r="J174" t="s">
        <v>148</v>
      </c>
      <c r="K174" t="s">
        <v>63</v>
      </c>
      <c r="L174">
        <v>2382</v>
      </c>
      <c r="M174">
        <v>6.4269755999999996</v>
      </c>
      <c r="N174">
        <v>25.299765577118411</v>
      </c>
      <c r="O174">
        <v>-5.1070003004616386E-2</v>
      </c>
      <c r="P174" s="1" t="str">
        <f>HYPERLINK(".\sm_car_260705_0424\sm_car_260705_0424_173_Ca145TrN_MaLSS_DrSt_ode3_1.png","figure")</f>
        <v>figure</v>
      </c>
      <c r="Q174" t="s">
        <v>15</v>
      </c>
    </row>
    <row r="175" spans="1:17" x14ac:dyDescent="0.25">
      <c r="A175">
        <v>174</v>
      </c>
      <c r="B175">
        <v>145</v>
      </c>
      <c r="C175" t="s">
        <v>46</v>
      </c>
      <c r="D175" t="s">
        <v>17</v>
      </c>
      <c r="E175" t="s">
        <v>50</v>
      </c>
      <c r="F175" t="s">
        <v>19</v>
      </c>
      <c r="G175" t="s">
        <v>26</v>
      </c>
      <c r="H175" t="s">
        <v>21</v>
      </c>
      <c r="I175" t="s">
        <v>64</v>
      </c>
      <c r="J175" t="s">
        <v>148</v>
      </c>
      <c r="K175" t="s">
        <v>63</v>
      </c>
      <c r="L175">
        <v>2379</v>
      </c>
      <c r="M175">
        <v>6.4815866</v>
      </c>
      <c r="N175">
        <v>25.119346970662672</v>
      </c>
      <c r="O175">
        <v>-2.6098494503383183</v>
      </c>
      <c r="P175" s="1" t="str">
        <f>HYPERLINK(".\sm_car_260705_0424\sm_car_260705_0424_174_Ca145TrN_MaTUR_DrSt_ode3_1.png","figure")</f>
        <v>figure</v>
      </c>
      <c r="Q175" t="s">
        <v>15</v>
      </c>
    </row>
    <row r="176" spans="1:17" x14ac:dyDescent="0.25">
      <c r="A176">
        <v>175</v>
      </c>
      <c r="B176">
        <v>199</v>
      </c>
      <c r="C176" t="s">
        <v>46</v>
      </c>
      <c r="D176" t="s">
        <v>17</v>
      </c>
      <c r="E176" t="s">
        <v>109</v>
      </c>
      <c r="F176" t="s">
        <v>19</v>
      </c>
      <c r="G176" t="s">
        <v>26</v>
      </c>
      <c r="H176" t="s">
        <v>21</v>
      </c>
      <c r="I176" t="s">
        <v>22</v>
      </c>
      <c r="J176" t="s">
        <v>148</v>
      </c>
      <c r="K176" t="s">
        <v>63</v>
      </c>
      <c r="L176">
        <v>2647</v>
      </c>
      <c r="M176">
        <v>8.0756931000000005</v>
      </c>
      <c r="N176">
        <v>63.479991086186772</v>
      </c>
      <c r="O176">
        <v>-1.3351542397531919E-4</v>
      </c>
      <c r="P176" s="1" t="str">
        <f>HYPERLINK(".\sm_car_260705_0424\sm_car_260705_0424_175_Ca199TrN_MaWOT_DrSt_ode3_1.png","figure")</f>
        <v>figure</v>
      </c>
      <c r="Q176" t="s">
        <v>15</v>
      </c>
    </row>
    <row r="177" spans="1:17" x14ac:dyDescent="0.25">
      <c r="A177">
        <v>176</v>
      </c>
      <c r="B177">
        <v>199</v>
      </c>
      <c r="C177" t="s">
        <v>46</v>
      </c>
      <c r="D177" t="s">
        <v>17</v>
      </c>
      <c r="E177" t="s">
        <v>109</v>
      </c>
      <c r="F177" t="s">
        <v>19</v>
      </c>
      <c r="G177" t="s">
        <v>26</v>
      </c>
      <c r="H177" t="s">
        <v>21</v>
      </c>
      <c r="I177" t="s">
        <v>24</v>
      </c>
      <c r="J177" t="s">
        <v>148</v>
      </c>
      <c r="K177" t="s">
        <v>63</v>
      </c>
      <c r="L177">
        <v>2385</v>
      </c>
      <c r="M177">
        <v>7.2574959000000003</v>
      </c>
      <c r="N177">
        <v>25.919543247611728</v>
      </c>
      <c r="O177">
        <v>-5.3777383538012799E-2</v>
      </c>
      <c r="P177" s="1" t="str">
        <f>HYPERLINK(".\sm_car_260705_0424\sm_car_260705_0424_176_Ca199TrN_MaLSS_DrSt_ode3_1.png","figure")</f>
        <v>figure</v>
      </c>
      <c r="Q177" t="s">
        <v>15</v>
      </c>
    </row>
    <row r="178" spans="1:17" x14ac:dyDescent="0.25">
      <c r="A178">
        <v>177</v>
      </c>
      <c r="B178">
        <v>199</v>
      </c>
      <c r="C178" t="s">
        <v>46</v>
      </c>
      <c r="D178" t="s">
        <v>17</v>
      </c>
      <c r="E178" t="s">
        <v>109</v>
      </c>
      <c r="F178" t="s">
        <v>19</v>
      </c>
      <c r="G178" t="s">
        <v>26</v>
      </c>
      <c r="H178" t="s">
        <v>21</v>
      </c>
      <c r="I178" t="s">
        <v>64</v>
      </c>
      <c r="J178" t="s">
        <v>148</v>
      </c>
      <c r="K178" t="s">
        <v>63</v>
      </c>
      <c r="L178">
        <v>2383</v>
      </c>
      <c r="M178">
        <v>7.2265569999999997</v>
      </c>
      <c r="N178">
        <v>25.733626918673806</v>
      </c>
      <c r="O178">
        <v>-2.6936807199068045</v>
      </c>
      <c r="P178" s="1" t="str">
        <f>HYPERLINK(".\sm_car_260705_0424\sm_car_260705_0424_177_Ca199TrN_MaTUR_DrSt_ode3_1.png","figure")</f>
        <v>figure</v>
      </c>
      <c r="Q178" t="s">
        <v>15</v>
      </c>
    </row>
    <row r="179" spans="1:17" x14ac:dyDescent="0.25">
      <c r="A179">
        <v>178</v>
      </c>
      <c r="B179">
        <v>139</v>
      </c>
      <c r="C179" t="s">
        <v>45</v>
      </c>
      <c r="D179" t="s">
        <v>17</v>
      </c>
      <c r="E179" t="s">
        <v>18</v>
      </c>
      <c r="F179" t="s">
        <v>19</v>
      </c>
      <c r="G179" t="s">
        <v>26</v>
      </c>
      <c r="H179" t="s">
        <v>21</v>
      </c>
      <c r="I179" t="s">
        <v>53</v>
      </c>
      <c r="J179" t="s">
        <v>148</v>
      </c>
      <c r="K179" t="s">
        <v>23</v>
      </c>
      <c r="L179">
        <v>524</v>
      </c>
      <c r="M179">
        <v>10.605528</v>
      </c>
      <c r="N179">
        <v>253.99676452488802</v>
      </c>
      <c r="O179">
        <v>-8.6149756927254018E-3</v>
      </c>
      <c r="P179" s="1" t="str">
        <f>HYPERLINK(".\sm_car_260705_0424\sm_car_260705_0424_178_Ca139TrN_MaDLC_DrSt_ode23t_1.png","figure")</f>
        <v>figure</v>
      </c>
      <c r="Q179" t="s">
        <v>15</v>
      </c>
    </row>
    <row r="180" spans="1:17" x14ac:dyDescent="0.25">
      <c r="A180">
        <v>179</v>
      </c>
      <c r="B180">
        <v>139</v>
      </c>
      <c r="C180" t="s">
        <v>45</v>
      </c>
      <c r="D180" t="s">
        <v>17</v>
      </c>
      <c r="E180" t="s">
        <v>18</v>
      </c>
      <c r="F180" t="s">
        <v>19</v>
      </c>
      <c r="G180" t="s">
        <v>26</v>
      </c>
      <c r="H180" t="s">
        <v>65</v>
      </c>
      <c r="I180" t="s">
        <v>53</v>
      </c>
      <c r="J180" t="s">
        <v>148</v>
      </c>
      <c r="K180" t="s">
        <v>23</v>
      </c>
      <c r="L180">
        <v>815</v>
      </c>
      <c r="M180">
        <v>31.230942800000001</v>
      </c>
      <c r="N180">
        <v>253.80160384792362</v>
      </c>
      <c r="O180">
        <v>7.3828787203487067E-3</v>
      </c>
      <c r="P180" s="1" t="str">
        <f>HYPERLINK(".\sm_car_260705_0424\sm_car_260705_0424_179_Ca139TrE_MaDLC_DrSt_ode23t_1.png","figure")</f>
        <v>figure</v>
      </c>
      <c r="Q180" t="s">
        <v>15</v>
      </c>
    </row>
    <row r="181" spans="1:17" x14ac:dyDescent="0.25">
      <c r="A181">
        <v>180</v>
      </c>
      <c r="B181">
        <v>139</v>
      </c>
      <c r="C181" t="s">
        <v>45</v>
      </c>
      <c r="D181" t="s">
        <v>17</v>
      </c>
      <c r="E181" t="s">
        <v>18</v>
      </c>
      <c r="F181" t="s">
        <v>19</v>
      </c>
      <c r="G181" t="s">
        <v>26</v>
      </c>
      <c r="H181" t="s">
        <v>66</v>
      </c>
      <c r="I181" t="s">
        <v>53</v>
      </c>
      <c r="J181" t="s">
        <v>148</v>
      </c>
      <c r="K181" t="s">
        <v>23</v>
      </c>
      <c r="L181">
        <v>857</v>
      </c>
      <c r="M181">
        <v>33.113390299999999</v>
      </c>
      <c r="N181">
        <v>256.58900117886174</v>
      </c>
      <c r="O181">
        <v>-6.6800113465834698E-3</v>
      </c>
      <c r="P181" s="1" t="str">
        <f>HYPERLINK(".\sm_car_260705_0424\sm_car_260705_0424_180_Ca139TrT_MaDLC_DrSt_ode23t_1.png","figure")</f>
        <v>figure</v>
      </c>
      <c r="Q181" t="s">
        <v>15</v>
      </c>
    </row>
    <row r="182" spans="1:17" x14ac:dyDescent="0.25">
      <c r="A182">
        <v>181</v>
      </c>
      <c r="B182">
        <v>139</v>
      </c>
      <c r="C182" t="s">
        <v>45</v>
      </c>
      <c r="D182" t="s">
        <v>17</v>
      </c>
      <c r="E182" t="s">
        <v>18</v>
      </c>
      <c r="F182" t="s">
        <v>19</v>
      </c>
      <c r="G182" t="s">
        <v>26</v>
      </c>
      <c r="H182" t="s">
        <v>65</v>
      </c>
      <c r="I182" t="s">
        <v>53</v>
      </c>
      <c r="J182" t="s">
        <v>148</v>
      </c>
      <c r="K182" t="s">
        <v>23</v>
      </c>
      <c r="L182">
        <v>936</v>
      </c>
      <c r="M182">
        <v>27.1252256</v>
      </c>
      <c r="N182">
        <v>253.38042401563018</v>
      </c>
      <c r="O182">
        <v>0.16724169237921149</v>
      </c>
      <c r="P182" s="1" t="str">
        <f>HYPERLINK(".\sm_car_260705_0424\sm_car_260705_0424_181_Ca139TrE_MaDLC_DrSt_ode23t_1.png","figure")</f>
        <v>figure</v>
      </c>
      <c r="Q182" t="s">
        <v>15</v>
      </c>
    </row>
    <row r="183" spans="1:17" x14ac:dyDescent="0.25">
      <c r="A183">
        <v>182</v>
      </c>
      <c r="B183">
        <v>2</v>
      </c>
      <c r="C183" t="s">
        <v>16</v>
      </c>
      <c r="D183" t="s">
        <v>17</v>
      </c>
      <c r="E183" t="s">
        <v>18</v>
      </c>
      <c r="F183" t="s">
        <v>19</v>
      </c>
      <c r="G183" t="s">
        <v>188</v>
      </c>
      <c r="H183" t="s">
        <v>21</v>
      </c>
      <c r="I183" t="s">
        <v>53</v>
      </c>
      <c r="J183" t="s">
        <v>148</v>
      </c>
      <c r="K183" t="s">
        <v>23</v>
      </c>
      <c r="L183">
        <v>527</v>
      </c>
      <c r="M183">
        <v>9.6386679999999991</v>
      </c>
      <c r="N183">
        <v>254.3980921395289</v>
      </c>
      <c r="O183">
        <v>4.309435175936116E-2</v>
      </c>
      <c r="P183" s="1" t="str">
        <f>HYPERLINK(".\sm_car_260705_0424\sm_car_260705_0424_182_Ca002TrN_MaDLC_DrSt_ode23t_1.png","figure")</f>
        <v>figure</v>
      </c>
      <c r="Q183" t="s">
        <v>15</v>
      </c>
    </row>
    <row r="184" spans="1:17" x14ac:dyDescent="0.25">
      <c r="A184">
        <v>183</v>
      </c>
      <c r="B184">
        <v>2</v>
      </c>
      <c r="C184" t="s">
        <v>16</v>
      </c>
      <c r="D184" t="s">
        <v>17</v>
      </c>
      <c r="E184" t="s">
        <v>18</v>
      </c>
      <c r="F184" t="s">
        <v>19</v>
      </c>
      <c r="G184" t="s">
        <v>188</v>
      </c>
      <c r="H184" t="s">
        <v>65</v>
      </c>
      <c r="I184" t="s">
        <v>53</v>
      </c>
      <c r="J184" t="s">
        <v>148</v>
      </c>
      <c r="K184" t="s">
        <v>23</v>
      </c>
      <c r="L184">
        <v>555</v>
      </c>
      <c r="M184">
        <v>20.6111909</v>
      </c>
      <c r="N184">
        <v>255.03264664219012</v>
      </c>
      <c r="O184">
        <v>4.1463938932376543E-2</v>
      </c>
      <c r="P184" s="1" t="str">
        <f>HYPERLINK(".\sm_car_260705_0424\sm_car_260705_0424_183_Ca002TrE_MaDLC_DrSt_ode23t_1.png","figure")</f>
        <v>figure</v>
      </c>
      <c r="Q184" t="s">
        <v>15</v>
      </c>
    </row>
    <row r="185" spans="1:17" x14ac:dyDescent="0.25">
      <c r="A185">
        <v>184</v>
      </c>
      <c r="B185">
        <v>2</v>
      </c>
      <c r="C185" t="s">
        <v>16</v>
      </c>
      <c r="D185" t="s">
        <v>17</v>
      </c>
      <c r="E185" t="s">
        <v>18</v>
      </c>
      <c r="F185" t="s">
        <v>19</v>
      </c>
      <c r="G185" t="s">
        <v>188</v>
      </c>
      <c r="H185" t="s">
        <v>66</v>
      </c>
      <c r="I185" t="s">
        <v>53</v>
      </c>
      <c r="J185" t="s">
        <v>148</v>
      </c>
      <c r="K185" t="s">
        <v>23</v>
      </c>
      <c r="L185">
        <v>857</v>
      </c>
      <c r="M185">
        <v>25.484602200000001</v>
      </c>
      <c r="N185">
        <v>253.4148112528311</v>
      </c>
      <c r="O185">
        <v>4.6705041521387436E-2</v>
      </c>
      <c r="P185" s="1" t="str">
        <f>HYPERLINK(".\sm_car_260705_0424\sm_car_260705_0424_184_Ca002TrT_MaDLC_DrSt_ode23t_1.png","figure")</f>
        <v>figure</v>
      </c>
      <c r="Q185" t="s">
        <v>15</v>
      </c>
    </row>
    <row r="186" spans="1:17" x14ac:dyDescent="0.25">
      <c r="A186">
        <v>185</v>
      </c>
      <c r="B186">
        <v>2</v>
      </c>
      <c r="C186" t="s">
        <v>16</v>
      </c>
      <c r="D186" t="s">
        <v>17</v>
      </c>
      <c r="E186" t="s">
        <v>18</v>
      </c>
      <c r="F186" t="s">
        <v>19</v>
      </c>
      <c r="G186" t="s">
        <v>188</v>
      </c>
      <c r="H186" t="s">
        <v>65</v>
      </c>
      <c r="I186" t="s">
        <v>53</v>
      </c>
      <c r="J186" t="s">
        <v>148</v>
      </c>
      <c r="K186" t="s">
        <v>23</v>
      </c>
      <c r="L186">
        <v>563</v>
      </c>
      <c r="M186">
        <v>13.194120399999999</v>
      </c>
      <c r="N186">
        <v>253.21717308073283</v>
      </c>
      <c r="O186">
        <v>4.8158266585414111E-2</v>
      </c>
      <c r="P186" s="1" t="str">
        <f>HYPERLINK(".\sm_car_260705_0424\sm_car_260705_0424_185_Ca002TrE_MaDLC_DrSt_ode23t_1.png","figure")</f>
        <v>figure</v>
      </c>
      <c r="Q186" t="s">
        <v>15</v>
      </c>
    </row>
    <row r="187" spans="1:17" x14ac:dyDescent="0.25">
      <c r="A187">
        <v>186</v>
      </c>
      <c r="B187">
        <v>145</v>
      </c>
      <c r="C187" t="s">
        <v>46</v>
      </c>
      <c r="D187" t="s">
        <v>17</v>
      </c>
      <c r="E187" t="s">
        <v>50</v>
      </c>
      <c r="F187" t="s">
        <v>19</v>
      </c>
      <c r="G187" t="s">
        <v>26</v>
      </c>
      <c r="H187" t="s">
        <v>21</v>
      </c>
      <c r="I187" t="s">
        <v>53</v>
      </c>
      <c r="J187" t="s">
        <v>148</v>
      </c>
      <c r="K187" t="s">
        <v>23</v>
      </c>
      <c r="L187">
        <v>464</v>
      </c>
      <c r="M187">
        <v>17.008349200000001</v>
      </c>
      <c r="N187">
        <v>253.89788928119884</v>
      </c>
      <c r="O187">
        <v>7.4999592997252229E-2</v>
      </c>
      <c r="P187" s="1" t="str">
        <f>HYPERLINK(".\sm_car_260705_0424\sm_car_260705_0424_186_Ca145TrN_MaDLC_DrSt_ode23t_1.png","figure")</f>
        <v>figure</v>
      </c>
      <c r="Q187" t="s">
        <v>15</v>
      </c>
    </row>
    <row r="188" spans="1:17" x14ac:dyDescent="0.25">
      <c r="A188">
        <v>187</v>
      </c>
      <c r="B188">
        <v>145</v>
      </c>
      <c r="C188" t="s">
        <v>46</v>
      </c>
      <c r="D188" t="s">
        <v>17</v>
      </c>
      <c r="E188" t="s">
        <v>50</v>
      </c>
      <c r="F188" t="s">
        <v>19</v>
      </c>
      <c r="G188" t="s">
        <v>26</v>
      </c>
      <c r="H188" t="s">
        <v>65</v>
      </c>
      <c r="I188" t="s">
        <v>53</v>
      </c>
      <c r="J188" t="s">
        <v>148</v>
      </c>
      <c r="K188" t="s">
        <v>23</v>
      </c>
      <c r="L188">
        <v>571</v>
      </c>
      <c r="M188">
        <v>32.578650799999998</v>
      </c>
      <c r="N188">
        <v>253.78551424782256</v>
      </c>
      <c r="O188">
        <v>7.6159541067355896E-2</v>
      </c>
      <c r="P188" s="1" t="str">
        <f>HYPERLINK(".\sm_car_260705_0424\sm_car_260705_0424_187_Ca145TrE_MaDLC_DrSt_ode23t_1.png","figure")</f>
        <v>figure</v>
      </c>
      <c r="Q188" t="s">
        <v>15</v>
      </c>
    </row>
    <row r="189" spans="1:17" x14ac:dyDescent="0.25">
      <c r="A189">
        <v>188</v>
      </c>
      <c r="B189">
        <v>145</v>
      </c>
      <c r="C189" t="s">
        <v>46</v>
      </c>
      <c r="D189" t="s">
        <v>17</v>
      </c>
      <c r="E189" t="s">
        <v>50</v>
      </c>
      <c r="F189" t="s">
        <v>19</v>
      </c>
      <c r="G189" t="s">
        <v>26</v>
      </c>
      <c r="H189" t="s">
        <v>66</v>
      </c>
      <c r="I189" t="s">
        <v>53</v>
      </c>
      <c r="J189" t="s">
        <v>148</v>
      </c>
      <c r="K189" t="s">
        <v>23</v>
      </c>
      <c r="L189">
        <v>1825</v>
      </c>
      <c r="M189">
        <v>253.32850869999999</v>
      </c>
      <c r="N189">
        <v>255.19981931947939</v>
      </c>
      <c r="O189">
        <v>6.9073493590370738E-2</v>
      </c>
      <c r="P189" s="1" t="str">
        <f>HYPERLINK(".\sm_car_260705_0424\sm_car_260705_0424_188_Ca145TrT_MaDLC_DrSt_ode23t_1.png","figure")</f>
        <v>figure</v>
      </c>
      <c r="Q189" t="s">
        <v>15</v>
      </c>
    </row>
    <row r="190" spans="1:17" x14ac:dyDescent="0.25">
      <c r="A190">
        <v>189</v>
      </c>
      <c r="B190">
        <v>145</v>
      </c>
      <c r="C190" t="s">
        <v>46</v>
      </c>
      <c r="D190" t="s">
        <v>17</v>
      </c>
      <c r="E190" t="s">
        <v>50</v>
      </c>
      <c r="F190" t="s">
        <v>19</v>
      </c>
      <c r="G190" t="s">
        <v>26</v>
      </c>
      <c r="H190" t="s">
        <v>65</v>
      </c>
      <c r="I190" t="s">
        <v>53</v>
      </c>
      <c r="J190" t="s">
        <v>148</v>
      </c>
      <c r="K190" t="s">
        <v>23</v>
      </c>
      <c r="L190">
        <v>556</v>
      </c>
      <c r="M190">
        <v>28.731705000000002</v>
      </c>
      <c r="N190">
        <v>254.75003909541107</v>
      </c>
      <c r="O190">
        <v>7.1601229785727583E-2</v>
      </c>
      <c r="P190" s="1" t="str">
        <f>HYPERLINK(".\sm_car_260705_0424\sm_car_260705_0424_189_Ca145TrE_MaDLC_DrSt_ode23t_1.png","figure")</f>
        <v>figure</v>
      </c>
      <c r="Q190" t="s">
        <v>15</v>
      </c>
    </row>
    <row r="191" spans="1:17" x14ac:dyDescent="0.25">
      <c r="A191">
        <v>190</v>
      </c>
      <c r="B191">
        <v>199</v>
      </c>
      <c r="C191" t="s">
        <v>46</v>
      </c>
      <c r="D191" t="s">
        <v>17</v>
      </c>
      <c r="E191" t="s">
        <v>109</v>
      </c>
      <c r="F191" t="s">
        <v>19</v>
      </c>
      <c r="G191" t="s">
        <v>26</v>
      </c>
      <c r="H191" t="s">
        <v>21</v>
      </c>
      <c r="I191" t="s">
        <v>53</v>
      </c>
      <c r="J191" t="s">
        <v>148</v>
      </c>
      <c r="K191" t="s">
        <v>23</v>
      </c>
      <c r="L191">
        <v>462</v>
      </c>
      <c r="M191">
        <v>7.0610073</v>
      </c>
      <c r="N191">
        <v>253.69267690242975</v>
      </c>
      <c r="O191">
        <v>7.60750320853818E-2</v>
      </c>
      <c r="P191" s="1" t="str">
        <f>HYPERLINK(".\sm_car_260705_0424\sm_car_260705_0424_190_Ca199TrN_MaDLC_DrSt_ode23t_1.png","figure")</f>
        <v>figure</v>
      </c>
      <c r="Q191" t="s">
        <v>15</v>
      </c>
    </row>
    <row r="192" spans="1:17" x14ac:dyDescent="0.25">
      <c r="A192">
        <v>191</v>
      </c>
      <c r="B192">
        <v>199</v>
      </c>
      <c r="C192" t="s">
        <v>46</v>
      </c>
      <c r="D192" t="s">
        <v>17</v>
      </c>
      <c r="E192" t="s">
        <v>109</v>
      </c>
      <c r="F192" t="s">
        <v>19</v>
      </c>
      <c r="G192" t="s">
        <v>26</v>
      </c>
      <c r="H192" t="s">
        <v>65</v>
      </c>
      <c r="I192" t="s">
        <v>53</v>
      </c>
      <c r="J192" t="s">
        <v>148</v>
      </c>
      <c r="K192" t="s">
        <v>23</v>
      </c>
      <c r="L192">
        <v>562</v>
      </c>
      <c r="M192">
        <v>18.517628800000001</v>
      </c>
      <c r="N192">
        <v>254.80349452363248</v>
      </c>
      <c r="O192">
        <v>7.1328970899537936E-2</v>
      </c>
      <c r="P192" s="1" t="str">
        <f>HYPERLINK(".\sm_car_260705_0424\sm_car_260705_0424_191_Ca199TrE_MaDLC_DrSt_ode23t_1.png","figure")</f>
        <v>figure</v>
      </c>
      <c r="Q192" t="s">
        <v>15</v>
      </c>
    </row>
    <row r="193" spans="1:17" x14ac:dyDescent="0.25">
      <c r="A193">
        <v>192</v>
      </c>
      <c r="B193">
        <v>199</v>
      </c>
      <c r="C193" t="s">
        <v>46</v>
      </c>
      <c r="D193" t="s">
        <v>17</v>
      </c>
      <c r="E193" t="s">
        <v>109</v>
      </c>
      <c r="F193" t="s">
        <v>19</v>
      </c>
      <c r="G193" t="s">
        <v>26</v>
      </c>
      <c r="H193" t="s">
        <v>66</v>
      </c>
      <c r="I193" t="s">
        <v>53</v>
      </c>
      <c r="J193" t="s">
        <v>148</v>
      </c>
      <c r="K193" t="s">
        <v>23</v>
      </c>
      <c r="L193">
        <v>801</v>
      </c>
      <c r="M193">
        <v>23.416123599999999</v>
      </c>
      <c r="N193">
        <v>256.6014022585743</v>
      </c>
      <c r="O193">
        <v>6.3306276587258736E-2</v>
      </c>
      <c r="P193" s="1" t="str">
        <f>HYPERLINK(".\sm_car_260705_0424\sm_car_260705_0424_192_Ca199TrT_MaDLC_DrSt_ode23t_1.png","figure")</f>
        <v>figure</v>
      </c>
      <c r="Q193" t="s">
        <v>15</v>
      </c>
    </row>
    <row r="194" spans="1:17" x14ac:dyDescent="0.25">
      <c r="A194">
        <v>193</v>
      </c>
      <c r="B194">
        <v>199</v>
      </c>
      <c r="C194" t="s">
        <v>46</v>
      </c>
      <c r="D194" t="s">
        <v>17</v>
      </c>
      <c r="E194" t="s">
        <v>109</v>
      </c>
      <c r="F194" t="s">
        <v>19</v>
      </c>
      <c r="G194" t="s">
        <v>26</v>
      </c>
      <c r="H194" t="s">
        <v>65</v>
      </c>
      <c r="I194" t="s">
        <v>53</v>
      </c>
      <c r="J194" t="s">
        <v>148</v>
      </c>
      <c r="K194" t="s">
        <v>23</v>
      </c>
      <c r="L194">
        <v>558</v>
      </c>
      <c r="M194">
        <v>12.2196088</v>
      </c>
      <c r="N194">
        <v>254.80462446855591</v>
      </c>
      <c r="O194">
        <v>7.1333219490246513E-2</v>
      </c>
      <c r="P194" s="1" t="str">
        <f>HYPERLINK(".\sm_car_260705_0424\sm_car_260705_0424_193_Ca199TrE_MaDLC_DrSt_ode23t_1.png","figure")</f>
        <v>figure</v>
      </c>
      <c r="Q194" t="s">
        <v>15</v>
      </c>
    </row>
    <row r="195" spans="1:17" x14ac:dyDescent="0.25">
      <c r="A195">
        <v>194</v>
      </c>
      <c r="B195">
        <v>189</v>
      </c>
      <c r="C195" t="s">
        <v>45</v>
      </c>
      <c r="D195" t="s">
        <v>17</v>
      </c>
      <c r="E195" t="s">
        <v>107</v>
      </c>
      <c r="F195" t="s">
        <v>19</v>
      </c>
      <c r="G195" t="s">
        <v>26</v>
      </c>
      <c r="H195" t="s">
        <v>65</v>
      </c>
      <c r="I195" t="s">
        <v>67</v>
      </c>
      <c r="J195" t="s">
        <v>148</v>
      </c>
      <c r="K195" t="s">
        <v>23</v>
      </c>
      <c r="L195">
        <v>541</v>
      </c>
      <c r="M195">
        <v>15.668681299999999</v>
      </c>
      <c r="N195">
        <v>261.95096399579472</v>
      </c>
      <c r="O195">
        <v>5.0011140693671905</v>
      </c>
      <c r="P195" s="1" t="str">
        <f>HYPERLINK(".\sm_car_260705_0424\sm_car_260705_0424_194_Ca189TrE_MaTRD_DrSt_ode23t_1.png","figure")</f>
        <v>figure</v>
      </c>
      <c r="Q195" t="s">
        <v>15</v>
      </c>
    </row>
    <row r="196" spans="1:17" x14ac:dyDescent="0.25">
      <c r="A196">
        <v>195</v>
      </c>
      <c r="B196">
        <v>189</v>
      </c>
      <c r="C196" t="s">
        <v>45</v>
      </c>
      <c r="D196" t="s">
        <v>17</v>
      </c>
      <c r="E196" t="s">
        <v>107</v>
      </c>
      <c r="F196" t="s">
        <v>19</v>
      </c>
      <c r="G196" t="s">
        <v>26</v>
      </c>
      <c r="H196" t="s">
        <v>65</v>
      </c>
      <c r="I196" t="s">
        <v>67</v>
      </c>
      <c r="J196" t="s">
        <v>148</v>
      </c>
      <c r="K196" t="s">
        <v>23</v>
      </c>
      <c r="L196">
        <v>636</v>
      </c>
      <c r="M196">
        <v>14.4459424</v>
      </c>
      <c r="N196">
        <v>261.93534942210744</v>
      </c>
      <c r="O196">
        <v>4.9447045040404118</v>
      </c>
      <c r="P196" s="1" t="str">
        <f>HYPERLINK(".\sm_car_260705_0424\sm_car_260705_0424_195_Ca189TrU_MaTRD_DrSt_ode23t_1.png","figure")</f>
        <v>figure</v>
      </c>
      <c r="Q196" t="s">
        <v>15</v>
      </c>
    </row>
    <row r="197" spans="1:17" x14ac:dyDescent="0.25">
      <c r="A197">
        <v>196</v>
      </c>
      <c r="B197">
        <v>149</v>
      </c>
      <c r="C197" t="s">
        <v>46</v>
      </c>
      <c r="D197" t="s">
        <v>17</v>
      </c>
      <c r="E197" t="s">
        <v>68</v>
      </c>
      <c r="F197" t="s">
        <v>19</v>
      </c>
      <c r="G197" t="s">
        <v>26</v>
      </c>
      <c r="H197" t="s">
        <v>21</v>
      </c>
      <c r="I197" t="s">
        <v>177</v>
      </c>
      <c r="J197" t="s">
        <v>148</v>
      </c>
      <c r="K197" t="s">
        <v>23</v>
      </c>
      <c r="L197">
        <v>996</v>
      </c>
      <c r="M197">
        <v>11.236456799999999</v>
      </c>
      <c r="N197">
        <v>-6.0042046680490735E-3</v>
      </c>
      <c r="O197">
        <v>-8.4194353618561278E-4</v>
      </c>
      <c r="P197" s="1" t="str">
        <f>HYPERLINK(".\sm_car_260705_0424\sm_car_260705_0424_196_Ca149TrN_MaPS1_DrSt_ode23t_1.png","figure")</f>
        <v>figure</v>
      </c>
      <c r="Q197" t="s">
        <v>15</v>
      </c>
    </row>
    <row r="198" spans="1:17" x14ac:dyDescent="0.25">
      <c r="A198">
        <v>197</v>
      </c>
      <c r="B198">
        <v>149</v>
      </c>
      <c r="C198" t="s">
        <v>46</v>
      </c>
      <c r="D198" t="s">
        <v>17</v>
      </c>
      <c r="E198" t="s">
        <v>68</v>
      </c>
      <c r="F198" t="s">
        <v>19</v>
      </c>
      <c r="G198" t="s">
        <v>26</v>
      </c>
      <c r="H198" t="s">
        <v>21</v>
      </c>
      <c r="I198" t="s">
        <v>178</v>
      </c>
      <c r="J198" t="s">
        <v>148</v>
      </c>
      <c r="K198" t="s">
        <v>23</v>
      </c>
      <c r="L198">
        <v>1544</v>
      </c>
      <c r="M198">
        <v>10.5096419</v>
      </c>
      <c r="N198">
        <v>-7.1400624926427625E-3</v>
      </c>
      <c r="O198">
        <v>1.2800653823643397E-2</v>
      </c>
      <c r="P198" s="1" t="str">
        <f>HYPERLINK(".\sm_car_260705_0424\sm_car_260705_0424_197_Ca149TrN_MaPSD_DrSt_ode23t_1.png","figure")</f>
        <v>figure</v>
      </c>
      <c r="Q198" t="s">
        <v>15</v>
      </c>
    </row>
    <row r="199" spans="1:17" x14ac:dyDescent="0.25">
      <c r="A199">
        <v>198</v>
      </c>
      <c r="B199">
        <v>139</v>
      </c>
      <c r="C199" t="s">
        <v>45</v>
      </c>
      <c r="D199" t="s">
        <v>17</v>
      </c>
      <c r="E199" t="s">
        <v>18</v>
      </c>
      <c r="F199" t="s">
        <v>19</v>
      </c>
      <c r="G199" t="s">
        <v>26</v>
      </c>
      <c r="H199" t="s">
        <v>21</v>
      </c>
      <c r="I199" t="s">
        <v>70</v>
      </c>
      <c r="J199" t="s">
        <v>148</v>
      </c>
      <c r="K199" t="s">
        <v>23</v>
      </c>
      <c r="L199">
        <v>1545</v>
      </c>
      <c r="M199">
        <v>33.937968900000001</v>
      </c>
      <c r="N199">
        <v>36.388413818090555</v>
      </c>
      <c r="O199">
        <v>0.23259680537866703</v>
      </c>
      <c r="P199" s="1" t="str">
        <f>HYPERLINK(".\sm_car_260705_0424\sm_car_260705_0424_198_Ca139TrN_MaSKD_DrSt_ode23t_1.png","figure")</f>
        <v>figure</v>
      </c>
      <c r="Q199" t="s">
        <v>15</v>
      </c>
    </row>
    <row r="200" spans="1:17" x14ac:dyDescent="0.25">
      <c r="A200">
        <v>199</v>
      </c>
      <c r="B200">
        <v>139</v>
      </c>
      <c r="C200" t="s">
        <v>45</v>
      </c>
      <c r="D200" t="s">
        <v>17</v>
      </c>
      <c r="E200" t="s">
        <v>18</v>
      </c>
      <c r="F200" t="s">
        <v>19</v>
      </c>
      <c r="G200" t="s">
        <v>26</v>
      </c>
      <c r="H200" t="s">
        <v>21</v>
      </c>
      <c r="I200" t="s">
        <v>71</v>
      </c>
      <c r="J200" t="s">
        <v>148</v>
      </c>
      <c r="K200" t="s">
        <v>23</v>
      </c>
      <c r="L200">
        <v>797</v>
      </c>
      <c r="M200">
        <v>17.8312831</v>
      </c>
      <c r="N200">
        <v>-8.0316166869103256E-3</v>
      </c>
      <c r="O200">
        <v>20.553842502020103</v>
      </c>
      <c r="P200" s="1" t="str">
        <f>HYPERLINK(".\sm_car_260705_0424\sm_car_260705_0424_199_Ca139TrN_MaRAD_DrSt_ode23t_1.png","figure")</f>
        <v>figure</v>
      </c>
      <c r="Q200" t="s">
        <v>15</v>
      </c>
    </row>
    <row r="201" spans="1:17" x14ac:dyDescent="0.25">
      <c r="A201">
        <v>200</v>
      </c>
      <c r="B201">
        <v>184</v>
      </c>
      <c r="C201" t="s">
        <v>105</v>
      </c>
      <c r="D201" t="s">
        <v>120</v>
      </c>
      <c r="E201" t="s">
        <v>49</v>
      </c>
      <c r="F201" t="s">
        <v>19</v>
      </c>
      <c r="G201" t="s">
        <v>20</v>
      </c>
      <c r="H201" t="s">
        <v>21</v>
      </c>
      <c r="I201" t="s">
        <v>70</v>
      </c>
      <c r="J201" t="s">
        <v>148</v>
      </c>
      <c r="K201" t="s">
        <v>23</v>
      </c>
      <c r="L201">
        <v>1308</v>
      </c>
      <c r="M201">
        <v>48.054312899999999</v>
      </c>
      <c r="N201">
        <v>36.521070162101296</v>
      </c>
      <c r="O201">
        <v>0.15760142475645633</v>
      </c>
      <c r="P201" s="1" t="str">
        <f>HYPERLINK(".\sm_car_260705_0424\sm_car_260705_0424_200_Ca184TrN_MaSKD_DrSt_ode23t_1.png","figure")</f>
        <v>figure</v>
      </c>
      <c r="Q201" t="s">
        <v>15</v>
      </c>
    </row>
    <row r="202" spans="1:17" x14ac:dyDescent="0.25">
      <c r="A202">
        <v>201</v>
      </c>
      <c r="B202">
        <v>184</v>
      </c>
      <c r="C202" t="s">
        <v>105</v>
      </c>
      <c r="D202" t="s">
        <v>120</v>
      </c>
      <c r="E202" t="s">
        <v>49</v>
      </c>
      <c r="F202" t="s">
        <v>19</v>
      </c>
      <c r="G202" t="s">
        <v>20</v>
      </c>
      <c r="H202" t="s">
        <v>21</v>
      </c>
      <c r="I202" t="s">
        <v>71</v>
      </c>
      <c r="J202" t="s">
        <v>148</v>
      </c>
      <c r="K202" t="s">
        <v>23</v>
      </c>
      <c r="L202">
        <v>648</v>
      </c>
      <c r="M202">
        <v>23.601786000000001</v>
      </c>
      <c r="N202">
        <v>7.4800353596482836</v>
      </c>
      <c r="O202">
        <v>10.384540986894825</v>
      </c>
      <c r="P202" s="1" t="str">
        <f>HYPERLINK(".\sm_car_260705_0424\sm_car_260705_0424_201_Ca184TrN_MaRAD_DrSt_ode23t_1.png","figure")</f>
        <v>figure</v>
      </c>
      <c r="Q202" t="s">
        <v>15</v>
      </c>
    </row>
    <row r="203" spans="1:17" x14ac:dyDescent="0.25">
      <c r="A203">
        <v>202</v>
      </c>
      <c r="B203">
        <v>228</v>
      </c>
      <c r="C203" t="s">
        <v>160</v>
      </c>
      <c r="D203" t="s">
        <v>35</v>
      </c>
      <c r="E203" t="s">
        <v>107</v>
      </c>
      <c r="F203" t="s">
        <v>19</v>
      </c>
      <c r="G203" t="s">
        <v>26</v>
      </c>
      <c r="H203" t="s">
        <v>21</v>
      </c>
      <c r="I203" t="s">
        <v>70</v>
      </c>
      <c r="J203" t="s">
        <v>148</v>
      </c>
      <c r="K203" t="s">
        <v>23</v>
      </c>
      <c r="L203">
        <v>1629</v>
      </c>
      <c r="M203">
        <v>6.5542154000000004</v>
      </c>
      <c r="N203">
        <v>36.461895481532764</v>
      </c>
      <c r="O203">
        <v>0.57877174510789609</v>
      </c>
      <c r="P203" s="1" t="str">
        <f>HYPERLINK(".\sm_car_260705_0424\sm_car_260705_0424_202_Ca228TrN_MaSKD_DrSt_ode23t_1.png","figure")</f>
        <v>figure</v>
      </c>
      <c r="Q203" t="s">
        <v>15</v>
      </c>
    </row>
    <row r="204" spans="1:17" x14ac:dyDescent="0.25">
      <c r="A204">
        <v>203</v>
      </c>
      <c r="B204">
        <v>228</v>
      </c>
      <c r="C204" t="s">
        <v>160</v>
      </c>
      <c r="D204" t="s">
        <v>35</v>
      </c>
      <c r="E204" t="s">
        <v>107</v>
      </c>
      <c r="F204" t="s">
        <v>19</v>
      </c>
      <c r="G204" t="s">
        <v>26</v>
      </c>
      <c r="H204" t="s">
        <v>21</v>
      </c>
      <c r="I204" t="s">
        <v>71</v>
      </c>
      <c r="J204" t="s">
        <v>148</v>
      </c>
      <c r="K204" t="s">
        <v>23</v>
      </c>
      <c r="L204">
        <v>1621</v>
      </c>
      <c r="M204">
        <v>5.9747741999999997</v>
      </c>
      <c r="N204">
        <v>28.434656741877671</v>
      </c>
      <c r="O204">
        <v>-4.3297035408541875</v>
      </c>
      <c r="P204" s="1" t="str">
        <f>HYPERLINK(".\sm_car_260705_0424\sm_car_260705_0424_203_Ca228TrN_MaRAD_DrSt_ode23t_1.png","figure")</f>
        <v>figure</v>
      </c>
      <c r="Q204" t="s">
        <v>15</v>
      </c>
    </row>
    <row r="205" spans="1:17" x14ac:dyDescent="0.25">
      <c r="A205">
        <v>204</v>
      </c>
      <c r="B205">
        <v>230</v>
      </c>
      <c r="C205" t="s">
        <v>160</v>
      </c>
      <c r="D205" t="s">
        <v>161</v>
      </c>
      <c r="E205" t="s">
        <v>162</v>
      </c>
      <c r="F205" t="s">
        <v>19</v>
      </c>
      <c r="G205" t="s">
        <v>26</v>
      </c>
      <c r="H205" t="s">
        <v>21</v>
      </c>
      <c r="I205" t="s">
        <v>70</v>
      </c>
      <c r="J205" t="s">
        <v>148</v>
      </c>
      <c r="K205" t="s">
        <v>23</v>
      </c>
      <c r="L205">
        <v>1441</v>
      </c>
      <c r="M205">
        <v>28.4817219</v>
      </c>
      <c r="N205">
        <v>36.381114154250476</v>
      </c>
      <c r="O205">
        <v>-0.83822184882519712</v>
      </c>
      <c r="P205" s="1" t="str">
        <f>HYPERLINK(".\sm_car_260705_0424\sm_car_260705_0424_204_Ca230TrN_MaSKD_DrSt_ode23t_1.png","figure")</f>
        <v>figure</v>
      </c>
      <c r="Q205" t="s">
        <v>15</v>
      </c>
    </row>
    <row r="206" spans="1:17" x14ac:dyDescent="0.25">
      <c r="A206">
        <v>205</v>
      </c>
      <c r="B206">
        <v>230</v>
      </c>
      <c r="C206" t="s">
        <v>160</v>
      </c>
      <c r="D206" t="s">
        <v>161</v>
      </c>
      <c r="E206" t="s">
        <v>162</v>
      </c>
      <c r="F206" t="s">
        <v>19</v>
      </c>
      <c r="G206" t="s">
        <v>26</v>
      </c>
      <c r="H206" t="s">
        <v>21</v>
      </c>
      <c r="I206" t="s">
        <v>71</v>
      </c>
      <c r="J206" t="s">
        <v>148</v>
      </c>
      <c r="K206" t="s">
        <v>23</v>
      </c>
      <c r="L206">
        <v>1418</v>
      </c>
      <c r="M206">
        <v>25.309201900000001</v>
      </c>
      <c r="N206">
        <v>38.048194485674529</v>
      </c>
      <c r="O206">
        <v>5.6642487293085715</v>
      </c>
      <c r="P206" s="1" t="str">
        <f>HYPERLINK(".\sm_car_260705_0424\sm_car_260705_0424_205_Ca230TrN_MaRAD_DrSt_ode23t_1.png","figure")</f>
        <v>figure</v>
      </c>
      <c r="Q206" t="s">
        <v>15</v>
      </c>
    </row>
    <row r="207" spans="1:17" x14ac:dyDescent="0.25">
      <c r="A207">
        <v>206</v>
      </c>
      <c r="B207">
        <v>231</v>
      </c>
      <c r="C207" t="s">
        <v>160</v>
      </c>
      <c r="D207" t="s">
        <v>172</v>
      </c>
      <c r="E207" t="s">
        <v>162</v>
      </c>
      <c r="F207" t="s">
        <v>19</v>
      </c>
      <c r="G207" t="s">
        <v>26</v>
      </c>
      <c r="H207" t="s">
        <v>21</v>
      </c>
      <c r="I207" t="s">
        <v>70</v>
      </c>
      <c r="J207" t="s">
        <v>148</v>
      </c>
      <c r="K207" t="s">
        <v>23</v>
      </c>
      <c r="L207">
        <v>1505</v>
      </c>
      <c r="M207">
        <v>28.4977324</v>
      </c>
      <c r="N207">
        <v>36.331192978172226</v>
      </c>
      <c r="O207">
        <v>-0.19820185577137361</v>
      </c>
      <c r="P207" s="1" t="str">
        <f>HYPERLINK(".\sm_car_260705_0424\sm_car_260705_0424_206_Ca231TrN_MaSKD_DrSt_ode23t_1.png","figure")</f>
        <v>figure</v>
      </c>
      <c r="Q207" t="s">
        <v>15</v>
      </c>
    </row>
    <row r="208" spans="1:17" x14ac:dyDescent="0.25">
      <c r="A208">
        <v>207</v>
      </c>
      <c r="B208">
        <v>231</v>
      </c>
      <c r="C208" t="s">
        <v>160</v>
      </c>
      <c r="D208" t="s">
        <v>172</v>
      </c>
      <c r="E208" t="s">
        <v>162</v>
      </c>
      <c r="F208" t="s">
        <v>19</v>
      </c>
      <c r="G208" t="s">
        <v>26</v>
      </c>
      <c r="H208" t="s">
        <v>21</v>
      </c>
      <c r="I208" t="s">
        <v>71</v>
      </c>
      <c r="J208" t="s">
        <v>148</v>
      </c>
      <c r="K208" t="s">
        <v>23</v>
      </c>
      <c r="L208">
        <v>2834</v>
      </c>
      <c r="M208">
        <v>47.748211900000001</v>
      </c>
      <c r="N208">
        <v>31.754540824197754</v>
      </c>
      <c r="O208">
        <v>1.2724831423033283</v>
      </c>
      <c r="P208" s="1" t="str">
        <f>HYPERLINK(".\sm_car_260705_0424\sm_car_260705_0424_207_Ca231TrN_MaRAD_DrSt_ode23t_1.png","figure")</f>
        <v>figure</v>
      </c>
      <c r="Q208" t="s">
        <v>15</v>
      </c>
    </row>
    <row r="209" spans="1:17" x14ac:dyDescent="0.25">
      <c r="A209">
        <v>208</v>
      </c>
      <c r="B209">
        <v>233</v>
      </c>
      <c r="C209" t="s">
        <v>45</v>
      </c>
      <c r="D209" t="s">
        <v>17</v>
      </c>
      <c r="E209" t="s">
        <v>107</v>
      </c>
      <c r="F209" t="s">
        <v>19</v>
      </c>
      <c r="G209" t="s">
        <v>182</v>
      </c>
      <c r="H209" t="s">
        <v>21</v>
      </c>
      <c r="I209" t="s">
        <v>70</v>
      </c>
      <c r="J209" t="s">
        <v>148</v>
      </c>
      <c r="K209" t="s">
        <v>23</v>
      </c>
      <c r="L209">
        <v>1609</v>
      </c>
      <c r="M209">
        <v>28.787238800000001</v>
      </c>
      <c r="N209">
        <v>36.444217672336208</v>
      </c>
      <c r="O209">
        <v>-0.33401618792721943</v>
      </c>
      <c r="P209" s="1" t="str">
        <f>HYPERLINK(".\sm_car_260705_0424\sm_car_260705_0424_208_Ca233TrN_MaSKD_DrSt_ode23t_1.png","figure")</f>
        <v>figure</v>
      </c>
      <c r="Q209" t="s">
        <v>15</v>
      </c>
    </row>
    <row r="210" spans="1:17" x14ac:dyDescent="0.25">
      <c r="A210">
        <v>209</v>
      </c>
      <c r="B210">
        <v>233</v>
      </c>
      <c r="C210" t="s">
        <v>45</v>
      </c>
      <c r="D210" t="s">
        <v>17</v>
      </c>
      <c r="E210" t="s">
        <v>107</v>
      </c>
      <c r="F210" t="s">
        <v>19</v>
      </c>
      <c r="G210" t="s">
        <v>182</v>
      </c>
      <c r="H210" t="s">
        <v>21</v>
      </c>
      <c r="I210" t="s">
        <v>71</v>
      </c>
      <c r="J210" t="s">
        <v>148</v>
      </c>
      <c r="K210" t="s">
        <v>23</v>
      </c>
      <c r="L210">
        <v>897</v>
      </c>
      <c r="M210">
        <v>15.457709899999999</v>
      </c>
      <c r="N210">
        <v>-6.6789269016643757</v>
      </c>
      <c r="O210">
        <v>25.201961772782283</v>
      </c>
      <c r="P210" s="1" t="str">
        <f>HYPERLINK(".\sm_car_260705_0424\sm_car_260705_0424_209_Ca233TrN_MaRAD_DrSt_ode23t_1.png","figure")</f>
        <v>figure</v>
      </c>
      <c r="Q210" t="s">
        <v>15</v>
      </c>
    </row>
    <row r="211" spans="1:17" x14ac:dyDescent="0.25">
      <c r="A211">
        <v>210</v>
      </c>
      <c r="B211">
        <v>234</v>
      </c>
      <c r="C211" t="s">
        <v>45</v>
      </c>
      <c r="D211" t="s">
        <v>17</v>
      </c>
      <c r="E211" t="s">
        <v>107</v>
      </c>
      <c r="F211" t="s">
        <v>19</v>
      </c>
      <c r="G211" t="s">
        <v>183</v>
      </c>
      <c r="H211" t="s">
        <v>21</v>
      </c>
      <c r="I211" t="s">
        <v>70</v>
      </c>
      <c r="J211" t="s">
        <v>148</v>
      </c>
      <c r="K211" t="s">
        <v>23</v>
      </c>
      <c r="L211">
        <v>3177</v>
      </c>
      <c r="M211">
        <v>52.552308500000002</v>
      </c>
      <c r="N211">
        <v>36.448952341234275</v>
      </c>
      <c r="O211">
        <v>-0.3025507850119496</v>
      </c>
      <c r="P211" s="1" t="str">
        <f>HYPERLINK(".\sm_car_260705_0424\sm_car_260705_0424_210_Ca234TrN_MaSKD_DrSt_ode23t_1.png","figure")</f>
        <v>figure</v>
      </c>
      <c r="Q211" t="s">
        <v>15</v>
      </c>
    </row>
    <row r="212" spans="1:17" x14ac:dyDescent="0.25">
      <c r="A212">
        <v>211</v>
      </c>
      <c r="B212">
        <v>234</v>
      </c>
      <c r="C212" t="s">
        <v>45</v>
      </c>
      <c r="D212" t="s">
        <v>17</v>
      </c>
      <c r="E212" t="s">
        <v>107</v>
      </c>
      <c r="F212" t="s">
        <v>19</v>
      </c>
      <c r="G212" t="s">
        <v>183</v>
      </c>
      <c r="H212" t="s">
        <v>21</v>
      </c>
      <c r="I212" t="s">
        <v>71</v>
      </c>
      <c r="J212" t="s">
        <v>148</v>
      </c>
      <c r="K212" t="s">
        <v>23</v>
      </c>
      <c r="L212">
        <v>1736</v>
      </c>
      <c r="M212">
        <v>30.724336600000001</v>
      </c>
      <c r="N212">
        <v>-6.4006600646957992</v>
      </c>
      <c r="O212">
        <v>25.358277057130415</v>
      </c>
      <c r="P212" s="1" t="str">
        <f>HYPERLINK(".\sm_car_260705_0424\sm_car_260705_0424_211_Ca234TrN_MaRAD_DrSt_ode23t_1.png","figure")</f>
        <v>figure</v>
      </c>
      <c r="Q212" t="s">
        <v>15</v>
      </c>
    </row>
    <row r="213" spans="1:17" x14ac:dyDescent="0.25">
      <c r="A213">
        <v>212</v>
      </c>
      <c r="B213">
        <v>198</v>
      </c>
      <c r="C213" t="s">
        <v>105</v>
      </c>
      <c r="D213" t="s">
        <v>120</v>
      </c>
      <c r="E213" t="s">
        <v>107</v>
      </c>
      <c r="F213" t="s">
        <v>19</v>
      </c>
      <c r="G213" t="s">
        <v>20</v>
      </c>
      <c r="H213" t="s">
        <v>21</v>
      </c>
      <c r="I213" t="s">
        <v>70</v>
      </c>
      <c r="J213" t="s">
        <v>148</v>
      </c>
      <c r="K213" t="s">
        <v>23</v>
      </c>
      <c r="L213">
        <v>1401</v>
      </c>
      <c r="M213">
        <v>29.7930302</v>
      </c>
      <c r="N213">
        <v>36.868375997181957</v>
      </c>
      <c r="O213">
        <v>0.14642405558838148</v>
      </c>
      <c r="P213" s="1" t="str">
        <f>HYPERLINK(".\sm_car_260705_0424\sm_car_260705_0424_212_Ca198TrN_MaSKD_DrSt_ode23t_1.png","figure")</f>
        <v>figure</v>
      </c>
      <c r="Q213" t="s">
        <v>15</v>
      </c>
    </row>
    <row r="214" spans="1:17" x14ac:dyDescent="0.25">
      <c r="A214">
        <v>213</v>
      </c>
      <c r="B214">
        <v>198</v>
      </c>
      <c r="C214" t="s">
        <v>105</v>
      </c>
      <c r="D214" t="s">
        <v>120</v>
      </c>
      <c r="E214" t="s">
        <v>107</v>
      </c>
      <c r="F214" t="s">
        <v>19</v>
      </c>
      <c r="G214" t="s">
        <v>20</v>
      </c>
      <c r="H214" t="s">
        <v>21</v>
      </c>
      <c r="I214" t="s">
        <v>71</v>
      </c>
      <c r="J214" t="s">
        <v>148</v>
      </c>
      <c r="K214" t="s">
        <v>23</v>
      </c>
      <c r="L214">
        <v>687</v>
      </c>
      <c r="M214">
        <v>14.359109800000001</v>
      </c>
      <c r="N214">
        <v>7.52403881609807</v>
      </c>
      <c r="O214">
        <v>10.291620312773727</v>
      </c>
      <c r="P214" s="1" t="str">
        <f>HYPERLINK(".\sm_car_260705_0424\sm_car_260705_0424_213_Ca198TrN_MaRAD_DrSt_ode23t_1.png","figure")</f>
        <v>figure</v>
      </c>
      <c r="Q214" t="s">
        <v>15</v>
      </c>
    </row>
    <row r="215" spans="1:17" x14ac:dyDescent="0.25">
      <c r="A215">
        <v>214</v>
      </c>
      <c r="B215">
        <v>189</v>
      </c>
      <c r="C215" t="s">
        <v>45</v>
      </c>
      <c r="D215" t="s">
        <v>17</v>
      </c>
      <c r="E215" t="s">
        <v>107</v>
      </c>
      <c r="F215" t="s">
        <v>19</v>
      </c>
      <c r="G215" t="s">
        <v>26</v>
      </c>
      <c r="H215" t="s">
        <v>21</v>
      </c>
      <c r="I215" t="s">
        <v>132</v>
      </c>
      <c r="J215" t="s">
        <v>148</v>
      </c>
      <c r="K215" t="s">
        <v>23</v>
      </c>
      <c r="L215">
        <v>541</v>
      </c>
      <c r="M215">
        <v>11.996511099999999</v>
      </c>
      <c r="N215">
        <v>134.67592742814426</v>
      </c>
      <c r="O215">
        <v>-14.116338331551592</v>
      </c>
      <c r="P215" s="1" t="str">
        <f>HYPERLINK(".\sm_car_260705_0424\sm_car_260705_0424_214_Ca189TrN_MaFSH_DrSt_ode23t_1.png","figure")</f>
        <v>figure</v>
      </c>
      <c r="Q215" t="s">
        <v>15</v>
      </c>
    </row>
    <row r="216" spans="1:17" x14ac:dyDescent="0.25">
      <c r="A216">
        <v>215</v>
      </c>
      <c r="B216">
        <v>189</v>
      </c>
      <c r="C216" t="s">
        <v>45</v>
      </c>
      <c r="D216" t="s">
        <v>17</v>
      </c>
      <c r="E216" t="s">
        <v>107</v>
      </c>
      <c r="F216" t="s">
        <v>19</v>
      </c>
      <c r="G216" t="s">
        <v>26</v>
      </c>
      <c r="H216" t="s">
        <v>21</v>
      </c>
      <c r="I216" t="s">
        <v>133</v>
      </c>
      <c r="J216" t="s">
        <v>148</v>
      </c>
      <c r="K216" t="s">
        <v>23</v>
      </c>
      <c r="L216">
        <v>417</v>
      </c>
      <c r="M216">
        <v>8.1795206</v>
      </c>
      <c r="N216">
        <v>128.73810781884399</v>
      </c>
      <c r="O216">
        <v>-9.3015212683561419</v>
      </c>
      <c r="P216" s="1" t="str">
        <f>HYPERLINK(".\sm_car_260705_0424\sm_car_260705_0424_215_Ca189TrN_MaSWD_DrSt_ode23t_1.png","figure")</f>
        <v>figure</v>
      </c>
      <c r="Q216" t="s">
        <v>15</v>
      </c>
    </row>
    <row r="217" spans="1:17" x14ac:dyDescent="0.25">
      <c r="A217">
        <v>216</v>
      </c>
      <c r="B217">
        <v>189</v>
      </c>
      <c r="C217" t="s">
        <v>45</v>
      </c>
      <c r="D217" t="s">
        <v>17</v>
      </c>
      <c r="E217" t="s">
        <v>107</v>
      </c>
      <c r="F217" t="s">
        <v>19</v>
      </c>
      <c r="G217" t="s">
        <v>26</v>
      </c>
      <c r="H217" t="s">
        <v>21</v>
      </c>
      <c r="I217" t="s">
        <v>134</v>
      </c>
      <c r="J217" t="s">
        <v>148</v>
      </c>
      <c r="K217" t="s">
        <v>23</v>
      </c>
      <c r="L217">
        <v>428</v>
      </c>
      <c r="M217">
        <v>9.6725093999999991</v>
      </c>
      <c r="N217">
        <v>112.50119539719402</v>
      </c>
      <c r="O217">
        <v>18.075279872934725</v>
      </c>
      <c r="P217" s="1" t="str">
        <f>HYPERLINK(".\sm_car_260705_0424\sm_car_260705_0424_216_Ca189TrN_MaRST_DrSt_ode23t_1.png","figure")</f>
        <v>figure</v>
      </c>
      <c r="Q217" t="s">
        <v>15</v>
      </c>
    </row>
    <row r="218" spans="1:17" x14ac:dyDescent="0.25">
      <c r="A218">
        <v>217</v>
      </c>
      <c r="B218">
        <v>189</v>
      </c>
      <c r="C218" t="s">
        <v>45</v>
      </c>
      <c r="D218" t="s">
        <v>17</v>
      </c>
      <c r="E218" t="s">
        <v>107</v>
      </c>
      <c r="F218" t="s">
        <v>19</v>
      </c>
      <c r="G218" t="s">
        <v>26</v>
      </c>
      <c r="H218" t="s">
        <v>21</v>
      </c>
      <c r="I218" t="s">
        <v>135</v>
      </c>
      <c r="J218" t="s">
        <v>148</v>
      </c>
      <c r="K218" t="s">
        <v>23</v>
      </c>
      <c r="L218">
        <v>585</v>
      </c>
      <c r="M218">
        <v>18.266555700000001</v>
      </c>
      <c r="N218">
        <v>224.05964145738201</v>
      </c>
      <c r="O218">
        <v>0.10733077744514599</v>
      </c>
      <c r="P218" s="1" t="str">
        <f>HYPERLINK(".\sm_car_260705_0424\sm_car_260705_0424_217_Ca189TrN_MaSLA_DrSt_ode23t_1.png","figure")</f>
        <v>figure</v>
      </c>
      <c r="Q218" t="s">
        <v>15</v>
      </c>
    </row>
    <row r="219" spans="1:17" x14ac:dyDescent="0.25">
      <c r="A219">
        <v>218</v>
      </c>
      <c r="B219">
        <v>189</v>
      </c>
      <c r="C219" t="s">
        <v>45</v>
      </c>
      <c r="D219" t="s">
        <v>17</v>
      </c>
      <c r="E219" t="s">
        <v>107</v>
      </c>
      <c r="F219" t="s">
        <v>19</v>
      </c>
      <c r="G219" t="s">
        <v>26</v>
      </c>
      <c r="H219" t="s">
        <v>21</v>
      </c>
      <c r="I219" t="s">
        <v>195</v>
      </c>
      <c r="J219" t="s">
        <v>148</v>
      </c>
      <c r="K219" t="s">
        <v>23</v>
      </c>
      <c r="L219">
        <v>811</v>
      </c>
      <c r="M219">
        <v>12.3607786</v>
      </c>
      <c r="N219">
        <v>2436.2511686794032</v>
      </c>
      <c r="O219">
        <v>2.4597225002411568E-4</v>
      </c>
      <c r="P219" s="1" t="str">
        <f>HYPERLINK(".\sm_car_260705_0424\sm_car_260705_0424_218_Ca189TrN_MaCOA_DrSt_ode23t_1.png","figure")</f>
        <v>figure</v>
      </c>
      <c r="Q219" t="s">
        <v>15</v>
      </c>
    </row>
    <row r="220" spans="1:17" x14ac:dyDescent="0.25">
      <c r="A220">
        <v>219</v>
      </c>
      <c r="B220">
        <v>218</v>
      </c>
      <c r="C220" t="s">
        <v>16</v>
      </c>
      <c r="D220" t="s">
        <v>128</v>
      </c>
      <c r="E220" t="s">
        <v>107</v>
      </c>
      <c r="F220" t="s">
        <v>19</v>
      </c>
      <c r="G220" t="s">
        <v>188</v>
      </c>
      <c r="H220" t="s">
        <v>21</v>
      </c>
      <c r="I220" t="s">
        <v>132</v>
      </c>
      <c r="J220" t="s">
        <v>148</v>
      </c>
      <c r="K220" t="s">
        <v>23</v>
      </c>
      <c r="L220">
        <v>559</v>
      </c>
      <c r="M220">
        <v>10.5449898</v>
      </c>
      <c r="N220">
        <v>101.32731161255083</v>
      </c>
      <c r="O220">
        <v>-21.93816888821819</v>
      </c>
      <c r="P220" s="1" t="str">
        <f>HYPERLINK(".\sm_car_260705_0424\sm_car_260705_0424_219_Ca218TrN_MaFSH_DrSt_ode23t_1.png","figure")</f>
        <v>figure</v>
      </c>
      <c r="Q220" t="s">
        <v>15</v>
      </c>
    </row>
    <row r="221" spans="1:17" x14ac:dyDescent="0.25">
      <c r="A221">
        <v>220</v>
      </c>
      <c r="B221">
        <v>218</v>
      </c>
      <c r="C221" t="s">
        <v>16</v>
      </c>
      <c r="D221" t="s">
        <v>128</v>
      </c>
      <c r="E221" t="s">
        <v>107</v>
      </c>
      <c r="F221" t="s">
        <v>19</v>
      </c>
      <c r="G221" t="s">
        <v>188</v>
      </c>
      <c r="H221" t="s">
        <v>21</v>
      </c>
      <c r="I221" t="s">
        <v>133</v>
      </c>
      <c r="J221" t="s">
        <v>148</v>
      </c>
      <c r="K221" t="s">
        <v>23</v>
      </c>
      <c r="L221">
        <v>443</v>
      </c>
      <c r="M221">
        <v>7.7782361</v>
      </c>
      <c r="N221">
        <v>136.14886591937227</v>
      </c>
      <c r="O221">
        <v>-8.8925098925585004</v>
      </c>
      <c r="P221" s="1" t="str">
        <f>HYPERLINK(".\sm_car_260705_0424\sm_car_260705_0424_220_Ca218TrN_MaSWD_DrSt_ode23t_1.png","figure")</f>
        <v>figure</v>
      </c>
      <c r="Q221" t="s">
        <v>15</v>
      </c>
    </row>
    <row r="222" spans="1:17" x14ac:dyDescent="0.25">
      <c r="A222">
        <v>221</v>
      </c>
      <c r="B222">
        <v>218</v>
      </c>
      <c r="C222" t="s">
        <v>16</v>
      </c>
      <c r="D222" t="s">
        <v>128</v>
      </c>
      <c r="E222" t="s">
        <v>107</v>
      </c>
      <c r="F222" t="s">
        <v>19</v>
      </c>
      <c r="G222" t="s">
        <v>188</v>
      </c>
      <c r="H222" t="s">
        <v>21</v>
      </c>
      <c r="I222" t="s">
        <v>134</v>
      </c>
      <c r="J222" t="s">
        <v>148</v>
      </c>
      <c r="K222" t="s">
        <v>23</v>
      </c>
      <c r="L222">
        <v>369</v>
      </c>
      <c r="M222">
        <v>6.6090923999999998</v>
      </c>
      <c r="N222">
        <v>101.82448163141929</v>
      </c>
      <c r="O222">
        <v>29.386212060322194</v>
      </c>
      <c r="P222" s="1" t="str">
        <f>HYPERLINK(".\sm_car_260705_0424\sm_car_260705_0424_221_Ca218TrN_MaRST_DrSt_ode23t_1.png","figure")</f>
        <v>figure</v>
      </c>
      <c r="Q222" t="s">
        <v>15</v>
      </c>
    </row>
    <row r="223" spans="1:17" x14ac:dyDescent="0.25">
      <c r="A223">
        <v>222</v>
      </c>
      <c r="B223">
        <v>218</v>
      </c>
      <c r="C223" t="s">
        <v>16</v>
      </c>
      <c r="D223" t="s">
        <v>128</v>
      </c>
      <c r="E223" t="s">
        <v>107</v>
      </c>
      <c r="F223" t="s">
        <v>19</v>
      </c>
      <c r="G223" t="s">
        <v>188</v>
      </c>
      <c r="H223" t="s">
        <v>21</v>
      </c>
      <c r="I223" t="s">
        <v>135</v>
      </c>
      <c r="J223" t="s">
        <v>148</v>
      </c>
      <c r="K223" t="s">
        <v>23</v>
      </c>
      <c r="L223">
        <v>684</v>
      </c>
      <c r="M223">
        <v>17.308486800000001</v>
      </c>
      <c r="N223">
        <v>222.43924831381185</v>
      </c>
      <c r="O223">
        <v>0.10610604466456598</v>
      </c>
      <c r="P223" s="1" t="str">
        <f>HYPERLINK(".\sm_car_260705_0424\sm_car_260705_0424_222_Ca218TrN_MaSLA_DrSt_ode23t_1.png","figure")</f>
        <v>figure</v>
      </c>
      <c r="Q223" t="s">
        <v>15</v>
      </c>
    </row>
    <row r="224" spans="1:17" x14ac:dyDescent="0.25">
      <c r="A224">
        <v>223</v>
      </c>
      <c r="B224">
        <v>218</v>
      </c>
      <c r="C224" t="s">
        <v>16</v>
      </c>
      <c r="D224" t="s">
        <v>128</v>
      </c>
      <c r="E224" t="s">
        <v>107</v>
      </c>
      <c r="F224" t="s">
        <v>19</v>
      </c>
      <c r="G224" t="s">
        <v>188</v>
      </c>
      <c r="H224" t="s">
        <v>21</v>
      </c>
      <c r="I224" t="s">
        <v>195</v>
      </c>
      <c r="J224" t="s">
        <v>148</v>
      </c>
      <c r="K224" t="s">
        <v>23</v>
      </c>
      <c r="L224">
        <v>842</v>
      </c>
      <c r="M224">
        <v>6.9811950999999999</v>
      </c>
      <c r="N224">
        <v>2944.9151230100242</v>
      </c>
      <c r="O224">
        <v>1.3240742643157077E-4</v>
      </c>
      <c r="P224" s="1" t="str">
        <f>HYPERLINK(".\sm_car_260705_0424\sm_car_260705_0424_223_Ca218TrN_MaCOA_DrSt_ode23t_1.png","figure")</f>
        <v>figure</v>
      </c>
      <c r="Q224" t="s">
        <v>15</v>
      </c>
    </row>
    <row r="225" spans="1:17" x14ac:dyDescent="0.25">
      <c r="A225">
        <v>224</v>
      </c>
      <c r="B225">
        <v>239</v>
      </c>
      <c r="C225" t="s">
        <v>45</v>
      </c>
      <c r="D225" t="s">
        <v>196</v>
      </c>
      <c r="E225" t="s">
        <v>107</v>
      </c>
      <c r="F225" t="s">
        <v>19</v>
      </c>
      <c r="G225" t="s">
        <v>26</v>
      </c>
      <c r="H225" t="s">
        <v>21</v>
      </c>
      <c r="I225" t="s">
        <v>132</v>
      </c>
      <c r="J225" t="s">
        <v>148</v>
      </c>
      <c r="K225" t="s">
        <v>23</v>
      </c>
      <c r="L225">
        <v>488</v>
      </c>
      <c r="M225">
        <v>2.8640935999999999</v>
      </c>
      <c r="N225">
        <v>112.71388313292174</v>
      </c>
      <c r="O225">
        <v>-25.19533964186283</v>
      </c>
      <c r="P225" s="1" t="str">
        <f>HYPERLINK(".\sm_car_260705_0424\sm_car_260705_0424_224_Ca239TrN_MaFSH_DrSt_ode23t_1.png","figure")</f>
        <v>figure</v>
      </c>
      <c r="Q225" t="s">
        <v>15</v>
      </c>
    </row>
    <row r="226" spans="1:17" x14ac:dyDescent="0.25">
      <c r="A226">
        <v>225</v>
      </c>
      <c r="B226">
        <v>239</v>
      </c>
      <c r="C226" t="s">
        <v>45</v>
      </c>
      <c r="D226" t="s">
        <v>196</v>
      </c>
      <c r="E226" t="s">
        <v>107</v>
      </c>
      <c r="F226" t="s">
        <v>19</v>
      </c>
      <c r="G226" t="s">
        <v>26</v>
      </c>
      <c r="H226" t="s">
        <v>21</v>
      </c>
      <c r="I226" t="s">
        <v>133</v>
      </c>
      <c r="J226" t="s">
        <v>148</v>
      </c>
      <c r="K226" t="s">
        <v>23</v>
      </c>
      <c r="L226">
        <v>411</v>
      </c>
      <c r="M226">
        <v>2.5633485</v>
      </c>
      <c r="N226">
        <v>142.72778790788729</v>
      </c>
      <c r="O226">
        <v>-8.3550057402875293</v>
      </c>
      <c r="P226" s="1" t="str">
        <f>HYPERLINK(".\sm_car_260705_0424\sm_car_260705_0424_225_Ca239TrN_MaSWD_DrSt_ode23t_1.png","figure")</f>
        <v>figure</v>
      </c>
      <c r="Q226" t="s">
        <v>15</v>
      </c>
    </row>
    <row r="227" spans="1:17" x14ac:dyDescent="0.25">
      <c r="A227">
        <v>226</v>
      </c>
      <c r="B227">
        <v>239</v>
      </c>
      <c r="C227" t="s">
        <v>45</v>
      </c>
      <c r="D227" t="s">
        <v>196</v>
      </c>
      <c r="E227" t="s">
        <v>107</v>
      </c>
      <c r="F227" t="s">
        <v>19</v>
      </c>
      <c r="G227" t="s">
        <v>26</v>
      </c>
      <c r="H227" t="s">
        <v>21</v>
      </c>
      <c r="I227" t="s">
        <v>134</v>
      </c>
      <c r="J227" t="s">
        <v>148</v>
      </c>
      <c r="K227" t="s">
        <v>23</v>
      </c>
      <c r="L227">
        <v>357</v>
      </c>
      <c r="M227">
        <v>2.2687387000000001</v>
      </c>
      <c r="N227">
        <v>111.12695792785584</v>
      </c>
      <c r="O227">
        <v>31.882703928988889</v>
      </c>
      <c r="P227" s="1" t="str">
        <f>HYPERLINK(".\sm_car_260705_0424\sm_car_260705_0424_226_Ca239TrN_MaRST_DrSt_ode23t_1.png","figure")</f>
        <v>figure</v>
      </c>
      <c r="Q227" t="s">
        <v>15</v>
      </c>
    </row>
    <row r="228" spans="1:17" x14ac:dyDescent="0.25">
      <c r="A228">
        <v>227</v>
      </c>
      <c r="B228">
        <v>239</v>
      </c>
      <c r="C228" t="s">
        <v>45</v>
      </c>
      <c r="D228" t="s">
        <v>196</v>
      </c>
      <c r="E228" t="s">
        <v>107</v>
      </c>
      <c r="F228" t="s">
        <v>19</v>
      </c>
      <c r="G228" t="s">
        <v>26</v>
      </c>
      <c r="H228" t="s">
        <v>21</v>
      </c>
      <c r="I228" t="s">
        <v>135</v>
      </c>
      <c r="J228" t="s">
        <v>148</v>
      </c>
      <c r="K228" t="s">
        <v>23</v>
      </c>
      <c r="L228">
        <v>524</v>
      </c>
      <c r="M228">
        <v>2.7123332000000002</v>
      </c>
      <c r="N228">
        <v>225.24950954811177</v>
      </c>
      <c r="O228">
        <v>0.10153919136998872</v>
      </c>
      <c r="P228" s="1" t="str">
        <f>HYPERLINK(".\sm_car_260705_0424\sm_car_260705_0424_227_Ca239TrN_MaSLA_DrSt_ode23t_1.png","figure")</f>
        <v>figure</v>
      </c>
      <c r="Q228" t="s">
        <v>15</v>
      </c>
    </row>
    <row r="229" spans="1:17" x14ac:dyDescent="0.25">
      <c r="A229">
        <v>228</v>
      </c>
      <c r="B229">
        <v>239</v>
      </c>
      <c r="C229" t="s">
        <v>45</v>
      </c>
      <c r="D229" t="s">
        <v>196</v>
      </c>
      <c r="E229" t="s">
        <v>107</v>
      </c>
      <c r="F229" t="s">
        <v>19</v>
      </c>
      <c r="G229" t="s">
        <v>26</v>
      </c>
      <c r="H229" t="s">
        <v>21</v>
      </c>
      <c r="I229" t="s">
        <v>195</v>
      </c>
      <c r="J229" t="s">
        <v>148</v>
      </c>
      <c r="K229" t="s">
        <v>23</v>
      </c>
      <c r="L229">
        <v>747</v>
      </c>
      <c r="M229">
        <v>2.5747678999999999</v>
      </c>
      <c r="N229">
        <v>2463.4762767500297</v>
      </c>
      <c r="O229">
        <v>5.187421470765959E-4</v>
      </c>
      <c r="P229" s="1" t="str">
        <f>HYPERLINK(".\sm_car_260705_0424\sm_car_260705_0424_228_Ca239TrN_MaCOA_DrSt_ode23t_1.png","figure")</f>
        <v>figure</v>
      </c>
      <c r="Q229" t="s">
        <v>15</v>
      </c>
    </row>
    <row r="230" spans="1:17" x14ac:dyDescent="0.25">
      <c r="A230">
        <v>229</v>
      </c>
      <c r="B230">
        <v>232</v>
      </c>
      <c r="C230" t="s">
        <v>160</v>
      </c>
      <c r="D230" t="s">
        <v>172</v>
      </c>
      <c r="E230" t="s">
        <v>162</v>
      </c>
      <c r="F230" t="s">
        <v>179</v>
      </c>
      <c r="G230" t="s">
        <v>26</v>
      </c>
      <c r="H230" t="s">
        <v>21</v>
      </c>
      <c r="I230" t="s">
        <v>132</v>
      </c>
      <c r="J230" t="s">
        <v>148</v>
      </c>
      <c r="K230" t="s">
        <v>23</v>
      </c>
      <c r="L230">
        <v>654</v>
      </c>
      <c r="M230">
        <v>13.430562999999999</v>
      </c>
      <c r="N230">
        <v>70.689999281450611</v>
      </c>
      <c r="O230">
        <v>-14.011718378217198</v>
      </c>
      <c r="P230" s="1" t="str">
        <f>HYPERLINK(".\sm_car_260705_0424\sm_car_260705_0424_229_Ca232TrN_MaFSH_DrSt_ode23t_1.png","figure")</f>
        <v>figure</v>
      </c>
      <c r="Q230" t="s">
        <v>15</v>
      </c>
    </row>
    <row r="231" spans="1:17" x14ac:dyDescent="0.25">
      <c r="A231">
        <v>230</v>
      </c>
      <c r="B231">
        <v>241</v>
      </c>
      <c r="C231" t="s">
        <v>160</v>
      </c>
      <c r="D231" t="s">
        <v>197</v>
      </c>
      <c r="E231" t="s">
        <v>162</v>
      </c>
      <c r="F231" t="s">
        <v>19</v>
      </c>
      <c r="G231" t="s">
        <v>26</v>
      </c>
      <c r="H231" t="s">
        <v>21</v>
      </c>
      <c r="I231" t="s">
        <v>198</v>
      </c>
      <c r="J231" t="s">
        <v>148</v>
      </c>
      <c r="K231" t="s">
        <v>23</v>
      </c>
      <c r="L231">
        <v>822</v>
      </c>
      <c r="M231">
        <v>54.6890736</v>
      </c>
      <c r="N231">
        <v>103.04552326843805</v>
      </c>
      <c r="O231">
        <v>-5.6806555712037285E-2</v>
      </c>
      <c r="P231" s="1" t="str">
        <f>HYPERLINK(".\sm_car_260705_0424\sm_car_260705_0424_230_Ca241TrN_Ma_DrSt_ode23t_1.png","figure")</f>
        <v>figure</v>
      </c>
      <c r="Q231" t="s">
        <v>15</v>
      </c>
    </row>
    <row r="232" spans="1:17" x14ac:dyDescent="0.25">
      <c r="A232">
        <v>231</v>
      </c>
      <c r="B232">
        <v>156</v>
      </c>
      <c r="C232" t="s">
        <v>45</v>
      </c>
      <c r="D232" t="s">
        <v>17</v>
      </c>
      <c r="E232" t="s">
        <v>18</v>
      </c>
      <c r="F232" t="s">
        <v>19</v>
      </c>
      <c r="G232" t="s">
        <v>38</v>
      </c>
      <c r="H232" t="s">
        <v>21</v>
      </c>
      <c r="I232" t="s">
        <v>54</v>
      </c>
      <c r="J232" t="s">
        <v>148</v>
      </c>
      <c r="K232" t="s">
        <v>23</v>
      </c>
      <c r="L232">
        <v>25252</v>
      </c>
      <c r="M232">
        <v>276.53176989999997</v>
      </c>
      <c r="N232">
        <v>19.006353498135681</v>
      </c>
      <c r="O232">
        <v>2.4213230749408736</v>
      </c>
      <c r="P232" s="1" t="str">
        <f>HYPERLINK(".\sm_car_260705_0424\sm_car_260705_0424_231_Ca156TrN_MaIPA_DrSt_ode23t.png","figure")</f>
        <v>figure</v>
      </c>
      <c r="Q232" t="s">
        <v>15</v>
      </c>
    </row>
    <row r="233" spans="1:17" x14ac:dyDescent="0.25">
      <c r="A233">
        <v>232</v>
      </c>
      <c r="B233">
        <v>130</v>
      </c>
      <c r="C233" t="s">
        <v>16</v>
      </c>
      <c r="D233" t="s">
        <v>17</v>
      </c>
      <c r="E233" t="s">
        <v>18</v>
      </c>
      <c r="F233" t="s">
        <v>19</v>
      </c>
      <c r="G233" t="s">
        <v>38</v>
      </c>
      <c r="H233" t="s">
        <v>21</v>
      </c>
      <c r="I233" t="s">
        <v>54</v>
      </c>
      <c r="J233" t="s">
        <v>148</v>
      </c>
      <c r="K233" t="s">
        <v>23</v>
      </c>
      <c r="L233">
        <v>17781</v>
      </c>
      <c r="M233">
        <v>256.40391199999999</v>
      </c>
      <c r="N233">
        <v>16.25171705291617</v>
      </c>
      <c r="O233">
        <v>0.56631067244390887</v>
      </c>
      <c r="P233" s="1" t="str">
        <f>HYPERLINK(".\sm_car_260705_0424\sm_car_260705_0424_232_Ca130TrN_MaIPA_DrSt_ode23t.png","figure")</f>
        <v>figure</v>
      </c>
      <c r="Q233" t="s">
        <v>15</v>
      </c>
    </row>
    <row r="234" spans="1:17" x14ac:dyDescent="0.25">
      <c r="A234">
        <v>233</v>
      </c>
      <c r="B234">
        <v>171</v>
      </c>
      <c r="C234" t="s">
        <v>45</v>
      </c>
      <c r="D234" t="s">
        <v>17</v>
      </c>
      <c r="E234" t="s">
        <v>72</v>
      </c>
      <c r="F234" t="s">
        <v>19</v>
      </c>
      <c r="G234" t="s">
        <v>26</v>
      </c>
      <c r="H234" t="s">
        <v>21</v>
      </c>
      <c r="I234" t="s">
        <v>73</v>
      </c>
      <c r="J234" t="s">
        <v>148</v>
      </c>
      <c r="K234" t="s">
        <v>23</v>
      </c>
      <c r="L234">
        <v>1453</v>
      </c>
      <c r="M234">
        <v>24.001441100000001</v>
      </c>
      <c r="N234">
        <v>334.6864202946897</v>
      </c>
      <c r="O234">
        <v>0.66732559955130666</v>
      </c>
      <c r="P234" s="1" t="str">
        <f>HYPERLINK(".\sm_car_260705_0424\sm_car_260705_0424_233_Ca171TrN_MaRDP_DrSt_ode23t_1.png","figure")</f>
        <v>figure</v>
      </c>
      <c r="Q234" t="s">
        <v>15</v>
      </c>
    </row>
    <row r="235" spans="1:17" x14ac:dyDescent="0.25">
      <c r="A235">
        <v>234</v>
      </c>
      <c r="B235">
        <v>172</v>
      </c>
      <c r="C235" t="s">
        <v>46</v>
      </c>
      <c r="D235" t="s">
        <v>17</v>
      </c>
      <c r="E235" t="s">
        <v>72</v>
      </c>
      <c r="F235" t="s">
        <v>19</v>
      </c>
      <c r="G235" t="s">
        <v>26</v>
      </c>
      <c r="H235" t="s">
        <v>21</v>
      </c>
      <c r="I235" t="s">
        <v>73</v>
      </c>
      <c r="J235" t="s">
        <v>148</v>
      </c>
      <c r="K235" t="s">
        <v>23</v>
      </c>
      <c r="L235">
        <v>1219</v>
      </c>
      <c r="M235">
        <v>11.673428400000001</v>
      </c>
      <c r="N235">
        <v>136.08565270770777</v>
      </c>
      <c r="O235">
        <v>3.6756324890723578E-2</v>
      </c>
      <c r="P235" s="1" t="str">
        <f>HYPERLINK(".\sm_car_260705_0424\sm_car_260705_0424_234_Ca172TrN_MaRDP_DrSt_ode23t_1.png","figure")</f>
        <v>figure</v>
      </c>
      <c r="Q235" t="s">
        <v>15</v>
      </c>
    </row>
    <row r="236" spans="1:17" x14ac:dyDescent="0.25">
      <c r="A236">
        <v>235</v>
      </c>
      <c r="B236">
        <v>139</v>
      </c>
      <c r="C236" t="s">
        <v>45</v>
      </c>
      <c r="D236" t="s">
        <v>17</v>
      </c>
      <c r="E236" t="s">
        <v>18</v>
      </c>
      <c r="F236" t="s">
        <v>19</v>
      </c>
      <c r="G236" t="s">
        <v>26</v>
      </c>
      <c r="H236" t="s">
        <v>21</v>
      </c>
      <c r="I236" t="s">
        <v>74</v>
      </c>
      <c r="J236" t="s">
        <v>148</v>
      </c>
      <c r="K236" t="s">
        <v>23</v>
      </c>
      <c r="L236">
        <v>1600</v>
      </c>
      <c r="M236">
        <v>20.002015400000001</v>
      </c>
      <c r="N236">
        <v>361.31017493412941</v>
      </c>
      <c r="O236">
        <v>0.72977477492291742</v>
      </c>
      <c r="P236" s="1" t="str">
        <f>HYPERLINK(".\sm_car_260705_0424\sm_car_260705_0424_235_Ca139TrN_MaZPL_DrSt_ode23t_1.png","figure")</f>
        <v>figure</v>
      </c>
      <c r="Q236" t="s">
        <v>15</v>
      </c>
    </row>
    <row r="237" spans="1:17" x14ac:dyDescent="0.25">
      <c r="A237">
        <v>236</v>
      </c>
      <c r="B237">
        <v>165</v>
      </c>
      <c r="C237" t="s">
        <v>45</v>
      </c>
      <c r="D237" t="s">
        <v>35</v>
      </c>
      <c r="E237" t="s">
        <v>49</v>
      </c>
      <c r="F237" t="s">
        <v>19</v>
      </c>
      <c r="G237" t="s">
        <v>26</v>
      </c>
      <c r="H237" t="s">
        <v>21</v>
      </c>
      <c r="I237" t="s">
        <v>74</v>
      </c>
      <c r="J237" t="s">
        <v>148</v>
      </c>
      <c r="K237" t="s">
        <v>23</v>
      </c>
      <c r="L237">
        <v>1929</v>
      </c>
      <c r="M237">
        <v>9.4981524999999998</v>
      </c>
      <c r="N237">
        <v>397.35869506730666</v>
      </c>
      <c r="O237">
        <v>0.34126149917665555</v>
      </c>
      <c r="P237" s="1" t="str">
        <f>HYPERLINK(".\sm_car_260705_0424\sm_car_260705_0424_236_Ca165TrN_MaZPL_DrSt_ode23t_1.png","figure")</f>
        <v>figure</v>
      </c>
      <c r="Q237" t="s">
        <v>15</v>
      </c>
    </row>
    <row r="238" spans="1:17" x14ac:dyDescent="0.25">
      <c r="A238">
        <v>237</v>
      </c>
      <c r="B238">
        <v>171</v>
      </c>
      <c r="C238" t="s">
        <v>45</v>
      </c>
      <c r="D238" t="s">
        <v>17</v>
      </c>
      <c r="E238" t="s">
        <v>72</v>
      </c>
      <c r="F238" t="s">
        <v>19</v>
      </c>
      <c r="G238" t="s">
        <v>26</v>
      </c>
      <c r="H238" t="s">
        <v>21</v>
      </c>
      <c r="I238" t="s">
        <v>74</v>
      </c>
      <c r="J238" t="s">
        <v>148</v>
      </c>
      <c r="K238" t="s">
        <v>23</v>
      </c>
      <c r="L238">
        <v>1557</v>
      </c>
      <c r="M238">
        <v>25.451434299999999</v>
      </c>
      <c r="N238">
        <v>361.07597411867062</v>
      </c>
      <c r="O238">
        <v>0.74430309340308276</v>
      </c>
      <c r="P238" s="1" t="str">
        <f>HYPERLINK(".\sm_car_260705_0424\sm_car_260705_0424_237_Ca171TrN_MaZPL_DrSt_ode23t_1.png","figure")</f>
        <v>figure</v>
      </c>
      <c r="Q238" t="s">
        <v>15</v>
      </c>
    </row>
    <row r="239" spans="1:17" x14ac:dyDescent="0.25">
      <c r="A239">
        <v>238</v>
      </c>
      <c r="B239">
        <v>165</v>
      </c>
      <c r="C239" t="s">
        <v>45</v>
      </c>
      <c r="D239" t="s">
        <v>35</v>
      </c>
      <c r="E239" t="s">
        <v>49</v>
      </c>
      <c r="F239" t="s">
        <v>19</v>
      </c>
      <c r="G239" t="s">
        <v>26</v>
      </c>
      <c r="H239" t="s">
        <v>21</v>
      </c>
      <c r="I239" t="s">
        <v>75</v>
      </c>
      <c r="J239" t="s">
        <v>148</v>
      </c>
      <c r="K239" t="s">
        <v>23</v>
      </c>
      <c r="L239">
        <v>431</v>
      </c>
      <c r="M239">
        <v>3.6220677000000001</v>
      </c>
      <c r="N239">
        <v>377.98359083747175</v>
      </c>
      <c r="O239">
        <v>0.32831600755486856</v>
      </c>
      <c r="P239" s="1" t="str">
        <f>HYPERLINK(".\sm_car_260705_0424\sm_car_260705_0424_238_Ca165TrN_MaCPL_DrSt_ode23t_1.png","figure")</f>
        <v>figure</v>
      </c>
      <c r="Q239" t="s">
        <v>15</v>
      </c>
    </row>
    <row r="240" spans="1:17" x14ac:dyDescent="0.25">
      <c r="A240">
        <v>239</v>
      </c>
      <c r="B240">
        <v>170</v>
      </c>
      <c r="C240" t="s">
        <v>45</v>
      </c>
      <c r="D240" t="s">
        <v>35</v>
      </c>
      <c r="E240" t="s">
        <v>49</v>
      </c>
      <c r="F240" t="s">
        <v>19</v>
      </c>
      <c r="G240" t="s">
        <v>188</v>
      </c>
      <c r="H240" t="s">
        <v>21</v>
      </c>
      <c r="I240" t="s">
        <v>75</v>
      </c>
      <c r="J240" t="s">
        <v>148</v>
      </c>
      <c r="K240" t="s">
        <v>23</v>
      </c>
      <c r="L240">
        <v>425</v>
      </c>
      <c r="M240">
        <v>2.4694429000000002</v>
      </c>
      <c r="N240">
        <v>380.72844063042811</v>
      </c>
      <c r="O240">
        <v>0.33453431774929132</v>
      </c>
      <c r="P240" s="1" t="str">
        <f>HYPERLINK(".\sm_car_260705_0424\sm_car_260705_0424_239_Ca170TrN_MaCPL_DrSt_ode23t_1.png","figure")</f>
        <v>figure</v>
      </c>
      <c r="Q240" t="s">
        <v>15</v>
      </c>
    </row>
    <row r="241" spans="1:17" x14ac:dyDescent="0.25">
      <c r="A241">
        <v>240</v>
      </c>
      <c r="B241">
        <v>171</v>
      </c>
      <c r="C241" t="s">
        <v>45</v>
      </c>
      <c r="D241" t="s">
        <v>17</v>
      </c>
      <c r="E241" t="s">
        <v>72</v>
      </c>
      <c r="F241" t="s">
        <v>19</v>
      </c>
      <c r="G241" t="s">
        <v>26</v>
      </c>
      <c r="H241" t="s">
        <v>21</v>
      </c>
      <c r="I241" t="s">
        <v>76</v>
      </c>
      <c r="J241" t="s">
        <v>148</v>
      </c>
      <c r="K241" t="s">
        <v>23</v>
      </c>
      <c r="L241">
        <v>2809</v>
      </c>
      <c r="M241">
        <v>45.593835200000001</v>
      </c>
      <c r="N241">
        <v>165.07634913523941</v>
      </c>
      <c r="O241">
        <v>1.1147032088621967E-3</v>
      </c>
      <c r="P241" s="1" t="str">
        <f>HYPERLINK(".\sm_car_260705_0424\sm_car_260705_0424_240_Ca171TrN_MaRDR_DrSt_ode23t_1.png","figure")</f>
        <v>figure</v>
      </c>
      <c r="Q241" t="s">
        <v>15</v>
      </c>
    </row>
    <row r="242" spans="1:17" x14ac:dyDescent="0.25">
      <c r="A242">
        <v>241</v>
      </c>
      <c r="B242">
        <v>172</v>
      </c>
      <c r="C242" t="s">
        <v>46</v>
      </c>
      <c r="D242" t="s">
        <v>17</v>
      </c>
      <c r="E242" t="s">
        <v>72</v>
      </c>
      <c r="F242" t="s">
        <v>19</v>
      </c>
      <c r="G242" t="s">
        <v>26</v>
      </c>
      <c r="H242" t="s">
        <v>21</v>
      </c>
      <c r="I242" t="s">
        <v>76</v>
      </c>
      <c r="J242" t="s">
        <v>148</v>
      </c>
      <c r="K242" t="s">
        <v>23</v>
      </c>
      <c r="L242">
        <v>3238</v>
      </c>
      <c r="M242">
        <v>27.125110100000001</v>
      </c>
      <c r="N242">
        <v>162.25441989984716</v>
      </c>
      <c r="O242">
        <v>3.6944948310895594E-4</v>
      </c>
      <c r="P242" s="1" t="str">
        <f>HYPERLINK(".\sm_car_260705_0424\sm_car_260705_0424_241_Ca172TrN_MaRDR_DrSt_ode23t_1.png","figure")</f>
        <v>figure</v>
      </c>
      <c r="Q242" t="s">
        <v>15</v>
      </c>
    </row>
    <row r="243" spans="1:17" x14ac:dyDescent="0.25">
      <c r="A243">
        <v>242</v>
      </c>
      <c r="B243">
        <v>139</v>
      </c>
      <c r="C243" t="s">
        <v>45</v>
      </c>
      <c r="D243" t="s">
        <v>17</v>
      </c>
      <c r="E243" t="s">
        <v>18</v>
      </c>
      <c r="F243" t="s">
        <v>19</v>
      </c>
      <c r="G243" t="s">
        <v>26</v>
      </c>
      <c r="H243" t="s">
        <v>21</v>
      </c>
      <c r="I243" t="s">
        <v>77</v>
      </c>
      <c r="J243" t="s">
        <v>148</v>
      </c>
      <c r="K243" t="s">
        <v>23</v>
      </c>
      <c r="L243">
        <v>2967</v>
      </c>
      <c r="M243">
        <v>32.625825200000001</v>
      </c>
      <c r="N243">
        <v>189.27067358726217</v>
      </c>
      <c r="O243">
        <v>7.4911249832966987E-4</v>
      </c>
      <c r="P243" s="1" t="str">
        <f>HYPERLINK(".\sm_car_260705_0424\sm_car_260705_0424_242_Ca139TrN_MaZRR_DrSt_ode23t_1.png","figure")</f>
        <v>figure</v>
      </c>
      <c r="Q243" t="s">
        <v>15</v>
      </c>
    </row>
    <row r="244" spans="1:17" x14ac:dyDescent="0.25">
      <c r="A244">
        <v>243</v>
      </c>
      <c r="B244">
        <v>165</v>
      </c>
      <c r="C244" t="s">
        <v>45</v>
      </c>
      <c r="D244" t="s">
        <v>35</v>
      </c>
      <c r="E244" t="s">
        <v>49</v>
      </c>
      <c r="F244" t="s">
        <v>19</v>
      </c>
      <c r="G244" t="s">
        <v>26</v>
      </c>
      <c r="H244" t="s">
        <v>21</v>
      </c>
      <c r="I244" t="s">
        <v>77</v>
      </c>
      <c r="J244" t="s">
        <v>148</v>
      </c>
      <c r="K244" t="s">
        <v>23</v>
      </c>
      <c r="L244">
        <v>3235</v>
      </c>
      <c r="M244">
        <v>19.650186300000001</v>
      </c>
      <c r="N244">
        <v>189.42270028695617</v>
      </c>
      <c r="O244">
        <v>5.9916524672873331E-5</v>
      </c>
      <c r="P244" s="1" t="str">
        <f>HYPERLINK(".\sm_car_260705_0424\sm_car_260705_0424_243_Ca165TrN_MaZRR_DrSt_ode23t_1.png","figure")</f>
        <v>figure</v>
      </c>
      <c r="Q244" t="s">
        <v>15</v>
      </c>
    </row>
    <row r="245" spans="1:17" x14ac:dyDescent="0.25">
      <c r="A245">
        <v>244</v>
      </c>
      <c r="B245">
        <v>171</v>
      </c>
      <c r="C245" t="s">
        <v>45</v>
      </c>
      <c r="D245" t="s">
        <v>17</v>
      </c>
      <c r="E245" t="s">
        <v>72</v>
      </c>
      <c r="F245" t="s">
        <v>19</v>
      </c>
      <c r="G245" t="s">
        <v>26</v>
      </c>
      <c r="H245" t="s">
        <v>21</v>
      </c>
      <c r="I245" t="s">
        <v>77</v>
      </c>
      <c r="J245" t="s">
        <v>148</v>
      </c>
      <c r="K245" t="s">
        <v>23</v>
      </c>
      <c r="L245">
        <v>2965</v>
      </c>
      <c r="M245">
        <v>47.753864200000002</v>
      </c>
      <c r="N245">
        <v>189.26718781907476</v>
      </c>
      <c r="O245">
        <v>7.0780413752899191E-4</v>
      </c>
      <c r="P245" s="1" t="str">
        <f>HYPERLINK(".\sm_car_260705_0424\sm_car_260705_0424_244_Ca171TrN_MaZRR_DrSt_ode23t_1.png","figure")</f>
        <v>figure</v>
      </c>
      <c r="Q245" t="s">
        <v>15</v>
      </c>
    </row>
    <row r="246" spans="1:17" x14ac:dyDescent="0.25">
      <c r="A246">
        <v>245</v>
      </c>
      <c r="B246">
        <v>170</v>
      </c>
      <c r="C246" t="s">
        <v>45</v>
      </c>
      <c r="D246" t="s">
        <v>35</v>
      </c>
      <c r="E246" t="s">
        <v>49</v>
      </c>
      <c r="F246" t="s">
        <v>19</v>
      </c>
      <c r="G246" t="s">
        <v>188</v>
      </c>
      <c r="H246" t="s">
        <v>21</v>
      </c>
      <c r="I246" t="s">
        <v>78</v>
      </c>
      <c r="J246" t="s">
        <v>148</v>
      </c>
      <c r="K246" t="s">
        <v>23</v>
      </c>
      <c r="L246">
        <v>5631</v>
      </c>
      <c r="M246">
        <v>18.439232000000001</v>
      </c>
      <c r="N246">
        <v>-5.9979544712873629</v>
      </c>
      <c r="O246">
        <v>-7.748787899003756E-3</v>
      </c>
      <c r="P246" s="1" t="str">
        <f>HYPERLINK(".\sm_car_260705_0424\sm_car_260705_0424_245_Ca170TrN_MaCMP_DrSt_ode23t_1.png","figure")</f>
        <v>figure</v>
      </c>
      <c r="Q246" t="s">
        <v>15</v>
      </c>
    </row>
    <row r="247" spans="1:17" x14ac:dyDescent="0.25">
      <c r="A247">
        <v>246</v>
      </c>
      <c r="B247">
        <v>170</v>
      </c>
      <c r="C247" t="s">
        <v>45</v>
      </c>
      <c r="D247" t="s">
        <v>35</v>
      </c>
      <c r="E247" t="s">
        <v>49</v>
      </c>
      <c r="F247" t="s">
        <v>19</v>
      </c>
      <c r="G247" t="s">
        <v>188</v>
      </c>
      <c r="H247" t="s">
        <v>21</v>
      </c>
      <c r="I247" t="s">
        <v>79</v>
      </c>
      <c r="J247" t="s">
        <v>148</v>
      </c>
      <c r="K247" t="s">
        <v>23</v>
      </c>
      <c r="L247">
        <v>1580</v>
      </c>
      <c r="M247">
        <v>10.044325300000001</v>
      </c>
      <c r="N247">
        <v>-5.9979562952002521</v>
      </c>
      <c r="O247">
        <v>-7.7744401064364149E-3</v>
      </c>
      <c r="P247" s="1" t="str">
        <f>HYPERLINK(".\sm_car_260705_0424\sm_car_260705_0424_246_Ca170TrN_MaCMF_DrSt_ode23t_1.png","figure")</f>
        <v>figure</v>
      </c>
      <c r="Q247" t="s">
        <v>15</v>
      </c>
    </row>
    <row r="248" spans="1:17" x14ac:dyDescent="0.25">
      <c r="A248">
        <v>247</v>
      </c>
      <c r="B248">
        <v>170</v>
      </c>
      <c r="C248" t="s">
        <v>45</v>
      </c>
      <c r="D248" t="s">
        <v>35</v>
      </c>
      <c r="E248" t="s">
        <v>49</v>
      </c>
      <c r="F248" t="s">
        <v>19</v>
      </c>
      <c r="G248" t="s">
        <v>188</v>
      </c>
      <c r="H248" t="s">
        <v>21</v>
      </c>
      <c r="I248" t="s">
        <v>80</v>
      </c>
      <c r="J248" t="s">
        <v>148</v>
      </c>
      <c r="K248" t="s">
        <v>23</v>
      </c>
      <c r="L248">
        <v>5352</v>
      </c>
      <c r="M248">
        <v>35.280512399999999</v>
      </c>
      <c r="N248">
        <v>-217.57982253801711</v>
      </c>
      <c r="O248">
        <v>5.8626187677265129</v>
      </c>
      <c r="P248" s="1" t="str">
        <f>HYPERLINK(".\sm_car_260705_0424\sm_car_260705_0424_247_Ca170TrN_MaMPO_DrSt_ode23t_1.png","figure")</f>
        <v>figure</v>
      </c>
      <c r="Q248" t="s">
        <v>15</v>
      </c>
    </row>
    <row r="249" spans="1:17" x14ac:dyDescent="0.25">
      <c r="A249">
        <v>248</v>
      </c>
      <c r="B249">
        <v>170</v>
      </c>
      <c r="C249" t="s">
        <v>45</v>
      </c>
      <c r="D249" t="s">
        <v>35</v>
      </c>
      <c r="E249" t="s">
        <v>49</v>
      </c>
      <c r="F249" t="s">
        <v>19</v>
      </c>
      <c r="G249" t="s">
        <v>188</v>
      </c>
      <c r="H249" t="s">
        <v>21</v>
      </c>
      <c r="I249" t="s">
        <v>81</v>
      </c>
      <c r="J249" t="s">
        <v>148</v>
      </c>
      <c r="K249" t="s">
        <v>23</v>
      </c>
      <c r="L249">
        <v>1159</v>
      </c>
      <c r="M249">
        <v>15.047051</v>
      </c>
      <c r="N249">
        <v>-14.249805149059753</v>
      </c>
      <c r="O249">
        <v>-2.4005762248606288E-2</v>
      </c>
      <c r="P249" s="1" t="str">
        <f>HYPERLINK(".\sm_car_260705_0424\sm_car_260705_0424_248_Ca170TrN_MaMCI_DrSt_ode23t_1.png","figure")</f>
        <v>figure</v>
      </c>
      <c r="Q249" t="s">
        <v>15</v>
      </c>
    </row>
    <row r="250" spans="1:17" x14ac:dyDescent="0.25">
      <c r="A250">
        <v>249</v>
      </c>
      <c r="B250">
        <v>170</v>
      </c>
      <c r="C250" t="s">
        <v>45</v>
      </c>
      <c r="D250" t="s">
        <v>35</v>
      </c>
      <c r="E250" t="s">
        <v>49</v>
      </c>
      <c r="F250" t="s">
        <v>19</v>
      </c>
      <c r="G250" t="s">
        <v>188</v>
      </c>
      <c r="H250" t="s">
        <v>21</v>
      </c>
      <c r="I250" t="s">
        <v>110</v>
      </c>
      <c r="J250" t="s">
        <v>148</v>
      </c>
      <c r="K250" t="s">
        <v>23</v>
      </c>
      <c r="L250">
        <v>3658</v>
      </c>
      <c r="M250">
        <v>20.256161500000001</v>
      </c>
      <c r="N250">
        <v>-5.99850593522478</v>
      </c>
      <c r="O250">
        <v>-5.0284239756188433E-3</v>
      </c>
      <c r="P250" s="1" t="str">
        <f>HYPERLINK(".\sm_car_260705_0424\sm_car_260705_0424_249_Ca170TrN_MaCHO_DrSt_ode23t_1.png","figure")</f>
        <v>figure</v>
      </c>
      <c r="Q250" t="s">
        <v>15</v>
      </c>
    </row>
    <row r="251" spans="1:17" x14ac:dyDescent="0.25">
      <c r="A251">
        <v>250</v>
      </c>
      <c r="B251">
        <v>170</v>
      </c>
      <c r="C251" t="s">
        <v>45</v>
      </c>
      <c r="D251" t="s">
        <v>35</v>
      </c>
      <c r="E251" t="s">
        <v>49</v>
      </c>
      <c r="F251" t="s">
        <v>19</v>
      </c>
      <c r="G251" t="s">
        <v>188</v>
      </c>
      <c r="H251" t="s">
        <v>21</v>
      </c>
      <c r="I251" t="s">
        <v>111</v>
      </c>
      <c r="J251" t="s">
        <v>148</v>
      </c>
      <c r="K251" t="s">
        <v>23</v>
      </c>
      <c r="L251">
        <v>2593</v>
      </c>
      <c r="M251">
        <v>19.3201854</v>
      </c>
      <c r="N251">
        <v>-5.9933615670907496</v>
      </c>
      <c r="O251">
        <v>-5.0691476177880581E-3</v>
      </c>
      <c r="P251" s="1" t="str">
        <f>HYPERLINK(".\sm_car_260705_0424\sm_car_260705_0424_250_Ca170TrN_MaCHF_DrSt_ode23t_1.png","figure")</f>
        <v>figure</v>
      </c>
      <c r="Q251" t="s">
        <v>15</v>
      </c>
    </row>
    <row r="252" spans="1:17" x14ac:dyDescent="0.25">
      <c r="A252">
        <v>251</v>
      </c>
      <c r="B252">
        <v>170</v>
      </c>
      <c r="C252" t="s">
        <v>45</v>
      </c>
      <c r="D252" t="s">
        <v>35</v>
      </c>
      <c r="E252" t="s">
        <v>49</v>
      </c>
      <c r="F252" t="s">
        <v>19</v>
      </c>
      <c r="G252" t="s">
        <v>188</v>
      </c>
      <c r="H252" t="s">
        <v>21</v>
      </c>
      <c r="I252" t="s">
        <v>82</v>
      </c>
      <c r="J252" t="s">
        <v>148</v>
      </c>
      <c r="K252" t="s">
        <v>23</v>
      </c>
      <c r="L252">
        <v>9308</v>
      </c>
      <c r="M252">
        <v>37.418679699999998</v>
      </c>
      <c r="N252">
        <v>-768.43271412211141</v>
      </c>
      <c r="O252">
        <v>638.49076571092655</v>
      </c>
      <c r="P252" s="1" t="str">
        <f>HYPERLINK(".\sm_car_260705_0424\sm_car_260705_0424_251_Ca170TrN_MaCKY_DrSt_ode23t_1.png","figure")</f>
        <v>figure</v>
      </c>
      <c r="Q252" t="s">
        <v>15</v>
      </c>
    </row>
    <row r="253" spans="1:17" x14ac:dyDescent="0.25">
      <c r="A253">
        <v>252</v>
      </c>
      <c r="B253">
        <v>170</v>
      </c>
      <c r="C253" t="s">
        <v>45</v>
      </c>
      <c r="D253" t="s">
        <v>35</v>
      </c>
      <c r="E253" t="s">
        <v>49</v>
      </c>
      <c r="F253" t="s">
        <v>19</v>
      </c>
      <c r="G253" t="s">
        <v>188</v>
      </c>
      <c r="H253" t="s">
        <v>21</v>
      </c>
      <c r="I253" t="s">
        <v>83</v>
      </c>
      <c r="J253" t="s">
        <v>148</v>
      </c>
      <c r="K253" t="s">
        <v>23</v>
      </c>
      <c r="L253">
        <v>1664</v>
      </c>
      <c r="M253">
        <v>13.1349494</v>
      </c>
      <c r="N253">
        <v>-772.44725979243981</v>
      </c>
      <c r="O253">
        <v>640.62947841703226</v>
      </c>
      <c r="P253" s="1" t="str">
        <f>HYPERLINK(".\sm_car_260705_0424\sm_car_260705_0424_252_Ca170TrN_MaCKF_DrSt_ode23t_1.png","figure")</f>
        <v>figure</v>
      </c>
      <c r="Q253" t="s">
        <v>15</v>
      </c>
    </row>
    <row r="254" spans="1:17" x14ac:dyDescent="0.25">
      <c r="A254">
        <v>253</v>
      </c>
      <c r="B254">
        <v>170</v>
      </c>
      <c r="C254" t="s">
        <v>45</v>
      </c>
      <c r="D254" t="s">
        <v>35</v>
      </c>
      <c r="E254" t="s">
        <v>49</v>
      </c>
      <c r="F254" t="s">
        <v>19</v>
      </c>
      <c r="G254" t="s">
        <v>188</v>
      </c>
      <c r="H254" t="s">
        <v>21</v>
      </c>
      <c r="I254" t="s">
        <v>84</v>
      </c>
      <c r="J254" t="s">
        <v>148</v>
      </c>
      <c r="K254" t="s">
        <v>23</v>
      </c>
      <c r="L254">
        <v>2156</v>
      </c>
      <c r="M254">
        <v>19.4388957</v>
      </c>
      <c r="N254">
        <v>189.26909582271711</v>
      </c>
      <c r="O254">
        <v>308.83318050725029</v>
      </c>
      <c r="P254" s="1" t="str">
        <f>HYPERLINK(".\sm_car_260705_0424\sm_car_260705_0424_253_Ca170TrN_MaCNN_DrSt_ode23t_1.png","figure")</f>
        <v>figure</v>
      </c>
      <c r="Q254" t="s">
        <v>15</v>
      </c>
    </row>
    <row r="255" spans="1:17" x14ac:dyDescent="0.25">
      <c r="A255">
        <v>254</v>
      </c>
      <c r="B255">
        <v>170</v>
      </c>
      <c r="C255" t="s">
        <v>45</v>
      </c>
      <c r="D255" t="s">
        <v>35</v>
      </c>
      <c r="E255" t="s">
        <v>49</v>
      </c>
      <c r="F255" t="s">
        <v>19</v>
      </c>
      <c r="G255" t="s">
        <v>188</v>
      </c>
      <c r="H255" t="s">
        <v>21</v>
      </c>
      <c r="I255" t="s">
        <v>85</v>
      </c>
      <c r="J255" t="s">
        <v>148</v>
      </c>
      <c r="K255" t="s">
        <v>23</v>
      </c>
      <c r="L255">
        <v>3524</v>
      </c>
      <c r="M255">
        <v>103.79128369999999</v>
      </c>
      <c r="N255">
        <v>2982.1141146931627</v>
      </c>
      <c r="O255">
        <v>-3077.3778891952375</v>
      </c>
      <c r="P255" s="1" t="str">
        <f>HYPERLINK(".\sm_car_260705_0424\sm_car_260705_0424_254_Ca170TrN_MaCNF_DrSt_ode23t_1.png","figure")</f>
        <v>figure</v>
      </c>
      <c r="Q255" t="s">
        <v>15</v>
      </c>
    </row>
    <row r="256" spans="1:17" x14ac:dyDescent="0.25">
      <c r="A256">
        <v>255</v>
      </c>
      <c r="B256">
        <v>170</v>
      </c>
      <c r="C256" t="s">
        <v>45</v>
      </c>
      <c r="D256" t="s">
        <v>35</v>
      </c>
      <c r="E256" t="s">
        <v>49</v>
      </c>
      <c r="F256" t="s">
        <v>19</v>
      </c>
      <c r="G256" t="s">
        <v>188</v>
      </c>
      <c r="H256" t="s">
        <v>21</v>
      </c>
      <c r="I256" t="s">
        <v>86</v>
      </c>
      <c r="J256" t="s">
        <v>148</v>
      </c>
      <c r="K256" t="s">
        <v>23</v>
      </c>
      <c r="L256">
        <v>2750</v>
      </c>
      <c r="M256">
        <v>16.198174999999999</v>
      </c>
      <c r="N256">
        <v>498.15245303762708</v>
      </c>
      <c r="O256">
        <v>-175.9600399106761</v>
      </c>
      <c r="P256" s="1" t="str">
        <f>HYPERLINK(".\sm_car_260705_0424\sm_car_260705_0424_255_Ca170TrN_MaCSZ_DrSt_ode23t_1.png","figure")</f>
        <v>figure</v>
      </c>
      <c r="Q256" t="s">
        <v>15</v>
      </c>
    </row>
    <row r="257" spans="1:17" x14ac:dyDescent="0.25">
      <c r="A257">
        <v>256</v>
      </c>
      <c r="B257">
        <v>170</v>
      </c>
      <c r="C257" t="s">
        <v>45</v>
      </c>
      <c r="D257" t="s">
        <v>35</v>
      </c>
      <c r="E257" t="s">
        <v>49</v>
      </c>
      <c r="F257" t="s">
        <v>19</v>
      </c>
      <c r="G257" t="s">
        <v>188</v>
      </c>
      <c r="H257" t="s">
        <v>21</v>
      </c>
      <c r="I257" t="s">
        <v>87</v>
      </c>
      <c r="J257" t="s">
        <v>148</v>
      </c>
      <c r="K257" t="s">
        <v>23</v>
      </c>
      <c r="L257">
        <v>5089</v>
      </c>
      <c r="M257">
        <v>95.632965900000002</v>
      </c>
      <c r="N257">
        <v>-8.9459360174484885</v>
      </c>
      <c r="O257">
        <v>6.9558450255878031E-3</v>
      </c>
      <c r="P257" s="1" t="str">
        <f>HYPERLINK(".\sm_car_260705_0424\sm_car_260705_0424_256_Ca170TrN_MaCSF_DrSt_ode23t_1.png","figure")</f>
        <v>figure</v>
      </c>
      <c r="Q257" t="s">
        <v>15</v>
      </c>
    </row>
    <row r="258" spans="1:17" x14ac:dyDescent="0.25">
      <c r="A258">
        <v>257</v>
      </c>
      <c r="B258">
        <v>170</v>
      </c>
      <c r="C258" t="s">
        <v>45</v>
      </c>
      <c r="D258" t="s">
        <v>35</v>
      </c>
      <c r="E258" t="s">
        <v>49</v>
      </c>
      <c r="F258" t="s">
        <v>19</v>
      </c>
      <c r="G258" t="s">
        <v>188</v>
      </c>
      <c r="H258" t="s">
        <v>21</v>
      </c>
      <c r="I258" t="s">
        <v>88</v>
      </c>
      <c r="J258" t="s">
        <v>148</v>
      </c>
      <c r="K258" t="s">
        <v>23</v>
      </c>
      <c r="L258">
        <v>1409</v>
      </c>
      <c r="M258">
        <v>25.601725200000001</v>
      </c>
      <c r="N258">
        <v>247.75492942953616</v>
      </c>
      <c r="O258">
        <v>391.38252535414676</v>
      </c>
      <c r="P258" s="1" t="str">
        <f>HYPERLINK(".\sm_car_260705_0424\sm_car_260705_0424_257_Ca170TrN_MaCPU_DrSt_ode23t_1.png","figure")</f>
        <v>figure</v>
      </c>
      <c r="Q258" t="s">
        <v>15</v>
      </c>
    </row>
    <row r="259" spans="1:17" x14ac:dyDescent="0.25">
      <c r="A259">
        <v>258</v>
      </c>
      <c r="B259">
        <v>170</v>
      </c>
      <c r="C259" t="s">
        <v>45</v>
      </c>
      <c r="D259" t="s">
        <v>35</v>
      </c>
      <c r="E259" t="s">
        <v>49</v>
      </c>
      <c r="F259" t="s">
        <v>19</v>
      </c>
      <c r="G259" t="s">
        <v>188</v>
      </c>
      <c r="H259" t="s">
        <v>21</v>
      </c>
      <c r="I259" t="s">
        <v>89</v>
      </c>
      <c r="J259" t="s">
        <v>148</v>
      </c>
      <c r="K259" t="s">
        <v>23</v>
      </c>
      <c r="L259">
        <v>2231</v>
      </c>
      <c r="M259">
        <v>19.599703699999999</v>
      </c>
      <c r="N259">
        <v>179.58618435095036</v>
      </c>
      <c r="O259">
        <v>-180.28780787958567</v>
      </c>
      <c r="P259" s="1" t="str">
        <f>HYPERLINK(".\sm_car_260705_0424\sm_car_260705_0424_258_Ca170TrN_MaCPD_DrSt_ode23t_1.png","figure")</f>
        <v>figure</v>
      </c>
      <c r="Q259" t="s">
        <v>15</v>
      </c>
    </row>
    <row r="260" spans="1:17" x14ac:dyDescent="0.25">
      <c r="A260">
        <v>259</v>
      </c>
      <c r="B260">
        <v>202</v>
      </c>
      <c r="C260" t="s">
        <v>45</v>
      </c>
      <c r="D260" t="s">
        <v>35</v>
      </c>
      <c r="E260" t="s">
        <v>107</v>
      </c>
      <c r="F260" t="s">
        <v>19</v>
      </c>
      <c r="G260" t="s">
        <v>188</v>
      </c>
      <c r="H260" t="s">
        <v>21</v>
      </c>
      <c r="I260" t="s">
        <v>79</v>
      </c>
      <c r="J260" t="s">
        <v>148</v>
      </c>
      <c r="K260" t="s">
        <v>23</v>
      </c>
      <c r="L260">
        <v>1579</v>
      </c>
      <c r="M260">
        <v>3.8108721000000001</v>
      </c>
      <c r="N260">
        <v>-5.9998316658648214</v>
      </c>
      <c r="O260">
        <v>-7.7678266395743512E-3</v>
      </c>
      <c r="P260" s="1" t="str">
        <f>HYPERLINK(".\sm_car_260705_0424\sm_car_260705_0424_259_Ca202TrN_MaCMF_DrSt_ode23t_1.png","figure")</f>
        <v>figure</v>
      </c>
      <c r="Q260" t="s">
        <v>15</v>
      </c>
    </row>
    <row r="261" spans="1:17" x14ac:dyDescent="0.25">
      <c r="A261">
        <v>260</v>
      </c>
      <c r="B261">
        <v>202</v>
      </c>
      <c r="C261" t="s">
        <v>45</v>
      </c>
      <c r="D261" t="s">
        <v>35</v>
      </c>
      <c r="E261" t="s">
        <v>107</v>
      </c>
      <c r="F261" t="s">
        <v>19</v>
      </c>
      <c r="G261" t="s">
        <v>188</v>
      </c>
      <c r="H261" t="s">
        <v>21</v>
      </c>
      <c r="I261" t="s">
        <v>80</v>
      </c>
      <c r="J261" t="s">
        <v>148</v>
      </c>
      <c r="K261" t="s">
        <v>23</v>
      </c>
      <c r="L261">
        <v>5307</v>
      </c>
      <c r="M261">
        <v>22.215233600000001</v>
      </c>
      <c r="N261">
        <v>-217.47160619863675</v>
      </c>
      <c r="O261">
        <v>5.8455713999180903</v>
      </c>
      <c r="P261" s="1" t="str">
        <f>HYPERLINK(".\sm_car_260705_0424\sm_car_260705_0424_260_Ca202TrN_MaMPO_DrSt_ode23t_1.png","figure")</f>
        <v>figure</v>
      </c>
      <c r="Q261" t="s">
        <v>15</v>
      </c>
    </row>
    <row r="262" spans="1:17" x14ac:dyDescent="0.25">
      <c r="A262">
        <v>261</v>
      </c>
      <c r="B262">
        <v>202</v>
      </c>
      <c r="C262" t="s">
        <v>45</v>
      </c>
      <c r="D262" t="s">
        <v>35</v>
      </c>
      <c r="E262" t="s">
        <v>107</v>
      </c>
      <c r="F262" t="s">
        <v>19</v>
      </c>
      <c r="G262" t="s">
        <v>188</v>
      </c>
      <c r="H262" t="s">
        <v>21</v>
      </c>
      <c r="I262" t="s">
        <v>81</v>
      </c>
      <c r="J262" t="s">
        <v>148</v>
      </c>
      <c r="K262" t="s">
        <v>23</v>
      </c>
      <c r="L262">
        <v>1194</v>
      </c>
      <c r="M262">
        <v>8.7010857000000001</v>
      </c>
      <c r="N262">
        <v>-14.251746095493395</v>
      </c>
      <c r="O262">
        <v>-2.5640794336368344E-2</v>
      </c>
      <c r="P262" s="1" t="str">
        <f>HYPERLINK(".\sm_car_260705_0424\sm_car_260705_0424_261_Ca202TrN_MaMCI_DrSt_ode23t_1.png","figure")</f>
        <v>figure</v>
      </c>
      <c r="Q262" t="s">
        <v>15</v>
      </c>
    </row>
    <row r="263" spans="1:17" x14ac:dyDescent="0.25">
      <c r="A263">
        <v>262</v>
      </c>
      <c r="B263">
        <v>202</v>
      </c>
      <c r="C263" t="s">
        <v>45</v>
      </c>
      <c r="D263" t="s">
        <v>35</v>
      </c>
      <c r="E263" t="s">
        <v>107</v>
      </c>
      <c r="F263" t="s">
        <v>19</v>
      </c>
      <c r="G263" t="s">
        <v>188</v>
      </c>
      <c r="H263" t="s">
        <v>21</v>
      </c>
      <c r="I263" t="s">
        <v>83</v>
      </c>
      <c r="J263" t="s">
        <v>148</v>
      </c>
      <c r="K263" t="s">
        <v>23</v>
      </c>
      <c r="L263">
        <v>2866</v>
      </c>
      <c r="M263">
        <v>9.5943632000000001</v>
      </c>
      <c r="N263">
        <v>-5.903938295935812</v>
      </c>
      <c r="O263">
        <v>-2.878994364612552E-2</v>
      </c>
      <c r="P263" s="1" t="str">
        <f>HYPERLINK(".\sm_car_260705_0424\sm_car_260705_0424_262_Ca202TrN_MaCKF_DrSt_ode23t_1.png","figure")</f>
        <v>figure</v>
      </c>
      <c r="Q263" t="s">
        <v>15</v>
      </c>
    </row>
    <row r="264" spans="1:17" x14ac:dyDescent="0.25">
      <c r="A264">
        <v>263</v>
      </c>
      <c r="B264">
        <v>202</v>
      </c>
      <c r="C264" t="s">
        <v>45</v>
      </c>
      <c r="D264" t="s">
        <v>35</v>
      </c>
      <c r="E264" t="s">
        <v>107</v>
      </c>
      <c r="F264" t="s">
        <v>19</v>
      </c>
      <c r="G264" t="s">
        <v>188</v>
      </c>
      <c r="H264" t="s">
        <v>21</v>
      </c>
      <c r="I264" t="s">
        <v>85</v>
      </c>
      <c r="J264" t="s">
        <v>148</v>
      </c>
      <c r="K264" t="s">
        <v>23</v>
      </c>
      <c r="L264">
        <v>8383</v>
      </c>
      <c r="M264">
        <v>156.33709450000001</v>
      </c>
      <c r="N264">
        <v>-8.999901019335022</v>
      </c>
      <c r="O264">
        <v>1.3131077925574193E-2</v>
      </c>
      <c r="P264" s="1" t="str">
        <f>HYPERLINK(".\sm_car_260705_0424\sm_car_260705_0424_263_Ca202TrN_MaCNF_DrSt_ode23t_1.png","figure")</f>
        <v>figure</v>
      </c>
      <c r="Q264" t="s">
        <v>15</v>
      </c>
    </row>
    <row r="265" spans="1:17" x14ac:dyDescent="0.25">
      <c r="A265">
        <v>264</v>
      </c>
      <c r="B265">
        <v>202</v>
      </c>
      <c r="C265" t="s">
        <v>45</v>
      </c>
      <c r="D265" t="s">
        <v>35</v>
      </c>
      <c r="E265" t="s">
        <v>107</v>
      </c>
      <c r="F265" t="s">
        <v>19</v>
      </c>
      <c r="G265" t="s">
        <v>188</v>
      </c>
      <c r="H265" t="s">
        <v>21</v>
      </c>
      <c r="I265" t="s">
        <v>87</v>
      </c>
      <c r="J265" t="s">
        <v>148</v>
      </c>
      <c r="K265" t="s">
        <v>23</v>
      </c>
      <c r="L265">
        <v>5101</v>
      </c>
      <c r="M265">
        <v>50.667244500000002</v>
      </c>
      <c r="N265">
        <v>-8.9494871101436022</v>
      </c>
      <c r="O265">
        <v>6.9435216979726192E-3</v>
      </c>
      <c r="P265" s="1" t="str">
        <f>HYPERLINK(".\sm_car_260705_0424\sm_car_260705_0424_264_Ca202TrN_MaCSF_DrSt_ode23t_1.png","figure")</f>
        <v>figure</v>
      </c>
      <c r="Q265" t="s">
        <v>15</v>
      </c>
    </row>
    <row r="266" spans="1:17" x14ac:dyDescent="0.25">
      <c r="A266">
        <v>265</v>
      </c>
      <c r="B266">
        <v>202</v>
      </c>
      <c r="C266" t="s">
        <v>45</v>
      </c>
      <c r="D266" t="s">
        <v>35</v>
      </c>
      <c r="E266" t="s">
        <v>107</v>
      </c>
      <c r="F266" t="s">
        <v>19</v>
      </c>
      <c r="G266" t="s">
        <v>188</v>
      </c>
      <c r="H266" t="s">
        <v>21</v>
      </c>
      <c r="I266" t="s">
        <v>78</v>
      </c>
      <c r="J266" t="s">
        <v>148</v>
      </c>
      <c r="K266" t="s">
        <v>23</v>
      </c>
      <c r="L266">
        <v>6167</v>
      </c>
      <c r="M266">
        <v>17.609817199999998</v>
      </c>
      <c r="N266">
        <v>-5.9993347677913178</v>
      </c>
      <c r="O266">
        <v>-7.690803748755577E-3</v>
      </c>
      <c r="P266" s="1" t="str">
        <f>HYPERLINK(".\sm_car_260705_0424\sm_car_260705_0424_265_Ca202TrN_MaCMP_DrSt_ode23t_1.png","figure")</f>
        <v>figure</v>
      </c>
      <c r="Q266" t="s">
        <v>15</v>
      </c>
    </row>
    <row r="267" spans="1:17" x14ac:dyDescent="0.25">
      <c r="A267">
        <v>266</v>
      </c>
      <c r="B267">
        <v>202</v>
      </c>
      <c r="C267" t="s">
        <v>45</v>
      </c>
      <c r="D267" t="s">
        <v>35</v>
      </c>
      <c r="E267" t="s">
        <v>107</v>
      </c>
      <c r="F267" t="s">
        <v>19</v>
      </c>
      <c r="G267" t="s">
        <v>188</v>
      </c>
      <c r="H267" t="s">
        <v>21</v>
      </c>
      <c r="I267" t="s">
        <v>82</v>
      </c>
      <c r="J267" t="s">
        <v>148</v>
      </c>
      <c r="K267" t="s">
        <v>23</v>
      </c>
      <c r="L267">
        <v>20058</v>
      </c>
      <c r="M267">
        <v>58.680792699999998</v>
      </c>
      <c r="N267">
        <v>-5.9980309842757169</v>
      </c>
      <c r="O267">
        <v>-3.0431519449306919E-2</v>
      </c>
      <c r="P267" s="1" t="str">
        <f>HYPERLINK(".\sm_car_260705_0424\sm_car_260705_0424_266_Ca202TrN_MaCKY_DrSt_ode23t_1.png","figure")</f>
        <v>figure</v>
      </c>
      <c r="Q267" t="s">
        <v>15</v>
      </c>
    </row>
    <row r="268" spans="1:17" x14ac:dyDescent="0.25">
      <c r="A268">
        <v>267</v>
      </c>
      <c r="B268">
        <v>202</v>
      </c>
      <c r="C268" t="s">
        <v>45</v>
      </c>
      <c r="D268" t="s">
        <v>35</v>
      </c>
      <c r="E268" t="s">
        <v>107</v>
      </c>
      <c r="F268" t="s">
        <v>19</v>
      </c>
      <c r="G268" t="s">
        <v>188</v>
      </c>
      <c r="H268" t="s">
        <v>21</v>
      </c>
      <c r="I268" t="s">
        <v>75</v>
      </c>
      <c r="J268" t="s">
        <v>148</v>
      </c>
      <c r="K268" t="s">
        <v>23</v>
      </c>
      <c r="L268">
        <v>405</v>
      </c>
      <c r="M268">
        <v>1.9483516999999999</v>
      </c>
      <c r="N268">
        <v>381.50656860592665</v>
      </c>
      <c r="O268">
        <v>0.33615741550794415</v>
      </c>
      <c r="P268" s="1" t="str">
        <f>HYPERLINK(".\sm_car_260705_0424\sm_car_260705_0424_267_Ca202TrN_MaCPL_DrSt_ode23t_1.png","figure")</f>
        <v>figure</v>
      </c>
      <c r="Q268" t="s">
        <v>15</v>
      </c>
    </row>
    <row r="269" spans="1:17" x14ac:dyDescent="0.25">
      <c r="A269">
        <v>268</v>
      </c>
      <c r="B269">
        <v>140</v>
      </c>
      <c r="C269" t="s">
        <v>45</v>
      </c>
      <c r="D269" t="s">
        <v>17</v>
      </c>
      <c r="E269" t="s">
        <v>49</v>
      </c>
      <c r="F269" t="s">
        <v>19</v>
      </c>
      <c r="G269" t="s">
        <v>26</v>
      </c>
      <c r="H269" t="s">
        <v>21</v>
      </c>
      <c r="I269" t="s">
        <v>112</v>
      </c>
      <c r="J269" t="s">
        <v>148</v>
      </c>
      <c r="K269" t="s">
        <v>23</v>
      </c>
      <c r="L269">
        <v>2597</v>
      </c>
      <c r="M269">
        <v>36.274797700000001</v>
      </c>
      <c r="N269">
        <v>189.15495290202026</v>
      </c>
      <c r="O269">
        <v>7.0242184733505645E-4</v>
      </c>
      <c r="P269" s="1" t="str">
        <f>HYPERLINK(".\sm_car_260705_0424\sm_car_260705_0424_268_Ca140TrN_MaCRR_DrSt_ode23t_1.png","figure")</f>
        <v>figure</v>
      </c>
      <c r="Q269" t="s">
        <v>15</v>
      </c>
    </row>
    <row r="270" spans="1:17" x14ac:dyDescent="0.25">
      <c r="A270">
        <v>269</v>
      </c>
      <c r="B270">
        <v>189</v>
      </c>
      <c r="C270" t="s">
        <v>45</v>
      </c>
      <c r="D270" t="s">
        <v>17</v>
      </c>
      <c r="E270" t="s">
        <v>107</v>
      </c>
      <c r="F270" t="s">
        <v>19</v>
      </c>
      <c r="G270" t="s">
        <v>26</v>
      </c>
      <c r="H270" t="s">
        <v>21</v>
      </c>
      <c r="I270" t="s">
        <v>112</v>
      </c>
      <c r="J270" t="s">
        <v>148</v>
      </c>
      <c r="K270" t="s">
        <v>23</v>
      </c>
      <c r="L270">
        <v>3150</v>
      </c>
      <c r="M270">
        <v>33.876311700000002</v>
      </c>
      <c r="N270">
        <v>189.19178023876037</v>
      </c>
      <c r="O270">
        <v>7.3806000583280247E-4</v>
      </c>
      <c r="P270" s="1" t="str">
        <f>HYPERLINK(".\sm_car_260705_0424\sm_car_260705_0424_269_Ca189TrN_MaCRR_DrSt_ode23t_1.png","figure")</f>
        <v>figure</v>
      </c>
      <c r="Q270" t="s">
        <v>15</v>
      </c>
    </row>
    <row r="271" spans="1:17" x14ac:dyDescent="0.25">
      <c r="A271">
        <v>270</v>
      </c>
      <c r="B271">
        <v>189</v>
      </c>
      <c r="C271" t="s">
        <v>45</v>
      </c>
      <c r="D271" t="s">
        <v>17</v>
      </c>
      <c r="E271" t="s">
        <v>107</v>
      </c>
      <c r="F271" t="s">
        <v>19</v>
      </c>
      <c r="G271" t="s">
        <v>26</v>
      </c>
      <c r="H271" t="s">
        <v>21</v>
      </c>
      <c r="I271" t="s">
        <v>199</v>
      </c>
      <c r="J271" t="s">
        <v>148</v>
      </c>
      <c r="K271" t="s">
        <v>23</v>
      </c>
      <c r="L271">
        <v>10210</v>
      </c>
      <c r="M271">
        <v>105.4607591</v>
      </c>
      <c r="N271">
        <v>208.8114064356717</v>
      </c>
      <c r="O271">
        <v>-0.76787624814573441</v>
      </c>
      <c r="P271" s="1" t="str">
        <f>HYPERLINK(".\sm_car_260705_0424\sm_car_260705_0424_270_Ca189TrN_MaGSU_DrSt_ode23t_1.png","figure")</f>
        <v>figure</v>
      </c>
      <c r="Q271" t="s">
        <v>15</v>
      </c>
    </row>
    <row r="272" spans="1:17" x14ac:dyDescent="0.25">
      <c r="A272">
        <v>271</v>
      </c>
      <c r="B272">
        <v>173</v>
      </c>
      <c r="C272" t="s">
        <v>45</v>
      </c>
      <c r="D272" t="s">
        <v>35</v>
      </c>
      <c r="E272" t="s">
        <v>49</v>
      </c>
      <c r="F272" t="s">
        <v>19</v>
      </c>
      <c r="G272" t="s">
        <v>90</v>
      </c>
      <c r="H272" t="s">
        <v>21</v>
      </c>
      <c r="I272" t="s">
        <v>91</v>
      </c>
      <c r="J272" t="s">
        <v>148</v>
      </c>
      <c r="K272" t="s">
        <v>92</v>
      </c>
      <c r="L272">
        <v>1487</v>
      </c>
      <c r="M272">
        <v>62.025051099999999</v>
      </c>
      <c r="N272">
        <v>51.283748483001482</v>
      </c>
      <c r="O272">
        <v>8.837049604194935E-3</v>
      </c>
      <c r="P272" s="1" t="str">
        <f>HYPERLINK(".\sm_car_260705_0424\sm_car_260705_0424_271_Ca173TrN_MaDCA_DrSt_daessc_1.png","figure")</f>
        <v>figure</v>
      </c>
      <c r="Q272" t="s">
        <v>15</v>
      </c>
    </row>
    <row r="273" spans="1:17" x14ac:dyDescent="0.25">
      <c r="A273">
        <v>272</v>
      </c>
      <c r="B273">
        <v>173</v>
      </c>
      <c r="C273" t="s">
        <v>45</v>
      </c>
      <c r="D273" t="s">
        <v>35</v>
      </c>
      <c r="E273" t="s">
        <v>49</v>
      </c>
      <c r="F273" t="s">
        <v>19</v>
      </c>
      <c r="G273" t="s">
        <v>90</v>
      </c>
      <c r="H273" t="s">
        <v>21</v>
      </c>
      <c r="I273" t="s">
        <v>93</v>
      </c>
      <c r="J273" t="s">
        <v>148</v>
      </c>
      <c r="K273" t="s">
        <v>92</v>
      </c>
      <c r="L273">
        <v>3999</v>
      </c>
      <c r="M273">
        <v>107.4092199</v>
      </c>
      <c r="N273">
        <v>980.48692121082513</v>
      </c>
      <c r="O273">
        <v>0.73300192467380199</v>
      </c>
      <c r="P273" s="1" t="str">
        <f>HYPERLINK(".\sm_car_260705_0424\sm_car_260705_0424_272_Ca173TrN_MaDC1_DrSt_daessc_1.png","figure")</f>
        <v>figure</v>
      </c>
      <c r="Q273" t="s">
        <v>15</v>
      </c>
    </row>
    <row r="274" spans="1:17" x14ac:dyDescent="0.25">
      <c r="A274">
        <v>273</v>
      </c>
      <c r="B274">
        <v>165</v>
      </c>
      <c r="C274" t="s">
        <v>45</v>
      </c>
      <c r="D274" t="s">
        <v>35</v>
      </c>
      <c r="E274" t="s">
        <v>49</v>
      </c>
      <c r="F274" t="s">
        <v>19</v>
      </c>
      <c r="G274" t="s">
        <v>26</v>
      </c>
      <c r="H274" t="s">
        <v>21</v>
      </c>
      <c r="I274" t="s">
        <v>91</v>
      </c>
      <c r="J274" t="s">
        <v>148</v>
      </c>
      <c r="K274" t="s">
        <v>23</v>
      </c>
      <c r="L274">
        <v>287</v>
      </c>
      <c r="M274">
        <v>2.7760658999999999</v>
      </c>
      <c r="N274">
        <v>53.501075408429408</v>
      </c>
      <c r="O274">
        <v>9.9074524637766132E-3</v>
      </c>
      <c r="P274" s="1" t="str">
        <f>HYPERLINK(".\sm_car_260705_0424\sm_car_260705_0424_273_Ca165TrN_MaDCA_DrSt_ode23t_1.png","figure")</f>
        <v>figure</v>
      </c>
      <c r="Q274" t="s">
        <v>15</v>
      </c>
    </row>
    <row r="275" spans="1:17" x14ac:dyDescent="0.25">
      <c r="A275">
        <v>274</v>
      </c>
      <c r="B275">
        <v>165</v>
      </c>
      <c r="C275" t="s">
        <v>45</v>
      </c>
      <c r="D275" t="s">
        <v>35</v>
      </c>
      <c r="E275" t="s">
        <v>49</v>
      </c>
      <c r="F275" t="s">
        <v>19</v>
      </c>
      <c r="G275" t="s">
        <v>26</v>
      </c>
      <c r="H275" t="s">
        <v>21</v>
      </c>
      <c r="I275" t="s">
        <v>93</v>
      </c>
      <c r="J275" t="s">
        <v>148</v>
      </c>
      <c r="K275" t="s">
        <v>23</v>
      </c>
      <c r="L275">
        <v>1155</v>
      </c>
      <c r="M275">
        <v>7.6624698999999996</v>
      </c>
      <c r="N275">
        <v>992.67891038613811</v>
      </c>
      <c r="O275">
        <v>0.78323709219535942</v>
      </c>
      <c r="P275" s="1" t="str">
        <f>HYPERLINK(".\sm_car_260705_0424\sm_car_260705_0424_274_Ca165TrN_MaDC1_DrSt_ode23t_1.png","figure")</f>
        <v>figure</v>
      </c>
      <c r="Q275" t="s">
        <v>15</v>
      </c>
    </row>
    <row r="276" spans="1:17" x14ac:dyDescent="0.25">
      <c r="A276">
        <v>275</v>
      </c>
      <c r="B276">
        <v>196</v>
      </c>
      <c r="C276" t="s">
        <v>45</v>
      </c>
      <c r="D276" t="s">
        <v>35</v>
      </c>
      <c r="E276" t="s">
        <v>107</v>
      </c>
      <c r="F276" t="s">
        <v>19</v>
      </c>
      <c r="G276" t="s">
        <v>90</v>
      </c>
      <c r="H276" t="s">
        <v>21</v>
      </c>
      <c r="I276" t="s">
        <v>93</v>
      </c>
      <c r="J276" t="s">
        <v>148</v>
      </c>
      <c r="K276" t="s">
        <v>92</v>
      </c>
      <c r="L276">
        <v>3938</v>
      </c>
      <c r="M276">
        <v>57.697124299999999</v>
      </c>
      <c r="N276">
        <v>980.47452824628738</v>
      </c>
      <c r="O276">
        <v>0.73243836174731969</v>
      </c>
      <c r="P276" s="1" t="str">
        <f>HYPERLINK(".\sm_car_260705_0424\sm_car_260705_0424_275_Ca196TrN_MaDC1_DrSt_daessc_1.png","figure")</f>
        <v>figure</v>
      </c>
      <c r="Q276" t="s">
        <v>15</v>
      </c>
    </row>
    <row r="277" spans="1:17" x14ac:dyDescent="0.25">
      <c r="A277">
        <v>276</v>
      </c>
      <c r="B277">
        <v>179</v>
      </c>
      <c r="C277" t="s">
        <v>45</v>
      </c>
      <c r="D277" t="s">
        <v>57</v>
      </c>
      <c r="E277" t="s">
        <v>18</v>
      </c>
      <c r="F277" t="s">
        <v>19</v>
      </c>
      <c r="G277" t="s">
        <v>26</v>
      </c>
      <c r="H277" t="s">
        <v>21</v>
      </c>
      <c r="I277" t="s">
        <v>22</v>
      </c>
      <c r="J277" t="s">
        <v>148</v>
      </c>
      <c r="K277" t="s">
        <v>23</v>
      </c>
      <c r="L277">
        <v>436</v>
      </c>
      <c r="M277">
        <v>4.6794319</v>
      </c>
      <c r="N277">
        <v>147.77372875873283</v>
      </c>
      <c r="O277">
        <v>9.5733738466374466E-2</v>
      </c>
      <c r="P277" s="1" t="str">
        <f>HYPERLINK(".\sm_car_260705_0424\sm_car_260705_0424_276_Ca179TrN_MaWOT_DrSt_ode23t_1.png","figure")</f>
        <v>figure</v>
      </c>
      <c r="Q277" t="s">
        <v>15</v>
      </c>
    </row>
    <row r="278" spans="1:17" x14ac:dyDescent="0.25">
      <c r="A278">
        <v>277</v>
      </c>
      <c r="B278">
        <v>180</v>
      </c>
      <c r="C278" t="s">
        <v>45</v>
      </c>
      <c r="D278" t="s">
        <v>57</v>
      </c>
      <c r="E278" t="s">
        <v>49</v>
      </c>
      <c r="F278" t="s">
        <v>19</v>
      </c>
      <c r="G278" t="s">
        <v>26</v>
      </c>
      <c r="H278" t="s">
        <v>21</v>
      </c>
      <c r="I278" t="s">
        <v>22</v>
      </c>
      <c r="J278" t="s">
        <v>148</v>
      </c>
      <c r="K278" t="s">
        <v>23</v>
      </c>
      <c r="L278">
        <v>471</v>
      </c>
      <c r="M278">
        <v>7.9412023999999999</v>
      </c>
      <c r="N278">
        <v>147.79276149562878</v>
      </c>
      <c r="O278">
        <v>9.5493524037321628E-2</v>
      </c>
      <c r="P278" s="1" t="str">
        <f>HYPERLINK(".\sm_car_260705_0424\sm_car_260705_0424_277_Ca180TrN_MaWOT_DrSt_ode23t_1.png","figure")</f>
        <v>figure</v>
      </c>
      <c r="Q278" t="s">
        <v>15</v>
      </c>
    </row>
    <row r="279" spans="1:17" x14ac:dyDescent="0.25">
      <c r="A279">
        <v>278</v>
      </c>
      <c r="B279">
        <v>197</v>
      </c>
      <c r="C279" t="s">
        <v>45</v>
      </c>
      <c r="D279" t="s">
        <v>57</v>
      </c>
      <c r="E279" t="s">
        <v>107</v>
      </c>
      <c r="F279" t="s">
        <v>19</v>
      </c>
      <c r="G279" t="s">
        <v>26</v>
      </c>
      <c r="H279" t="s">
        <v>21</v>
      </c>
      <c r="I279" t="s">
        <v>22</v>
      </c>
      <c r="J279" t="s">
        <v>148</v>
      </c>
      <c r="K279" t="s">
        <v>23</v>
      </c>
      <c r="L279">
        <v>406</v>
      </c>
      <c r="M279">
        <v>1.8124076</v>
      </c>
      <c r="N279">
        <v>147.77983677776265</v>
      </c>
      <c r="O279">
        <v>9.5486030092532204E-2</v>
      </c>
      <c r="P279" s="1" t="str">
        <f>HYPERLINK(".\sm_car_260705_0424\sm_car_260705_0424_278_Ca197TrN_MaWOT_DrSt_ode23t_1.png","figure")</f>
        <v>figure</v>
      </c>
      <c r="Q279" t="s">
        <v>15</v>
      </c>
    </row>
    <row r="280" spans="1:17" x14ac:dyDescent="0.25">
      <c r="A280">
        <v>279</v>
      </c>
      <c r="B280">
        <v>182</v>
      </c>
      <c r="C280" t="s">
        <v>45</v>
      </c>
      <c r="D280" t="s">
        <v>17</v>
      </c>
      <c r="E280" t="s">
        <v>49</v>
      </c>
      <c r="F280" t="s">
        <v>19</v>
      </c>
      <c r="G280" t="s">
        <v>26</v>
      </c>
      <c r="H280" t="s">
        <v>21</v>
      </c>
      <c r="I280" t="s">
        <v>64</v>
      </c>
      <c r="J280" t="s">
        <v>148</v>
      </c>
      <c r="K280" t="s">
        <v>23</v>
      </c>
      <c r="L280">
        <v>430</v>
      </c>
      <c r="M280">
        <v>12.1124385</v>
      </c>
      <c r="N280">
        <v>61.845844604247986</v>
      </c>
      <c r="O280">
        <v>-24.1598002034088</v>
      </c>
      <c r="P280" s="1" t="str">
        <f>HYPERLINK(".\sm_car_260705_0424\sm_car_260705_0424_279_Ca182TrN_MaTUR_DrSt_ode23t_1.png","figure")</f>
        <v>figure</v>
      </c>
      <c r="Q280" t="s">
        <v>15</v>
      </c>
    </row>
    <row r="281" spans="1:17" x14ac:dyDescent="0.25">
      <c r="A281">
        <v>280</v>
      </c>
      <c r="B281">
        <v>203</v>
      </c>
      <c r="C281" t="s">
        <v>45</v>
      </c>
      <c r="D281" t="s">
        <v>17</v>
      </c>
      <c r="E281" t="s">
        <v>107</v>
      </c>
      <c r="F281" t="s">
        <v>19</v>
      </c>
      <c r="G281" t="s">
        <v>26</v>
      </c>
      <c r="H281" t="s">
        <v>21</v>
      </c>
      <c r="I281" t="s">
        <v>64</v>
      </c>
      <c r="J281" t="s">
        <v>148</v>
      </c>
      <c r="K281" t="s">
        <v>23</v>
      </c>
      <c r="L281">
        <v>378</v>
      </c>
      <c r="M281">
        <v>4.0962312000000001</v>
      </c>
      <c r="N281">
        <v>61.845234175154417</v>
      </c>
      <c r="O281">
        <v>-24.16813988903446</v>
      </c>
      <c r="P281" s="1" t="str">
        <f>HYPERLINK(".\sm_car_260705_0424\sm_car_260705_0424_280_Ca203TrN_MaTUR_DrSt_ode23t_1.png","figure")</f>
        <v>figure</v>
      </c>
      <c r="Q281" t="s">
        <v>15</v>
      </c>
    </row>
    <row r="282" spans="1:17" x14ac:dyDescent="0.25">
      <c r="A282">
        <v>281</v>
      </c>
      <c r="B282">
        <v>185</v>
      </c>
      <c r="C282" t="s">
        <v>45</v>
      </c>
      <c r="D282" t="s">
        <v>17</v>
      </c>
      <c r="E282" t="s">
        <v>18</v>
      </c>
      <c r="F282" t="s">
        <v>19</v>
      </c>
      <c r="G282" t="s">
        <v>26</v>
      </c>
      <c r="H282" t="s">
        <v>21</v>
      </c>
      <c r="I282" t="s">
        <v>64</v>
      </c>
      <c r="J282" t="s">
        <v>148</v>
      </c>
      <c r="K282" t="s">
        <v>23</v>
      </c>
      <c r="L282">
        <v>550</v>
      </c>
      <c r="M282">
        <v>22.7390793</v>
      </c>
      <c r="N282">
        <v>111.93841531761865</v>
      </c>
      <c r="O282">
        <v>-78.467716254070041</v>
      </c>
      <c r="P282" s="1" t="str">
        <f>HYPERLINK(".\sm_car_260705_0424\sm_car_260705_0424_281_Ca185TrN_MaTUR_DrSt_ode23t_1.png","figure")</f>
        <v>figure</v>
      </c>
      <c r="Q282" t="s">
        <v>15</v>
      </c>
    </row>
    <row r="283" spans="1:17" x14ac:dyDescent="0.25">
      <c r="A283">
        <v>282</v>
      </c>
      <c r="B283">
        <v>188</v>
      </c>
      <c r="C283" t="s">
        <v>45</v>
      </c>
      <c r="D283" t="s">
        <v>113</v>
      </c>
      <c r="E283" t="s">
        <v>49</v>
      </c>
      <c r="F283" t="s">
        <v>19</v>
      </c>
      <c r="G283" t="s">
        <v>26</v>
      </c>
      <c r="H283" t="s">
        <v>21</v>
      </c>
      <c r="I283" t="s">
        <v>64</v>
      </c>
      <c r="J283" t="s">
        <v>148</v>
      </c>
      <c r="K283" t="s">
        <v>23</v>
      </c>
      <c r="L283">
        <v>482</v>
      </c>
      <c r="M283">
        <v>7.1472004</v>
      </c>
      <c r="N283">
        <v>140.5991488509265</v>
      </c>
      <c r="O283">
        <v>-71.725481074638807</v>
      </c>
      <c r="P283" s="1" t="str">
        <f>HYPERLINK(".\sm_car_260705_0424\sm_car_260705_0424_282_Ca188TrN_MaTUR_DrSt_ode23t_1.png","figure")</f>
        <v>figure</v>
      </c>
      <c r="Q283" t="s">
        <v>15</v>
      </c>
    </row>
    <row r="284" spans="1:17" x14ac:dyDescent="0.25">
      <c r="A284">
        <v>283</v>
      </c>
      <c r="B284" t="s">
        <v>94</v>
      </c>
      <c r="C284" t="s">
        <v>95</v>
      </c>
      <c r="D284" t="s">
        <v>35</v>
      </c>
      <c r="E284" t="s">
        <v>18</v>
      </c>
      <c r="F284" t="s">
        <v>19</v>
      </c>
      <c r="G284" t="s">
        <v>96</v>
      </c>
      <c r="H284" t="s">
        <v>21</v>
      </c>
      <c r="I284" t="s">
        <v>22</v>
      </c>
      <c r="J284" t="s">
        <v>148</v>
      </c>
      <c r="K284" t="s">
        <v>23</v>
      </c>
      <c r="L284">
        <v>438</v>
      </c>
      <c r="M284">
        <v>14.0185479</v>
      </c>
      <c r="N284">
        <v>79.181909289562952</v>
      </c>
      <c r="O284">
        <v>-0.3333336447871707</v>
      </c>
      <c r="P284" s="1" t="str">
        <f>HYPERLINK(".\sm_car_260705_0424\sm_car_Axle3_260705_0424_283_CaAxle3_000TrN_MaWOT_DrSt_ode23t_1.png","figure")</f>
        <v>figure</v>
      </c>
      <c r="Q284" t="s">
        <v>15</v>
      </c>
    </row>
    <row r="285" spans="1:17" x14ac:dyDescent="0.25">
      <c r="A285">
        <v>284</v>
      </c>
      <c r="B285" t="s">
        <v>99</v>
      </c>
      <c r="C285" t="s">
        <v>100</v>
      </c>
      <c r="D285" t="s">
        <v>35</v>
      </c>
      <c r="E285" t="s">
        <v>18</v>
      </c>
      <c r="F285" t="s">
        <v>19</v>
      </c>
      <c r="G285" t="s">
        <v>96</v>
      </c>
      <c r="H285" t="s">
        <v>21</v>
      </c>
      <c r="I285" t="s">
        <v>22</v>
      </c>
      <c r="J285" t="s">
        <v>148</v>
      </c>
      <c r="K285" t="s">
        <v>23</v>
      </c>
      <c r="L285">
        <v>540</v>
      </c>
      <c r="M285">
        <v>17.355015099999999</v>
      </c>
      <c r="N285">
        <v>61.777355343105157</v>
      </c>
      <c r="O285">
        <v>-7.8866104190491462E-2</v>
      </c>
      <c r="P285" s="1" t="str">
        <f>HYPERLINK(".\sm_car_260705_0424\sm_car_Axle3_260705_0424_284_CaAxle3_008TrN_MaWOT_DrSt_ode23t_1.png","figure")</f>
        <v>figure</v>
      </c>
      <c r="Q285" t="s">
        <v>15</v>
      </c>
    </row>
    <row r="286" spans="1:17" x14ac:dyDescent="0.25">
      <c r="A286">
        <v>285</v>
      </c>
      <c r="B286" t="s">
        <v>97</v>
      </c>
      <c r="C286" t="s">
        <v>95</v>
      </c>
      <c r="D286" t="s">
        <v>35</v>
      </c>
      <c r="E286" t="s">
        <v>49</v>
      </c>
      <c r="F286" t="s">
        <v>19</v>
      </c>
      <c r="G286" t="s">
        <v>98</v>
      </c>
      <c r="H286" t="s">
        <v>21</v>
      </c>
      <c r="I286" t="s">
        <v>22</v>
      </c>
      <c r="J286" t="s">
        <v>148</v>
      </c>
      <c r="K286" t="s">
        <v>23</v>
      </c>
      <c r="L286">
        <v>425</v>
      </c>
      <c r="M286">
        <v>15.8580308</v>
      </c>
      <c r="N286">
        <v>79.269382440402595</v>
      </c>
      <c r="O286">
        <v>-0.31328649847774703</v>
      </c>
      <c r="P286" s="1" t="str">
        <f>HYPERLINK(".\sm_car_260705_0424\sm_car_Axle3_260705_0424_285_CaAxle3_003TrN_MaWOT_DrSt_ode23t_1.png","figure")</f>
        <v>figure</v>
      </c>
      <c r="Q286" t="s">
        <v>15</v>
      </c>
    </row>
    <row r="287" spans="1:17" x14ac:dyDescent="0.25">
      <c r="A287">
        <v>286</v>
      </c>
      <c r="B287" t="s">
        <v>114</v>
      </c>
      <c r="C287" t="s">
        <v>95</v>
      </c>
      <c r="D287" t="s">
        <v>35</v>
      </c>
      <c r="E287" t="s">
        <v>107</v>
      </c>
      <c r="F287" t="s">
        <v>19</v>
      </c>
      <c r="G287" t="s">
        <v>98</v>
      </c>
      <c r="H287" t="s">
        <v>21</v>
      </c>
      <c r="I287" t="s">
        <v>22</v>
      </c>
      <c r="J287" t="s">
        <v>148</v>
      </c>
      <c r="K287" t="s">
        <v>23</v>
      </c>
      <c r="L287">
        <v>424</v>
      </c>
      <c r="M287">
        <v>2.7707879000000002</v>
      </c>
      <c r="N287">
        <v>80.145692378390578</v>
      </c>
      <c r="O287">
        <v>-0.31945733972396612</v>
      </c>
      <c r="P287" s="1" t="str">
        <f>HYPERLINK(".\sm_car_260705_0424\sm_car_Axle3_260705_0424_286_CaAxle3_017TrN_MaWOT_DrSt_ode23t_1.png","figure")</f>
        <v>figure</v>
      </c>
      <c r="Q287" t="s">
        <v>15</v>
      </c>
    </row>
    <row r="288" spans="1:17" x14ac:dyDescent="0.25">
      <c r="A288">
        <v>287</v>
      </c>
      <c r="B288" t="s">
        <v>101</v>
      </c>
      <c r="C288" t="s">
        <v>100</v>
      </c>
      <c r="D288" t="s">
        <v>35</v>
      </c>
      <c r="E288" t="s">
        <v>49</v>
      </c>
      <c r="F288" t="s">
        <v>19</v>
      </c>
      <c r="G288" t="s">
        <v>96</v>
      </c>
      <c r="H288" t="s">
        <v>102</v>
      </c>
      <c r="I288" t="s">
        <v>22</v>
      </c>
      <c r="J288" t="s">
        <v>148</v>
      </c>
      <c r="K288" t="s">
        <v>23</v>
      </c>
      <c r="L288">
        <v>395</v>
      </c>
      <c r="M288">
        <v>46.489158000000003</v>
      </c>
      <c r="N288">
        <v>44.263120285903987</v>
      </c>
      <c r="O288">
        <v>2.276583895596191E-2</v>
      </c>
      <c r="P288" s="1" t="str">
        <f>HYPERLINK(".\sm_car_260705_0424\sm_car_Axle3_260705_0424_287_CaAxle3_010TrK_MaWOT_DrSt_ode23t_1.png","figure")</f>
        <v>figure</v>
      </c>
      <c r="Q288" t="s">
        <v>15</v>
      </c>
    </row>
    <row r="289" spans="1:17" x14ac:dyDescent="0.25">
      <c r="A289">
        <v>288</v>
      </c>
      <c r="B289" t="s">
        <v>101</v>
      </c>
      <c r="C289" t="s">
        <v>100</v>
      </c>
      <c r="D289" t="s">
        <v>35</v>
      </c>
      <c r="E289" t="s">
        <v>49</v>
      </c>
      <c r="F289" t="s">
        <v>19</v>
      </c>
      <c r="G289" t="s">
        <v>96</v>
      </c>
      <c r="H289" t="s">
        <v>102</v>
      </c>
      <c r="I289" t="s">
        <v>22</v>
      </c>
      <c r="J289" t="s">
        <v>148</v>
      </c>
      <c r="K289" t="s">
        <v>23</v>
      </c>
      <c r="L289">
        <v>405</v>
      </c>
      <c r="M289">
        <v>48.585706199999997</v>
      </c>
      <c r="N289">
        <v>44.315129398271779</v>
      </c>
      <c r="O289">
        <v>2.2834685938549718E-2</v>
      </c>
      <c r="P289" s="1" t="str">
        <f>HYPERLINK(".\sm_car_260705_0424\sm_car_Axle3_260705_0424_288_CaAxle3_010TrK_MaWOT_DrSt_ode23t_1.png","figure")</f>
        <v>figure</v>
      </c>
      <c r="Q289" t="s">
        <v>15</v>
      </c>
    </row>
    <row r="290" spans="1:17" x14ac:dyDescent="0.25">
      <c r="A290">
        <v>289</v>
      </c>
      <c r="B290" t="s">
        <v>115</v>
      </c>
      <c r="C290" t="s">
        <v>100</v>
      </c>
      <c r="D290" t="s">
        <v>35</v>
      </c>
      <c r="E290" t="s">
        <v>107</v>
      </c>
      <c r="F290" t="s">
        <v>19</v>
      </c>
      <c r="G290" t="s">
        <v>96</v>
      </c>
      <c r="H290" t="s">
        <v>102</v>
      </c>
      <c r="I290" t="s">
        <v>22</v>
      </c>
      <c r="J290" t="s">
        <v>148</v>
      </c>
      <c r="K290" t="s">
        <v>23</v>
      </c>
      <c r="L290">
        <v>398</v>
      </c>
      <c r="M290">
        <v>4.0140266000000002</v>
      </c>
      <c r="N290">
        <v>48.129826115469186</v>
      </c>
      <c r="O290">
        <v>2.6399404738689076E-2</v>
      </c>
      <c r="P290" s="1" t="str">
        <f>HYPERLINK(".\sm_car_260705_0424\sm_car_Axle3_260705_0424_289_CaAxle3_019TrK_MaWOT_DrSt_ode23t_1.png","figure")</f>
        <v>figure</v>
      </c>
      <c r="Q290" t="s">
        <v>15</v>
      </c>
    </row>
    <row r="291" spans="1:17" x14ac:dyDescent="0.25">
      <c r="A291">
        <v>290</v>
      </c>
      <c r="B291" t="s">
        <v>115</v>
      </c>
      <c r="C291" t="s">
        <v>100</v>
      </c>
      <c r="D291" t="s">
        <v>35</v>
      </c>
      <c r="E291" t="s">
        <v>107</v>
      </c>
      <c r="F291" t="s">
        <v>19</v>
      </c>
      <c r="G291" t="s">
        <v>96</v>
      </c>
      <c r="H291" t="s">
        <v>102</v>
      </c>
      <c r="I291" t="s">
        <v>22</v>
      </c>
      <c r="J291" t="s">
        <v>148</v>
      </c>
      <c r="K291" t="s">
        <v>23</v>
      </c>
      <c r="L291">
        <v>401</v>
      </c>
      <c r="M291">
        <v>4.4797013999999997</v>
      </c>
      <c r="N291">
        <v>48.113124994896268</v>
      </c>
      <c r="O291">
        <v>2.6374454044806026E-2</v>
      </c>
      <c r="P291" s="1" t="str">
        <f>HYPERLINK(".\sm_car_260705_0424\sm_car_Axle3_260705_0424_290_CaAxle3_019TrK_MaWOT_DrSt_ode23t_1.png","figure")</f>
        <v>figure</v>
      </c>
      <c r="Q291" t="s">
        <v>15</v>
      </c>
    </row>
    <row r="292" spans="1:17" x14ac:dyDescent="0.25">
      <c r="A292">
        <v>291</v>
      </c>
      <c r="B292" t="s">
        <v>115</v>
      </c>
      <c r="C292" t="s">
        <v>100</v>
      </c>
      <c r="D292" t="s">
        <v>35</v>
      </c>
      <c r="E292" t="s">
        <v>107</v>
      </c>
      <c r="F292" t="s">
        <v>19</v>
      </c>
      <c r="G292" t="s">
        <v>96</v>
      </c>
      <c r="H292" t="s">
        <v>102</v>
      </c>
      <c r="I292" t="s">
        <v>53</v>
      </c>
      <c r="J292" t="s">
        <v>148</v>
      </c>
      <c r="K292" t="s">
        <v>23</v>
      </c>
      <c r="L292">
        <v>647</v>
      </c>
      <c r="M292">
        <v>7.9351539999999998</v>
      </c>
      <c r="N292">
        <v>253.59589589401958</v>
      </c>
      <c r="O292">
        <v>-0.11016446673285696</v>
      </c>
      <c r="P292" s="1" t="str">
        <f>HYPERLINK(".\sm_car_260705_0424\sm_car_Axle3_260705_0424_291_CaAxle3_019TrK_MaDLC_DrSt_ode23t_1.png","figure")</f>
        <v>figure</v>
      </c>
      <c r="Q292" t="s">
        <v>15</v>
      </c>
    </row>
    <row r="293" spans="1:17" x14ac:dyDescent="0.25">
      <c r="A293">
        <v>292</v>
      </c>
      <c r="B293" t="s">
        <v>115</v>
      </c>
      <c r="C293" t="s">
        <v>100</v>
      </c>
      <c r="D293" t="s">
        <v>35</v>
      </c>
      <c r="E293" t="s">
        <v>107</v>
      </c>
      <c r="F293" t="s">
        <v>19</v>
      </c>
      <c r="G293" t="s">
        <v>96</v>
      </c>
      <c r="H293" t="s">
        <v>102</v>
      </c>
      <c r="I293" t="s">
        <v>53</v>
      </c>
      <c r="J293" t="s">
        <v>148</v>
      </c>
      <c r="K293" t="s">
        <v>23</v>
      </c>
      <c r="L293">
        <v>779</v>
      </c>
      <c r="M293">
        <v>5.2063974999999996</v>
      </c>
      <c r="N293">
        <v>253.61958221808209</v>
      </c>
      <c r="O293">
        <v>-0.11360492239592812</v>
      </c>
      <c r="P293" s="1" t="str">
        <f>HYPERLINK(".\sm_car_260705_0424\sm_car_Axle3_260705_0424_292_CaAxle3_019TrK_MaDLC_DrSt_ode23t_1.png","figure")</f>
        <v>figure</v>
      </c>
      <c r="Q293" t="s">
        <v>15</v>
      </c>
    </row>
    <row r="294" spans="1:17" x14ac:dyDescent="0.25">
      <c r="A294">
        <v>293</v>
      </c>
      <c r="B294" t="s">
        <v>115</v>
      </c>
      <c r="C294" t="s">
        <v>100</v>
      </c>
      <c r="D294" t="s">
        <v>35</v>
      </c>
      <c r="E294" t="s">
        <v>107</v>
      </c>
      <c r="F294" t="s">
        <v>19</v>
      </c>
      <c r="G294" t="s">
        <v>96</v>
      </c>
      <c r="H294" t="s">
        <v>102</v>
      </c>
      <c r="I294" t="s">
        <v>53</v>
      </c>
      <c r="J294" t="s">
        <v>148</v>
      </c>
      <c r="K294" t="s">
        <v>23</v>
      </c>
      <c r="L294">
        <v>630</v>
      </c>
      <c r="M294">
        <v>5.4937893999999998</v>
      </c>
      <c r="N294">
        <v>256.22673723042902</v>
      </c>
      <c r="O294">
        <v>-0.11741840296088846</v>
      </c>
      <c r="P294" s="1" t="str">
        <f>HYPERLINK(".\sm_car_260705_0424\sm_car_Axle3_260705_0424_293_CaAxle3_019TrK_MaDLC_DrSt_ode23t_1.png","figure")</f>
        <v>figure</v>
      </c>
      <c r="Q294" t="s">
        <v>15</v>
      </c>
    </row>
    <row r="295" spans="1:17" x14ac:dyDescent="0.25">
      <c r="A295">
        <v>294</v>
      </c>
      <c r="B295" t="s">
        <v>115</v>
      </c>
      <c r="C295" t="s">
        <v>100</v>
      </c>
      <c r="D295" t="s">
        <v>35</v>
      </c>
      <c r="E295" t="s">
        <v>107</v>
      </c>
      <c r="F295" t="s">
        <v>19</v>
      </c>
      <c r="G295" t="s">
        <v>96</v>
      </c>
      <c r="H295" t="s">
        <v>102</v>
      </c>
      <c r="I295" t="s">
        <v>53</v>
      </c>
      <c r="J295" t="s">
        <v>148</v>
      </c>
      <c r="K295" t="s">
        <v>23</v>
      </c>
      <c r="L295">
        <v>837</v>
      </c>
      <c r="M295">
        <v>6.4582370999999998</v>
      </c>
      <c r="N295">
        <v>253.29409337997862</v>
      </c>
      <c r="O295">
        <v>-0.10523875996678989</v>
      </c>
      <c r="P295" s="1" t="str">
        <f>HYPERLINK(".\sm_car_260705_0424\sm_car_Axle3_260705_0424_294_CaAxle3_019TrK_MaDLC_DrSt_ode23t_1.png","figure")</f>
        <v>figure</v>
      </c>
      <c r="Q295" t="s">
        <v>15</v>
      </c>
    </row>
    <row r="296" spans="1:17" x14ac:dyDescent="0.25">
      <c r="A296">
        <v>295</v>
      </c>
      <c r="B296" t="s">
        <v>138</v>
      </c>
      <c r="C296" t="s">
        <v>139</v>
      </c>
      <c r="D296" t="s">
        <v>35</v>
      </c>
      <c r="E296" t="s">
        <v>49</v>
      </c>
      <c r="F296" t="s">
        <v>19</v>
      </c>
      <c r="G296" t="s">
        <v>96</v>
      </c>
      <c r="H296" t="s">
        <v>102</v>
      </c>
      <c r="I296" t="s">
        <v>22</v>
      </c>
      <c r="J296" t="s">
        <v>148</v>
      </c>
      <c r="K296" t="s">
        <v>23</v>
      </c>
      <c r="L296">
        <v>377</v>
      </c>
      <c r="M296">
        <v>3.2202926999999999</v>
      </c>
      <c r="N296">
        <v>136.83063737731553</v>
      </c>
      <c r="O296">
        <v>0.19639331329132489</v>
      </c>
      <c r="P296" s="1" t="str">
        <f>HYPERLINK(".\sm_car_260705_0424\sm_car_Axle3_260705_0424_295_CaAxle3_023TrK_MaWOT_DrSt_ode23t_1.png","figure")</f>
        <v>figure</v>
      </c>
      <c r="Q296" t="s">
        <v>15</v>
      </c>
    </row>
  </sheetData>
  <autoFilter ref="A1:Q296" xr:uid="{259E76D2-48BB-4F1A-8F69-86875FF14DF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2022a_250206_1736</vt:lpstr>
      <vt:lpstr>2022a_250407_2318</vt:lpstr>
      <vt:lpstr>2022a_250414_0011</vt:lpstr>
      <vt:lpstr>2022a_250418_1417</vt:lpstr>
      <vt:lpstr>2022a_250503_1632</vt:lpstr>
      <vt:lpstr>2022a_250601_0524</vt:lpstr>
      <vt:lpstr>2022a_250531_2225</vt:lpstr>
      <vt:lpstr>2022a_250601_1258</vt:lpstr>
      <vt:lpstr>2022a_250602_1237</vt:lpstr>
      <vt:lpstr>2022a_250620_2310</vt:lpstr>
      <vt:lpstr>2022a_250701_2310</vt:lpstr>
      <vt:lpstr>2022a_250702_0917</vt:lpstr>
      <vt:lpstr>2022a_250805_2313</vt:lpstr>
      <vt:lpstr>2022a_250817_2235</vt:lpstr>
      <vt:lpstr>2022a_250819_0008</vt:lpstr>
      <vt:lpstr>2022a_250819_2005</vt:lpstr>
      <vt:lpstr>2022a_250824_2329</vt:lpstr>
      <vt:lpstr>2022a_250825_2318</vt:lpstr>
      <vt:lpstr>2022a_250915_0045</vt:lpstr>
      <vt:lpstr>2022a_251026_0925</vt:lpstr>
      <vt:lpstr>2022a_251026_2256</vt:lpstr>
      <vt:lpstr>2022a_251116_2258</vt:lpstr>
      <vt:lpstr>2022a_260116_2048</vt:lpstr>
      <vt:lpstr>2024b_260221_0030</vt:lpstr>
      <vt:lpstr>2024b_260612_0028</vt:lpstr>
      <vt:lpstr>2024b_260613_0002</vt:lpstr>
      <vt:lpstr>2024b_260613_0458</vt:lpstr>
      <vt:lpstr>2024b_260705_0424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2020-05-28T11:17:57Z</dcterms:created>
  <dcterms:modified xsi:type="dcterms:W3CDTF">2026-07-05T05:56:27Z</dcterms:modified>
</cp:coreProperties>
</file>